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2524 TES/"/>
    </mc:Choice>
  </mc:AlternateContent>
  <xr:revisionPtr revIDLastSave="0" documentId="13_ncr:1_{E33025A3-0244-4CED-A7C3-9CBAC92B42F1}" xr6:coauthVersionLast="47" xr6:coauthVersionMax="47" xr10:uidLastSave="{00000000-0000-0000-0000-000000000000}"/>
  <bookViews>
    <workbookView xWindow="-120" yWindow="-120" windowWidth="29040" windowHeight="15840" tabRatio="652" activeTab="7" xr2:uid="{00000000-000D-0000-FFFF-FFFF00000000}"/>
  </bookViews>
  <sheets>
    <sheet name="Secanim" sheetId="1" r:id="rId1"/>
    <sheet name="Croda Goole" sheetId="21" r:id="rId2"/>
    <sheet name="Croda Widnes" sheetId="27" r:id="rId3"/>
    <sheet name="Maelor" sheetId="28" r:id="rId4"/>
    <sheet name="Encirc" sheetId="30" r:id="rId5"/>
    <sheet name="Penderyn Distillary" sheetId="26" r:id="rId6"/>
    <sheet name="Kelloggs" sheetId="24" r:id="rId7"/>
    <sheet name="Beechdean"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J22" i="29"/>
  <c r="U18" i="29"/>
  <c r="R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P18" i="28"/>
  <c r="N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U18" i="27"/>
  <c r="R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G22" i="26"/>
  <c r="T18"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30" l="1"/>
  <c r="U63" i="27"/>
  <c r="H10" i="19"/>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V20"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19" i="28" s="1"/>
  <c r="U20" i="28" s="1"/>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I23" i="21" s="1"/>
  <c r="I24" i="21" s="1"/>
  <c r="D59" i="22"/>
  <c r="E21" i="22"/>
  <c r="E17" i="22"/>
  <c r="E19" i="22" s="1"/>
  <c r="L59" i="22"/>
  <c r="M21" i="22"/>
  <c r="M23" i="22" s="1"/>
  <c r="M17" i="22"/>
  <c r="T59" i="22"/>
  <c r="U21" i="22"/>
  <c r="U17" i="22"/>
  <c r="U19" i="22" s="1"/>
  <c r="D59" i="27"/>
  <c r="E17" i="27"/>
  <c r="E19" i="27" s="1"/>
  <c r="E20" i="27" s="1"/>
  <c r="L59" i="27"/>
  <c r="M17" i="27"/>
  <c r="M19" i="27" s="1"/>
  <c r="M20" i="27" s="1"/>
  <c r="T59" i="27"/>
  <c r="U17" i="27"/>
  <c r="U19" i="27" s="1"/>
  <c r="U20" i="27" s="1"/>
  <c r="S59" i="22"/>
  <c r="T21" i="22"/>
  <c r="T23" i="22" s="1"/>
  <c r="T17" i="22"/>
  <c r="T19" i="22" s="1"/>
  <c r="G21" i="23"/>
  <c r="G23" i="23" s="1"/>
  <c r="G17" i="23"/>
  <c r="I9" i="20"/>
  <c r="J9" i="19"/>
  <c r="J23" i="19" s="1"/>
  <c r="R4" i="20"/>
  <c r="S4" i="19"/>
  <c r="S18" i="19" s="1"/>
  <c r="R11" i="20"/>
  <c r="S11" i="19"/>
  <c r="S25" i="19" s="1"/>
  <c r="I59" i="24"/>
  <c r="J21" i="24"/>
  <c r="J17" i="24"/>
  <c r="J19" i="24" s="1"/>
  <c r="J20" i="24" s="1"/>
  <c r="Q59" i="24"/>
  <c r="R21" i="24"/>
  <c r="R23" i="24" s="1"/>
  <c r="R24" i="24" s="1"/>
  <c r="R17" i="24"/>
  <c r="R19" i="24" s="1"/>
  <c r="R20"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S19" i="21" s="1"/>
  <c r="S20" i="21" s="1"/>
  <c r="J59" i="21"/>
  <c r="K21" i="21"/>
  <c r="K23" i="21" s="1"/>
  <c r="K24" i="21" s="1"/>
  <c r="K17" i="21"/>
  <c r="J59" i="22"/>
  <c r="K17" i="22"/>
  <c r="K21" i="22"/>
  <c r="K23" i="22" s="1"/>
  <c r="R59" i="22"/>
  <c r="S17" i="22"/>
  <c r="S21" i="22"/>
  <c r="S23" i="22" s="1"/>
  <c r="D59" i="23"/>
  <c r="E17" i="23"/>
  <c r="E21" i="23"/>
  <c r="L59" i="23"/>
  <c r="M17" i="23"/>
  <c r="M21" i="23"/>
  <c r="T59" i="23"/>
  <c r="U17" i="23"/>
  <c r="U19" i="23" s="1"/>
  <c r="U21" i="23"/>
  <c r="U23" i="23" s="1"/>
  <c r="H21" i="24"/>
  <c r="H17" i="24"/>
  <c r="H19" i="24" s="1"/>
  <c r="H20" i="24" s="1"/>
  <c r="P17" i="24"/>
  <c r="P21" i="24"/>
  <c r="P23" i="24" s="1"/>
  <c r="P24" i="24" s="1"/>
  <c r="C59" i="26"/>
  <c r="D21" i="26"/>
  <c r="D23" i="26" s="1"/>
  <c r="D24" i="26" s="1"/>
  <c r="D17" i="26"/>
  <c r="D19" i="26" s="1"/>
  <c r="D20" i="26" s="1"/>
  <c r="K59" i="26"/>
  <c r="L21" i="26"/>
  <c r="L17" i="26"/>
  <c r="L19" i="26" s="1"/>
  <c r="L20" i="26" s="1"/>
  <c r="S59" i="26"/>
  <c r="T21" i="26"/>
  <c r="T17" i="26"/>
  <c r="T19" i="26" s="1"/>
  <c r="T20" i="26" s="1"/>
  <c r="N63" i="26"/>
  <c r="J59" i="27"/>
  <c r="K17" i="27"/>
  <c r="K19" i="27" s="1"/>
  <c r="K20" i="27" s="1"/>
  <c r="R59" i="27"/>
  <c r="S17" i="27"/>
  <c r="S19" i="27" s="1"/>
  <c r="S20" i="27" s="1"/>
  <c r="J59" i="28"/>
  <c r="K17" i="28"/>
  <c r="K19" i="28" s="1"/>
  <c r="K20" i="28" s="1"/>
  <c r="K21" i="28"/>
  <c r="R59" i="28"/>
  <c r="S17" i="28"/>
  <c r="S19" i="28" s="1"/>
  <c r="S20" i="28" s="1"/>
  <c r="S21" i="28"/>
  <c r="S23" i="28" s="1"/>
  <c r="S24" i="28" s="1"/>
  <c r="I59" i="29"/>
  <c r="J17" i="29"/>
  <c r="J19" i="29" s="1"/>
  <c r="J20" i="29" s="1"/>
  <c r="J21" i="29"/>
  <c r="Q59" i="29"/>
  <c r="R21" i="29"/>
  <c r="R23" i="29" s="1"/>
  <c r="R24" i="29" s="1"/>
  <c r="R17" i="29"/>
  <c r="H59" i="30"/>
  <c r="I17" i="30"/>
  <c r="I19" i="30" s="1"/>
  <c r="I20" i="30" s="1"/>
  <c r="I21" i="30"/>
  <c r="Q17" i="30"/>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23" i="23" s="1"/>
  <c r="N17" i="23"/>
  <c r="N19" i="23" s="1"/>
  <c r="U59" i="23"/>
  <c r="V21" i="23"/>
  <c r="V23"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U20" i="26" s="1"/>
  <c r="C59" i="27"/>
  <c r="D17" i="27"/>
  <c r="D19" i="27" s="1"/>
  <c r="D20" i="27" s="1"/>
  <c r="K59" i="27"/>
  <c r="L17" i="27"/>
  <c r="S59" i="27"/>
  <c r="T17" i="27"/>
  <c r="T19" i="27" s="1"/>
  <c r="T20" i="27" s="1"/>
  <c r="C59" i="28"/>
  <c r="D21" i="28"/>
  <c r="D23" i="28" s="1"/>
  <c r="D24" i="28" s="1"/>
  <c r="D17" i="28"/>
  <c r="K59" i="28"/>
  <c r="L21" i="28"/>
  <c r="L17" i="28"/>
  <c r="L19" i="28" s="1"/>
  <c r="L20" i="28" s="1"/>
  <c r="S59" i="28"/>
  <c r="T21" i="28"/>
  <c r="T17" i="28"/>
  <c r="T19" i="28" s="1"/>
  <c r="T20" i="28" s="1"/>
  <c r="J59" i="29"/>
  <c r="K17" i="29"/>
  <c r="K21" i="29"/>
  <c r="R59" i="29"/>
  <c r="S21" i="29"/>
  <c r="S23" i="29" s="1"/>
  <c r="S24" i="29" s="1"/>
  <c r="S17" i="29"/>
  <c r="S19" i="29" s="1"/>
  <c r="S20" i="29" s="1"/>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P20" i="21" s="1"/>
  <c r="H21" i="21"/>
  <c r="H17" i="21"/>
  <c r="H19" i="21" s="1"/>
  <c r="H20" i="21" s="1"/>
  <c r="E59" i="22"/>
  <c r="F21" i="22"/>
  <c r="F23" i="22" s="1"/>
  <c r="F17" i="22"/>
  <c r="F19" i="22" s="1"/>
  <c r="M59" i="22"/>
  <c r="N21" i="22"/>
  <c r="N23" i="22" s="1"/>
  <c r="N17" i="22"/>
  <c r="U59" i="22"/>
  <c r="V17" i="22"/>
  <c r="V21" i="22"/>
  <c r="C18" i="22"/>
  <c r="H21" i="23"/>
  <c r="H23" i="23" s="1"/>
  <c r="H17" i="23"/>
  <c r="P17" i="23"/>
  <c r="P19" i="23" s="1"/>
  <c r="P21" i="23"/>
  <c r="P23" i="23" s="1"/>
  <c r="J59" i="24"/>
  <c r="K21" i="24"/>
  <c r="K17" i="24"/>
  <c r="K19" i="24" s="1"/>
  <c r="K20" i="24" s="1"/>
  <c r="R59" i="24"/>
  <c r="S21" i="24"/>
  <c r="S23" i="24" s="1"/>
  <c r="S24" i="24" s="1"/>
  <c r="S17" i="24"/>
  <c r="G21" i="26"/>
  <c r="G23" i="26" s="1"/>
  <c r="G24" i="26" s="1"/>
  <c r="G17" i="26"/>
  <c r="O17" i="26"/>
  <c r="O19" i="26" s="1"/>
  <c r="O20" i="26" s="1"/>
  <c r="O21" i="26"/>
  <c r="E59" i="27"/>
  <c r="F17" i="27"/>
  <c r="F19" i="27" s="1"/>
  <c r="F20" i="27" s="1"/>
  <c r="M59" i="27"/>
  <c r="N17" i="27"/>
  <c r="U59" i="27"/>
  <c r="V17" i="27"/>
  <c r="E59" i="28"/>
  <c r="F17" i="28"/>
  <c r="F19" i="28" s="1"/>
  <c r="F20" i="28" s="1"/>
  <c r="F21" i="28"/>
  <c r="M59" i="28"/>
  <c r="N17" i="28"/>
  <c r="N19" i="28" s="1"/>
  <c r="N20" i="28" s="1"/>
  <c r="N21" i="28"/>
  <c r="U59" i="28"/>
  <c r="V17" i="28"/>
  <c r="V19" i="28" s="1"/>
  <c r="V20" i="28" s="1"/>
  <c r="V21" i="28"/>
  <c r="V23" i="28" s="1"/>
  <c r="V24" i="28" s="1"/>
  <c r="D59" i="29"/>
  <c r="E17" i="29"/>
  <c r="E19" i="29" s="1"/>
  <c r="E20" i="29" s="1"/>
  <c r="E21" i="29"/>
  <c r="L59" i="29"/>
  <c r="M17" i="29"/>
  <c r="M21" i="29"/>
  <c r="T59" i="29"/>
  <c r="U17" i="29"/>
  <c r="U21" i="29"/>
  <c r="U23" i="29" s="1"/>
  <c r="U24" i="29" s="1"/>
  <c r="C59" i="30"/>
  <c r="D17" i="30"/>
  <c r="D19" i="30" s="1"/>
  <c r="D20" i="30" s="1"/>
  <c r="D21" i="30"/>
  <c r="D23" i="30" s="1"/>
  <c r="D24" i="30" s="1"/>
  <c r="K59" i="30"/>
  <c r="L17" i="30"/>
  <c r="L19" i="30" s="1"/>
  <c r="L20" i="30" s="1"/>
  <c r="L21" i="30"/>
  <c r="S59" i="30"/>
  <c r="T17" i="30"/>
  <c r="T19" i="30" s="1"/>
  <c r="T20" i="30" s="1"/>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0" i="30" s="1"/>
  <c r="S21" i="30"/>
  <c r="A34" i="21"/>
  <c r="N59" i="21"/>
  <c r="N64" i="21" s="1"/>
  <c r="O21" i="21"/>
  <c r="O23" i="21" s="1"/>
  <c r="O24" i="21" s="1"/>
  <c r="O17" i="21"/>
  <c r="O19" i="21" s="1"/>
  <c r="O20" i="21" s="1"/>
  <c r="F59" i="21"/>
  <c r="G21" i="21"/>
  <c r="G17" i="21"/>
  <c r="G17" i="22"/>
  <c r="G21" i="22"/>
  <c r="G23" i="22" s="1"/>
  <c r="O17" i="22"/>
  <c r="O19" i="22" s="1"/>
  <c r="O21" i="22"/>
  <c r="O23" i="22" s="1"/>
  <c r="H59" i="23"/>
  <c r="I21" i="23"/>
  <c r="I23" i="23" s="1"/>
  <c r="I17" i="23"/>
  <c r="P59" i="23"/>
  <c r="Q17" i="23"/>
  <c r="Q19" i="23" s="1"/>
  <c r="Q21" i="23"/>
  <c r="Q23" i="23" s="1"/>
  <c r="C59" i="24"/>
  <c r="D17" i="24"/>
  <c r="D19" i="24" s="1"/>
  <c r="D20" i="24" s="1"/>
  <c r="D21" i="24"/>
  <c r="K59" i="24"/>
  <c r="L21" i="24"/>
  <c r="L23" i="24" s="1"/>
  <c r="L24" i="24" s="1"/>
  <c r="L17" i="24"/>
  <c r="L19" i="24" s="1"/>
  <c r="L20" i="24" s="1"/>
  <c r="S59" i="24"/>
  <c r="T21" i="24"/>
  <c r="T23" i="24" s="1"/>
  <c r="T24" i="24" s="1"/>
  <c r="T17" i="24"/>
  <c r="T19" i="24" s="1"/>
  <c r="T20" i="24" s="1"/>
  <c r="H21" i="26"/>
  <c r="H23" i="26" s="1"/>
  <c r="H24" i="26" s="1"/>
  <c r="H17" i="26"/>
  <c r="P21" i="26"/>
  <c r="P17" i="26"/>
  <c r="P19" i="26" s="1"/>
  <c r="P20" i="26" s="1"/>
  <c r="F59" i="28"/>
  <c r="G17" i="28"/>
  <c r="G19" i="28" s="1"/>
  <c r="G20" i="28" s="1"/>
  <c r="G21" i="28"/>
  <c r="G23" i="28" s="1"/>
  <c r="G24" i="28" s="1"/>
  <c r="N59" i="28"/>
  <c r="O17" i="28"/>
  <c r="O19" i="28" s="1"/>
  <c r="O20" i="28" s="1"/>
  <c r="O21" i="28"/>
  <c r="E59" i="29"/>
  <c r="F17" i="29"/>
  <c r="F21" i="29"/>
  <c r="M59" i="29"/>
  <c r="N17" i="29"/>
  <c r="N21" i="29"/>
  <c r="N23" i="29" s="1"/>
  <c r="N24" i="29" s="1"/>
  <c r="U59" i="29"/>
  <c r="V17" i="29"/>
  <c r="V21" i="29"/>
  <c r="V23" i="29" s="1"/>
  <c r="V24" i="29" s="1"/>
  <c r="D59" i="30"/>
  <c r="E17" i="30"/>
  <c r="E21" i="30"/>
  <c r="E23" i="30" s="1"/>
  <c r="E24" i="30" s="1"/>
  <c r="L59" i="30"/>
  <c r="M17" i="30"/>
  <c r="M19" i="30" s="1"/>
  <c r="M20" i="30" s="1"/>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23" i="23" s="1"/>
  <c r="J17" i="23"/>
  <c r="J19" i="23" s="1"/>
  <c r="Q59" i="23"/>
  <c r="R21" i="23"/>
  <c r="R17" i="23"/>
  <c r="R19" i="23" s="1"/>
  <c r="D59" i="24"/>
  <c r="E17" i="24"/>
  <c r="E19" i="24" s="1"/>
  <c r="E20" i="24" s="1"/>
  <c r="E21" i="24"/>
  <c r="L59" i="24"/>
  <c r="M17" i="24"/>
  <c r="M19" i="24" s="1"/>
  <c r="M20" i="24" s="1"/>
  <c r="M21" i="24"/>
  <c r="M23" i="24" s="1"/>
  <c r="M24" i="24" s="1"/>
  <c r="T59" i="24"/>
  <c r="U21" i="24"/>
  <c r="U23" i="24" s="1"/>
  <c r="U24" i="24" s="1"/>
  <c r="U17" i="24"/>
  <c r="H59" i="26"/>
  <c r="I17" i="26"/>
  <c r="I21" i="26"/>
  <c r="I23" i="26" s="1"/>
  <c r="I24" i="26" s="1"/>
  <c r="P59" i="26"/>
  <c r="Q17" i="26"/>
  <c r="Q19" i="26" s="1"/>
  <c r="Q20" i="26" s="1"/>
  <c r="Q21" i="26"/>
  <c r="E63" i="26"/>
  <c r="H17" i="27"/>
  <c r="P17" i="27"/>
  <c r="P19" i="27" s="1"/>
  <c r="P20" i="27" s="1"/>
  <c r="H21" i="28"/>
  <c r="H23" i="28" s="1"/>
  <c r="H24" i="28" s="1"/>
  <c r="H17" i="28"/>
  <c r="P21" i="28"/>
  <c r="P23" i="28" s="1"/>
  <c r="P24" i="28" s="1"/>
  <c r="P17" i="28"/>
  <c r="P19" i="28" s="1"/>
  <c r="P20" i="28" s="1"/>
  <c r="G17" i="29"/>
  <c r="G21" i="29"/>
  <c r="G23" i="29" s="1"/>
  <c r="G24" i="29" s="1"/>
  <c r="O17" i="29"/>
  <c r="O21" i="29"/>
  <c r="O23" i="29" s="1"/>
  <c r="O24" i="29" s="1"/>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17" i="22"/>
  <c r="P19" i="22" s="1"/>
  <c r="T59" i="21"/>
  <c r="U17" i="21"/>
  <c r="U19" i="21" s="1"/>
  <c r="U20" i="21" s="1"/>
  <c r="U21" i="21"/>
  <c r="U23" i="21" s="1"/>
  <c r="U24" i="21" s="1"/>
  <c r="M17" i="21"/>
  <c r="M19" i="21" s="1"/>
  <c r="M20" i="21" s="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S23" i="23" s="1"/>
  <c r="E59" i="24"/>
  <c r="F21" i="24"/>
  <c r="F17" i="24"/>
  <c r="M59" i="24"/>
  <c r="N21" i="24"/>
  <c r="N23" i="24" s="1"/>
  <c r="N24" i="24" s="1"/>
  <c r="N17" i="24"/>
  <c r="N19" i="24" s="1"/>
  <c r="N20" i="24" s="1"/>
  <c r="U59" i="24"/>
  <c r="V21" i="24"/>
  <c r="V17" i="24"/>
  <c r="V19" i="24" s="1"/>
  <c r="V20" i="24" s="1"/>
  <c r="I58" i="26"/>
  <c r="I61" i="26" s="1"/>
  <c r="J17" i="26"/>
  <c r="J19" i="26" s="1"/>
  <c r="J20" i="26" s="1"/>
  <c r="J21" i="26"/>
  <c r="J23" i="26" s="1"/>
  <c r="J24" i="26" s="1"/>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P19" i="29" s="1"/>
  <c r="P20" i="29" s="1"/>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D23" i="23" s="1"/>
  <c r="S59" i="23"/>
  <c r="T17" i="23"/>
  <c r="T19" i="23" s="1"/>
  <c r="T21" i="23"/>
  <c r="T23" i="23" s="1"/>
  <c r="G17" i="24"/>
  <c r="G19" i="24" s="1"/>
  <c r="G20" i="24" s="1"/>
  <c r="G21" i="24"/>
  <c r="G23" i="24" s="1"/>
  <c r="G24" i="24" s="1"/>
  <c r="O17" i="24"/>
  <c r="O21" i="24"/>
  <c r="J59" i="26"/>
  <c r="K17" i="26"/>
  <c r="K19" i="26" s="1"/>
  <c r="K20" i="26" s="1"/>
  <c r="K21" i="26"/>
  <c r="K23" i="26" s="1"/>
  <c r="K24" i="26" s="1"/>
  <c r="R59" i="26"/>
  <c r="S17" i="26"/>
  <c r="S19" i="26" s="1"/>
  <c r="S20" i="26" s="1"/>
  <c r="S21" i="26"/>
  <c r="S23" i="26" s="1"/>
  <c r="S24" i="26" s="1"/>
  <c r="M63" i="26"/>
  <c r="I59" i="27"/>
  <c r="J17" i="27"/>
  <c r="J19" i="27" s="1"/>
  <c r="J20" i="27" s="1"/>
  <c r="Q59" i="27"/>
  <c r="R17" i="27"/>
  <c r="R19" i="27" s="1"/>
  <c r="R20" i="27" s="1"/>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Q20"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I21" i="27"/>
  <c r="I23" i="27" s="1"/>
  <c r="I24" i="27" s="1"/>
  <c r="Q21" i="27"/>
  <c r="Q23" i="27" s="1"/>
  <c r="Q24" i="27" s="1"/>
  <c r="R58" i="21"/>
  <c r="R61" i="21" s="1"/>
  <c r="R64" i="21" s="1"/>
  <c r="O57" i="21"/>
  <c r="A43" i="21"/>
  <c r="J58" i="21"/>
  <c r="J61" i="21"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P23" i="27" s="1"/>
  <c r="P24" i="27" s="1"/>
  <c r="J58" i="22"/>
  <c r="J61" i="22" s="1"/>
  <c r="J58" i="26"/>
  <c r="J61" i="26" s="1"/>
  <c r="J58" i="27"/>
  <c r="J61" i="27" s="1"/>
  <c r="J64" i="27" s="1"/>
  <c r="R58" i="27"/>
  <c r="R61" i="27" s="1"/>
  <c r="R58" i="28"/>
  <c r="R61" i="28" s="1"/>
  <c r="F58" i="22"/>
  <c r="F61" i="22" s="1"/>
  <c r="N58" i="22"/>
  <c r="N61" i="22" s="1"/>
  <c r="N64" i="22" s="1"/>
  <c r="N65"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Q58" i="23"/>
  <c r="Q61" i="23" s="1"/>
  <c r="L58" i="29"/>
  <c r="L61" i="29" s="1"/>
  <c r="T58" i="29"/>
  <c r="T61" i="29" s="1"/>
  <c r="I23" i="30"/>
  <c r="I24" i="30" s="1"/>
  <c r="J58" i="28"/>
  <c r="J61" i="28" s="1"/>
  <c r="J64" i="28" s="1"/>
  <c r="R58" i="22"/>
  <c r="R61" i="22" s="1"/>
  <c r="R64" i="22" s="1"/>
  <c r="R65" i="22" s="1"/>
  <c r="J58" i="23"/>
  <c r="J61" i="23" s="1"/>
  <c r="J58" i="24"/>
  <c r="J61"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P57" i="30"/>
  <c r="J57" i="21"/>
  <c r="H59" i="21"/>
  <c r="Q23" i="22"/>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P57" i="29"/>
  <c r="L23" i="30"/>
  <c r="L24" i="30" s="1"/>
  <c r="G58" i="30"/>
  <c r="G61" i="30" s="1"/>
  <c r="O58" i="30"/>
  <c r="O61" i="30" s="1"/>
  <c r="Q57" i="30"/>
  <c r="A36" i="22"/>
  <c r="G58" i="27"/>
  <c r="G61" i="27" s="1"/>
  <c r="T58" i="28"/>
  <c r="T61" i="28" s="1"/>
  <c r="T64" i="28" s="1"/>
  <c r="C58" i="29"/>
  <c r="C61" i="29" s="1"/>
  <c r="C64" i="29" s="1"/>
  <c r="H58" i="30"/>
  <c r="H61" i="30" s="1"/>
  <c r="H64" i="30" s="1"/>
  <c r="N59" i="30"/>
  <c r="K19" i="21"/>
  <c r="K20" i="21" s="1"/>
  <c r="Q57" i="21"/>
  <c r="B58" i="21"/>
  <c r="B61" i="21" s="1"/>
  <c r="I58" i="22"/>
  <c r="I61" i="22" s="1"/>
  <c r="I64" i="22" s="1"/>
  <c r="I65" i="22" s="1"/>
  <c r="Q58" i="22"/>
  <c r="Q61" i="22" s="1"/>
  <c r="D58" i="23"/>
  <c r="D61" i="23" s="1"/>
  <c r="L58" i="23"/>
  <c r="L61" i="23" s="1"/>
  <c r="L64" i="23" s="1"/>
  <c r="L65" i="23" s="1"/>
  <c r="T58" i="23"/>
  <c r="T61"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F64" i="26" s="1"/>
  <c r="F66" i="26" s="1"/>
  <c r="O58" i="27"/>
  <c r="O61" i="27" s="1"/>
  <c r="A38" i="21"/>
  <c r="F57" i="22"/>
  <c r="N59" i="22"/>
  <c r="E58" i="23"/>
  <c r="E61" i="23" s="1"/>
  <c r="E64" i="23" s="1"/>
  <c r="E65" i="23" s="1"/>
  <c r="M58" i="23"/>
  <c r="M61" i="23" s="1"/>
  <c r="U58" i="23"/>
  <c r="U61" i="23" s="1"/>
  <c r="U64" i="23" s="1"/>
  <c r="U65"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H23" i="22"/>
  <c r="P23" i="22"/>
  <c r="C58" i="22"/>
  <c r="C61" i="22" s="1"/>
  <c r="C64" i="22" s="1"/>
  <c r="C65" i="22" s="1"/>
  <c r="K58" i="22"/>
  <c r="K61" i="22" s="1"/>
  <c r="K64" i="22" s="1"/>
  <c r="K65" i="22" s="1"/>
  <c r="S58" i="22"/>
  <c r="S61" i="22" s="1"/>
  <c r="S64" i="22" s="1"/>
  <c r="S65" i="22" s="1"/>
  <c r="F57" i="23"/>
  <c r="D23" i="24"/>
  <c r="D24" i="24" s="1"/>
  <c r="G58" i="24"/>
  <c r="G61" i="24" s="1"/>
  <c r="O58" i="24"/>
  <c r="O61" i="24" s="1"/>
  <c r="N59" i="24"/>
  <c r="C58" i="26"/>
  <c r="C61" i="26" s="1"/>
  <c r="C64" i="26" s="1"/>
  <c r="K58" i="26"/>
  <c r="K61" i="26" s="1"/>
  <c r="S58" i="26"/>
  <c r="S61" i="26" s="1"/>
  <c r="S64" i="26"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M66" i="26" s="1"/>
  <c r="U58" i="26"/>
  <c r="U61" i="26" s="1"/>
  <c r="U64" i="26" s="1"/>
  <c r="U66" i="26" s="1"/>
  <c r="N57" i="26"/>
  <c r="P59" i="27"/>
  <c r="I58" i="28"/>
  <c r="I61" i="28" s="1"/>
  <c r="Q58" i="28"/>
  <c r="Q61" i="28" s="1"/>
  <c r="Q64" i="28" s="1"/>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F63" i="30"/>
  <c r="N63" i="30"/>
  <c r="S23" i="30"/>
  <c r="S24" i="30" s="1"/>
  <c r="A31" i="30"/>
  <c r="A33" i="30"/>
  <c r="A39" i="30"/>
  <c r="A41" i="30"/>
  <c r="A47" i="30"/>
  <c r="A49" i="30"/>
  <c r="G57" i="30"/>
  <c r="O57" i="30"/>
  <c r="G59" i="30"/>
  <c r="O59" i="30"/>
  <c r="G63" i="30"/>
  <c r="O63" i="30"/>
  <c r="P63" i="30"/>
  <c r="I63" i="30"/>
  <c r="Q63" i="30"/>
  <c r="E19" i="30"/>
  <c r="E20" i="30" s="1"/>
  <c r="N19" i="30"/>
  <c r="N20" i="30" s="1"/>
  <c r="V19" i="30"/>
  <c r="V20" i="30" s="1"/>
  <c r="F23" i="30"/>
  <c r="F24" i="30" s="1"/>
  <c r="N23" i="30"/>
  <c r="N24" i="30" s="1"/>
  <c r="B63" i="30"/>
  <c r="J63" i="30"/>
  <c r="R63" i="30"/>
  <c r="A32" i="30"/>
  <c r="A34" i="30"/>
  <c r="A40" i="30"/>
  <c r="A42" i="30"/>
  <c r="A48" i="30"/>
  <c r="A50" i="30"/>
  <c r="C63" i="30"/>
  <c r="K63" i="30"/>
  <c r="S63" i="30"/>
  <c r="D63" i="30"/>
  <c r="L63" i="30"/>
  <c r="T63" i="30"/>
  <c r="H63" i="30"/>
  <c r="Q19" i="30"/>
  <c r="Q20" i="30" s="1"/>
  <c r="E63" i="30"/>
  <c r="M63" i="30"/>
  <c r="T19" i="29"/>
  <c r="T20" i="29" s="1"/>
  <c r="P63" i="29"/>
  <c r="R19" i="29"/>
  <c r="R20" i="29" s="1"/>
  <c r="J23" i="29"/>
  <c r="J24" i="29" s="1"/>
  <c r="F57" i="29"/>
  <c r="N57" i="29"/>
  <c r="F59" i="29"/>
  <c r="N59" i="29"/>
  <c r="F63" i="29"/>
  <c r="N63" i="29"/>
  <c r="H63" i="29"/>
  <c r="K19" i="29"/>
  <c r="K20" i="29" s="1"/>
  <c r="K23" i="29"/>
  <c r="K24" i="29" s="1"/>
  <c r="A31" i="29"/>
  <c r="A33" i="29"/>
  <c r="A39" i="29"/>
  <c r="A41" i="29"/>
  <c r="A47" i="29"/>
  <c r="A49" i="29"/>
  <c r="G57" i="29"/>
  <c r="O57" i="29"/>
  <c r="G59" i="29"/>
  <c r="O59" i="29"/>
  <c r="G63" i="29"/>
  <c r="O63" i="29"/>
  <c r="M19" i="29"/>
  <c r="M20" i="29" s="1"/>
  <c r="U19" i="29"/>
  <c r="U20" i="29" s="1"/>
  <c r="E23" i="29"/>
  <c r="E24" i="29" s="1"/>
  <c r="M23" i="29"/>
  <c r="M24" i="29" s="1"/>
  <c r="I57" i="29"/>
  <c r="Q57" i="29"/>
  <c r="I63" i="29"/>
  <c r="Q63" i="29"/>
  <c r="F19" i="29"/>
  <c r="F20" i="29" s="1"/>
  <c r="N19" i="29"/>
  <c r="N20" i="29" s="1"/>
  <c r="V19" i="29"/>
  <c r="V20" i="29" s="1"/>
  <c r="F23" i="29"/>
  <c r="F24" i="29" s="1"/>
  <c r="B63" i="29"/>
  <c r="J63" i="29"/>
  <c r="R63" i="29"/>
  <c r="L19" i="29"/>
  <c r="L20" i="29" s="1"/>
  <c r="G19" i="29"/>
  <c r="G20" i="29" s="1"/>
  <c r="O19" i="29"/>
  <c r="O20" i="29" s="1"/>
  <c r="A32" i="29"/>
  <c r="A34" i="29"/>
  <c r="A40" i="29"/>
  <c r="A42" i="29"/>
  <c r="A48" i="29"/>
  <c r="A50" i="29"/>
  <c r="C63" i="29"/>
  <c r="C65" i="29" s="1"/>
  <c r="K63" i="29"/>
  <c r="S63" i="29"/>
  <c r="H19" i="29"/>
  <c r="H20" i="29" s="1"/>
  <c r="D63" i="29"/>
  <c r="L63" i="29"/>
  <c r="T63" i="29"/>
  <c r="E63" i="29"/>
  <c r="M63" i="29"/>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M20" i="28" s="1"/>
  <c r="M23" i="28"/>
  <c r="M24" i="28" s="1"/>
  <c r="I57" i="28"/>
  <c r="Q57" i="28"/>
  <c r="I63" i="28"/>
  <c r="Q63" i="28"/>
  <c r="R19" i="28"/>
  <c r="R20" i="28" s="1"/>
  <c r="F23" i="28"/>
  <c r="F24" i="28" s="1"/>
  <c r="N23" i="28"/>
  <c r="N24" i="28" s="1"/>
  <c r="B63" i="28"/>
  <c r="J63" i="28"/>
  <c r="R63" i="28"/>
  <c r="A32" i="28"/>
  <c r="A34" i="28"/>
  <c r="A40" i="28"/>
  <c r="A42" i="28"/>
  <c r="A48" i="28"/>
  <c r="A50" i="28"/>
  <c r="C63" i="28"/>
  <c r="K63" i="28"/>
  <c r="K65" i="28" s="1"/>
  <c r="S63" i="28"/>
  <c r="H19" i="28"/>
  <c r="H20" i="28" s="1"/>
  <c r="D63" i="28"/>
  <c r="L63" i="28"/>
  <c r="T63" i="28"/>
  <c r="I19" i="28"/>
  <c r="I20" i="28" s="1"/>
  <c r="E63" i="28"/>
  <c r="M63" i="28"/>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N19" i="27"/>
  <c r="N20" i="27" s="1"/>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S65" i="27" s="1"/>
  <c r="L19" i="27"/>
  <c r="L20" i="27" s="1"/>
  <c r="H19" i="27"/>
  <c r="H20" i="27" s="1"/>
  <c r="D63" i="27"/>
  <c r="L63" i="27"/>
  <c r="T63" i="27"/>
  <c r="H63" i="27"/>
  <c r="Q19" i="27"/>
  <c r="Q20" i="27" s="1"/>
  <c r="E63" i="27"/>
  <c r="E65" i="27" s="1"/>
  <c r="M63" i="27"/>
  <c r="O23" i="26"/>
  <c r="O24" i="26" s="1"/>
  <c r="C19" i="26"/>
  <c r="C20" i="26" s="1"/>
  <c r="A31" i="26"/>
  <c r="A33" i="26"/>
  <c r="A37" i="26"/>
  <c r="A39" i="26"/>
  <c r="A41" i="26"/>
  <c r="A45" i="26"/>
  <c r="A47" i="26"/>
  <c r="A49" i="26"/>
  <c r="G57" i="26"/>
  <c r="O57" i="26"/>
  <c r="G59" i="26"/>
  <c r="O59" i="26"/>
  <c r="G63" i="26"/>
  <c r="O63" i="26"/>
  <c r="L23" i="26"/>
  <c r="L24" i="26" s="1"/>
  <c r="T23" i="26"/>
  <c r="T24" i="26" s="1"/>
  <c r="H63" i="26"/>
  <c r="P63" i="26"/>
  <c r="M19" i="26"/>
  <c r="M20" i="26" s="1"/>
  <c r="E23" i="26"/>
  <c r="E24" i="26" s="1"/>
  <c r="M23" i="26"/>
  <c r="M24" i="26" s="1"/>
  <c r="I57" i="26"/>
  <c r="Q57" i="26"/>
  <c r="I59" i="26"/>
  <c r="Q59" i="26"/>
  <c r="I63" i="26"/>
  <c r="Q63" i="26"/>
  <c r="N19" i="26"/>
  <c r="N20" i="26" s="1"/>
  <c r="N23" i="26"/>
  <c r="N24" i="26" s="1"/>
  <c r="V23" i="26"/>
  <c r="V24" i="26" s="1"/>
  <c r="B63" i="26"/>
  <c r="J63" i="26"/>
  <c r="R63" i="26"/>
  <c r="G19" i="26"/>
  <c r="G20" i="26" s="1"/>
  <c r="A32" i="26"/>
  <c r="A34" i="26"/>
  <c r="A40" i="26"/>
  <c r="A42" i="26"/>
  <c r="A48" i="26"/>
  <c r="A50" i="26"/>
  <c r="C63" i="26"/>
  <c r="K63" i="26"/>
  <c r="S63" i="26"/>
  <c r="H19" i="26"/>
  <c r="H20" i="26" s="1"/>
  <c r="D63" i="26"/>
  <c r="L63" i="26"/>
  <c r="I19" i="26"/>
  <c r="I20" i="26" s="1"/>
  <c r="J23" i="24"/>
  <c r="J24" i="24" s="1"/>
  <c r="H23" i="24"/>
  <c r="H24" i="24" s="1"/>
  <c r="S19" i="24"/>
  <c r="S20" i="24" s="1"/>
  <c r="K23" i="24"/>
  <c r="K24" i="24" s="1"/>
  <c r="A31" i="24"/>
  <c r="A33" i="24"/>
  <c r="A37" i="24"/>
  <c r="A39" i="24"/>
  <c r="A41" i="24"/>
  <c r="A45" i="24"/>
  <c r="A47" i="24"/>
  <c r="A49" i="24"/>
  <c r="G57" i="24"/>
  <c r="O57" i="24"/>
  <c r="G59" i="24"/>
  <c r="O59" i="24"/>
  <c r="G63" i="24"/>
  <c r="O63" i="24"/>
  <c r="H59" i="24"/>
  <c r="P59" i="24"/>
  <c r="H63" i="24"/>
  <c r="P63" i="24"/>
  <c r="U19" i="24"/>
  <c r="U20" i="24" s="1"/>
  <c r="E23" i="24"/>
  <c r="E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P19" i="24"/>
  <c r="P20" i="24" s="1"/>
  <c r="D63" i="24"/>
  <c r="L63" i="24"/>
  <c r="L65" i="24" s="1"/>
  <c r="T63" i="24"/>
  <c r="E63" i="24"/>
  <c r="M63" i="24"/>
  <c r="U63" i="23"/>
  <c r="M63" i="23"/>
  <c r="E63" i="23"/>
  <c r="T63" i="23"/>
  <c r="L63" i="23"/>
  <c r="D63" i="23"/>
  <c r="S63" i="23"/>
  <c r="K63" i="23"/>
  <c r="C63" i="23"/>
  <c r="R63" i="23"/>
  <c r="J63" i="23"/>
  <c r="B63" i="23"/>
  <c r="Q63" i="23"/>
  <c r="I63" i="23"/>
  <c r="P63" i="23"/>
  <c r="H63" i="23"/>
  <c r="F63" i="23"/>
  <c r="O63" i="23"/>
  <c r="G63" i="23"/>
  <c r="N63" i="23"/>
  <c r="R23" i="23"/>
  <c r="K19" i="23"/>
  <c r="A31" i="23"/>
  <c r="A33" i="23"/>
  <c r="A37" i="23"/>
  <c r="A39" i="23"/>
  <c r="A41" i="23"/>
  <c r="A45" i="23"/>
  <c r="A47" i="23"/>
  <c r="A49" i="23"/>
  <c r="G57" i="23"/>
  <c r="O57" i="23"/>
  <c r="G59" i="23"/>
  <c r="O59" i="23"/>
  <c r="L19" i="23"/>
  <c r="L23" i="23"/>
  <c r="E19" i="23"/>
  <c r="M19" i="23"/>
  <c r="E23" i="23"/>
  <c r="M23" i="23"/>
  <c r="I57" i="23"/>
  <c r="Q57" i="23"/>
  <c r="G19" i="23"/>
  <c r="O19" i="23"/>
  <c r="A32" i="23"/>
  <c r="A34" i="23"/>
  <c r="A40" i="23"/>
  <c r="A42" i="23"/>
  <c r="A48" i="23"/>
  <c r="A50" i="23"/>
  <c r="H19" i="23"/>
  <c r="I19" i="23"/>
  <c r="U63" i="22"/>
  <c r="M63" i="22"/>
  <c r="E63" i="22"/>
  <c r="F63" i="22"/>
  <c r="T63" i="22"/>
  <c r="L63" i="22"/>
  <c r="D63" i="22"/>
  <c r="S63" i="22"/>
  <c r="K63" i="22"/>
  <c r="C63" i="22"/>
  <c r="N63" i="22"/>
  <c r="R63" i="22"/>
  <c r="J63" i="22"/>
  <c r="B63" i="22"/>
  <c r="Q63" i="22"/>
  <c r="I63" i="22"/>
  <c r="P63" i="22"/>
  <c r="H63" i="22"/>
  <c r="O63" i="22"/>
  <c r="G63" i="22"/>
  <c r="S19" i="22"/>
  <c r="D19" i="22"/>
  <c r="L19" i="22"/>
  <c r="L23" i="22"/>
  <c r="A31" i="22"/>
  <c r="A33" i="22"/>
  <c r="A41" i="22"/>
  <c r="A47" i="22"/>
  <c r="M19" i="22"/>
  <c r="E23" i="22"/>
  <c r="U23" i="22"/>
  <c r="I57" i="22"/>
  <c r="Q57" i="22"/>
  <c r="K19" i="22"/>
  <c r="A39" i="22"/>
  <c r="A49" i="22"/>
  <c r="N19" i="22"/>
  <c r="V19" i="22"/>
  <c r="V23" i="22"/>
  <c r="G19" i="22"/>
  <c r="A32" i="22"/>
  <c r="A34" i="22"/>
  <c r="A40" i="22"/>
  <c r="A42" i="22"/>
  <c r="A48" i="22"/>
  <c r="A50" i="22"/>
  <c r="P64" i="21"/>
  <c r="H23" i="21"/>
  <c r="H24" i="21" s="1"/>
  <c r="L23" i="21"/>
  <c r="L24" i="21" s="1"/>
  <c r="F23" i="21"/>
  <c r="F24" i="21" s="1"/>
  <c r="N23" i="21"/>
  <c r="N24" i="21" s="1"/>
  <c r="A33" i="21"/>
  <c r="A37" i="21"/>
  <c r="A41" i="21"/>
  <c r="A45" i="21"/>
  <c r="A49" i="21"/>
  <c r="E58" i="21"/>
  <c r="E61" i="21" s="1"/>
  <c r="M58" i="21"/>
  <c r="M61" i="21" s="1"/>
  <c r="U58" i="21"/>
  <c r="U61" i="21" s="1"/>
  <c r="G23" i="21"/>
  <c r="G24" i="21" s="1"/>
  <c r="M23" i="21"/>
  <c r="M24" i="21" s="1"/>
  <c r="C57" i="21"/>
  <c r="K57" i="21"/>
  <c r="S57" i="21"/>
  <c r="G19" i="21"/>
  <c r="G20" i="21" s="1"/>
  <c r="Q19" i="21"/>
  <c r="Q20" i="21" s="1"/>
  <c r="J23" i="21"/>
  <c r="J24" i="21" s="1"/>
  <c r="R23" i="21"/>
  <c r="R24" i="21" s="1"/>
  <c r="I19" i="21"/>
  <c r="I20" i="21" s="1"/>
  <c r="L19" i="21"/>
  <c r="L20" i="21" s="1"/>
  <c r="R19" i="21"/>
  <c r="R20" i="21" s="1"/>
  <c r="A31" i="21"/>
  <c r="D64" i="21"/>
  <c r="G63" i="21"/>
  <c r="O63" i="21"/>
  <c r="H63" i="21"/>
  <c r="P63" i="21"/>
  <c r="P65" i="21" s="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T65" i="24" l="1"/>
  <c r="Q65" i="29"/>
  <c r="C65" i="27"/>
  <c r="K65" i="21"/>
  <c r="L65" i="30"/>
  <c r="T65" i="27"/>
  <c r="T64" i="21"/>
  <c r="T66" i="21" s="1"/>
  <c r="S65" i="29"/>
  <c r="Q65" i="27"/>
  <c r="N65" i="21"/>
  <c r="L65" i="21"/>
  <c r="L64" i="28"/>
  <c r="L65" i="28" s="1"/>
  <c r="J65" i="30"/>
  <c r="I64" i="26"/>
  <c r="I65" i="26" s="1"/>
  <c r="D65" i="27"/>
  <c r="D65" i="30"/>
  <c r="D65" i="24"/>
  <c r="C65" i="21"/>
  <c r="C65" i="26"/>
  <c r="B65" i="24"/>
  <c r="U64" i="21"/>
  <c r="U65" i="21" s="1"/>
  <c r="U65" i="30"/>
  <c r="U65" i="26"/>
  <c r="T65" i="30"/>
  <c r="T65" i="28"/>
  <c r="T64" i="23"/>
  <c r="T65" i="23" s="1"/>
  <c r="T64" i="29"/>
  <c r="T65" i="29" s="1"/>
  <c r="S65" i="26"/>
  <c r="R64" i="28"/>
  <c r="R65" i="28" s="1"/>
  <c r="R64" i="30"/>
  <c r="R65" i="30" s="1"/>
  <c r="R64" i="27"/>
  <c r="R64" i="29"/>
  <c r="R66" i="29" s="1"/>
  <c r="R65" i="29"/>
  <c r="R65" i="27"/>
  <c r="R65" i="21"/>
  <c r="Q65" i="28"/>
  <c r="Q64" i="26"/>
  <c r="Q65" i="26" s="1"/>
  <c r="Q65" i="24"/>
  <c r="Q65" i="21"/>
  <c r="Q65" i="30"/>
  <c r="O64" i="21"/>
  <c r="O65" i="21" s="1"/>
  <c r="N65" i="26"/>
  <c r="M65" i="27"/>
  <c r="M65" i="26"/>
  <c r="L65" i="26"/>
  <c r="L65" i="29"/>
  <c r="K65" i="27"/>
  <c r="K65" i="30"/>
  <c r="J65" i="28"/>
  <c r="J64" i="24"/>
  <c r="J66" i="24" s="1"/>
  <c r="J64" i="23"/>
  <c r="J65" i="23" s="1"/>
  <c r="J65" i="27"/>
  <c r="G64" i="30"/>
  <c r="G65" i="30" s="1"/>
  <c r="E65" i="30"/>
  <c r="D65" i="28"/>
  <c r="D65" i="21"/>
  <c r="C64" i="30"/>
  <c r="C66" i="30" s="1"/>
  <c r="B64" i="30"/>
  <c r="B66" i="30" s="1"/>
  <c r="I64" i="28"/>
  <c r="I66" i="28" s="1"/>
  <c r="I64" i="23"/>
  <c r="I65" i="23" s="1"/>
  <c r="I64" i="27"/>
  <c r="I66" i="27" s="1"/>
  <c r="I64" i="30"/>
  <c r="I65" i="30" s="1"/>
  <c r="I65" i="29"/>
  <c r="H65" i="30"/>
  <c r="H65" i="26"/>
  <c r="F65" i="26"/>
  <c r="N66" i="21"/>
  <c r="C23" i="21"/>
  <c r="C24" i="21" s="1"/>
  <c r="L64" i="22"/>
  <c r="L65" i="22" s="1"/>
  <c r="D64" i="22"/>
  <c r="D65" i="22" s="1"/>
  <c r="Q64" i="22"/>
  <c r="Q65" i="22" s="1"/>
  <c r="U64" i="22"/>
  <c r="S64" i="23"/>
  <c r="S65" i="23" s="1"/>
  <c r="M64" i="23"/>
  <c r="R64" i="23"/>
  <c r="M64" i="29"/>
  <c r="M65" i="29" s="1"/>
  <c r="D64" i="29"/>
  <c r="D65" i="29" s="1"/>
  <c r="O64" i="24"/>
  <c r="O66" i="24" s="1"/>
  <c r="I64" i="24"/>
  <c r="I65" i="24" s="1"/>
  <c r="M64" i="24"/>
  <c r="M65" i="24" s="1"/>
  <c r="S64" i="24"/>
  <c r="S66" i="24" s="1"/>
  <c r="T64" i="26"/>
  <c r="T66" i="26" s="1"/>
  <c r="E64" i="26"/>
  <c r="E66" i="26" s="1"/>
  <c r="M64" i="28"/>
  <c r="M65" i="28" s="1"/>
  <c r="S64" i="28"/>
  <c r="S65" i="28" s="1"/>
  <c r="P64" i="27"/>
  <c r="P65" i="27" s="1"/>
  <c r="G64" i="21"/>
  <c r="G66" i="21" s="1"/>
  <c r="S64" i="21"/>
  <c r="S66" i="21" s="1"/>
  <c r="E64" i="21"/>
  <c r="E66" i="21" s="1"/>
  <c r="F64" i="21"/>
  <c r="F66" i="21" s="1"/>
  <c r="N64" i="28"/>
  <c r="J64" i="21"/>
  <c r="J66" i="21" s="1"/>
  <c r="F64" i="24"/>
  <c r="F66" i="24" s="1"/>
  <c r="F64" i="28"/>
  <c r="D64" i="26"/>
  <c r="D65" i="26" s="1"/>
  <c r="H64" i="29"/>
  <c r="H66" i="29" s="1"/>
  <c r="S64" i="30"/>
  <c r="S66" i="30" s="1"/>
  <c r="Q64" i="23"/>
  <c r="F64" i="30"/>
  <c r="F66" i="30" s="1"/>
  <c r="K64" i="23"/>
  <c r="R64" i="26"/>
  <c r="R65" i="26" s="1"/>
  <c r="E64" i="24"/>
  <c r="E66" i="24" s="1"/>
  <c r="J64" i="22"/>
  <c r="H64" i="21"/>
  <c r="H66" i="21" s="1"/>
  <c r="H64" i="28"/>
  <c r="H66" i="28" s="1"/>
  <c r="G64" i="28"/>
  <c r="G66" i="28" s="1"/>
  <c r="P64" i="26"/>
  <c r="P65" i="26" s="1"/>
  <c r="E64" i="28"/>
  <c r="E66" i="28" s="1"/>
  <c r="N64" i="23"/>
  <c r="N65" i="23" s="1"/>
  <c r="J64" i="26"/>
  <c r="J66" i="26" s="1"/>
  <c r="B64" i="23"/>
  <c r="M64" i="27"/>
  <c r="M66" i="27" s="1"/>
  <c r="H64" i="27"/>
  <c r="H66" i="27" s="1"/>
  <c r="G64" i="22"/>
  <c r="L64" i="29"/>
  <c r="G64" i="24"/>
  <c r="G66" i="24" s="1"/>
  <c r="H64" i="24"/>
  <c r="H66" i="24" s="1"/>
  <c r="D64" i="23"/>
  <c r="D65" i="23" s="1"/>
  <c r="K64" i="24"/>
  <c r="K66" i="24" s="1"/>
  <c r="P64" i="24"/>
  <c r="P66" i="24" s="1"/>
  <c r="U64" i="29"/>
  <c r="O66" i="21"/>
  <c r="M64" i="30"/>
  <c r="M66" i="30" s="1"/>
  <c r="K64" i="26"/>
  <c r="K66" i="26" s="1"/>
  <c r="C64" i="28"/>
  <c r="C66" i="28" s="1"/>
  <c r="C64" i="24"/>
  <c r="C66" i="24" s="1"/>
  <c r="L64" i="27"/>
  <c r="L66" i="27" s="1"/>
  <c r="R64" i="24"/>
  <c r="R66" i="24" s="1"/>
  <c r="K64" i="29"/>
  <c r="K66" i="29" s="1"/>
  <c r="J64" i="29"/>
  <c r="J66" i="29" s="1"/>
  <c r="E64" i="29"/>
  <c r="E66" i="29" s="1"/>
  <c r="M64" i="21"/>
  <c r="M65" i="21" s="1"/>
  <c r="P64" i="28"/>
  <c r="P66" i="28" s="1"/>
  <c r="I64" i="21"/>
  <c r="I66" i="21" s="1"/>
  <c r="U64" i="28"/>
  <c r="U64" i="24"/>
  <c r="U66" i="24" s="1"/>
  <c r="F64" i="23"/>
  <c r="U64" i="27"/>
  <c r="U66" i="27" s="1"/>
  <c r="C19" i="22"/>
  <c r="C20" i="22" s="1"/>
  <c r="S66" i="27"/>
  <c r="D66" i="30"/>
  <c r="Q66" i="30"/>
  <c r="N66" i="22"/>
  <c r="B64" i="22"/>
  <c r="B64" i="29"/>
  <c r="B66" i="29" s="1"/>
  <c r="B64" i="28"/>
  <c r="B66" i="28" s="1"/>
  <c r="B64" i="27"/>
  <c r="B66" i="27" s="1"/>
  <c r="B64" i="26"/>
  <c r="B66" i="26" s="1"/>
  <c r="B64" i="21"/>
  <c r="B66" i="21" s="1"/>
  <c r="P66" i="22"/>
  <c r="O64" i="27"/>
  <c r="O66" i="27" s="1"/>
  <c r="O64" i="28"/>
  <c r="O66" i="28" s="1"/>
  <c r="N64" i="27"/>
  <c r="N66" i="27" s="1"/>
  <c r="N64" i="30"/>
  <c r="N66" i="30" s="1"/>
  <c r="L66" i="30"/>
  <c r="J66" i="28"/>
  <c r="G64" i="26"/>
  <c r="G66" i="26" s="1"/>
  <c r="G64" i="29"/>
  <c r="G66" i="29" s="1"/>
  <c r="F64" i="22"/>
  <c r="O64" i="26"/>
  <c r="O66" i="26" s="1"/>
  <c r="R66" i="22"/>
  <c r="T66" i="24"/>
  <c r="U66" i="23"/>
  <c r="P64" i="30"/>
  <c r="P66" i="30" s="1"/>
  <c r="C66" i="23"/>
  <c r="P66" i="23"/>
  <c r="E66" i="22"/>
  <c r="Q66" i="21"/>
  <c r="P66" i="21"/>
  <c r="K66" i="27"/>
  <c r="G64" i="23"/>
  <c r="Q66" i="24"/>
  <c r="R66" i="27"/>
  <c r="C66" i="27"/>
  <c r="H66" i="23"/>
  <c r="J66" i="27"/>
  <c r="G64" i="27"/>
  <c r="G66" i="27" s="1"/>
  <c r="G66" i="30"/>
  <c r="J66" i="30"/>
  <c r="F64" i="27"/>
  <c r="F66" i="27" s="1"/>
  <c r="T66" i="27"/>
  <c r="L66" i="29"/>
  <c r="Q66" i="22"/>
  <c r="C66" i="22"/>
  <c r="H66" i="30"/>
  <c r="E66" i="30"/>
  <c r="L66" i="21"/>
  <c r="D66" i="22"/>
  <c r="S66" i="26"/>
  <c r="L66" i="26"/>
  <c r="T66" i="30"/>
  <c r="C66" i="29"/>
  <c r="H66" i="22"/>
  <c r="R66" i="28"/>
  <c r="N64" i="26"/>
  <c r="N66" i="26" s="1"/>
  <c r="O64" i="29"/>
  <c r="O66" i="29" s="1"/>
  <c r="P64" i="29"/>
  <c r="P66" i="29" s="1"/>
  <c r="S64" i="1"/>
  <c r="D66" i="27"/>
  <c r="N64" i="29"/>
  <c r="N66" i="29" s="1"/>
  <c r="R66" i="30"/>
  <c r="L66" i="23"/>
  <c r="O66" i="22"/>
  <c r="R64" i="1"/>
  <c r="Q64" i="1"/>
  <c r="U64" i="1"/>
  <c r="P64" i="1"/>
  <c r="E66" i="27"/>
  <c r="Q66" i="29"/>
  <c r="F64" i="29"/>
  <c r="F66" i="29" s="1"/>
  <c r="O64" i="23"/>
  <c r="O64" i="30"/>
  <c r="O66" i="30" s="1"/>
  <c r="N64" i="24"/>
  <c r="N66" i="24" s="1"/>
  <c r="B66" i="24"/>
  <c r="K66" i="30"/>
  <c r="I66" i="30"/>
  <c r="I66" i="29"/>
  <c r="S66" i="29"/>
  <c r="T66" i="28"/>
  <c r="D66" i="28"/>
  <c r="M66" i="28"/>
  <c r="Q66" i="28"/>
  <c r="K66" i="28"/>
  <c r="Q66" i="27"/>
  <c r="C66" i="26"/>
  <c r="I66" i="26"/>
  <c r="H66" i="26"/>
  <c r="L66" i="24"/>
  <c r="D66" i="24"/>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S63" i="1"/>
  <c r="O63" i="1"/>
  <c r="O65" i="1" s="1"/>
  <c r="G63" i="1"/>
  <c r="N63" i="1"/>
  <c r="E63" i="1"/>
  <c r="B63" i="1"/>
  <c r="B65" i="1" s="1"/>
  <c r="U63" i="1"/>
  <c r="M63" i="1"/>
  <c r="T65" i="26" l="1"/>
  <c r="P65" i="28"/>
  <c r="P65" i="30"/>
  <c r="M66" i="29"/>
  <c r="M66" i="24"/>
  <c r="O65" i="27"/>
  <c r="I65" i="28"/>
  <c r="G65" i="27"/>
  <c r="C65" i="24"/>
  <c r="B65" i="30"/>
  <c r="D66" i="26"/>
  <c r="D66" i="23"/>
  <c r="L66" i="28"/>
  <c r="S66" i="23"/>
  <c r="U65" i="27"/>
  <c r="U65" i="24"/>
  <c r="T65" i="21"/>
  <c r="T66" i="29"/>
  <c r="S65" i="24"/>
  <c r="S65" i="21"/>
  <c r="R66" i="26"/>
  <c r="P66" i="26"/>
  <c r="P66" i="27"/>
  <c r="O65" i="30"/>
  <c r="O65" i="28"/>
  <c r="N65" i="30"/>
  <c r="N65" i="1"/>
  <c r="N65" i="29"/>
  <c r="K65" i="1"/>
  <c r="K65" i="29"/>
  <c r="J65" i="26"/>
  <c r="I66" i="23"/>
  <c r="H65" i="24"/>
  <c r="G65" i="24"/>
  <c r="G65" i="21"/>
  <c r="E65" i="24"/>
  <c r="C65" i="28"/>
  <c r="B65" i="27"/>
  <c r="U66" i="21"/>
  <c r="U65" i="1"/>
  <c r="U66" i="29"/>
  <c r="U65" i="29"/>
  <c r="U66" i="22"/>
  <c r="U65" i="22"/>
  <c r="U66" i="28"/>
  <c r="U65" i="28"/>
  <c r="T66" i="23"/>
  <c r="S66" i="28"/>
  <c r="S65" i="30"/>
  <c r="S65" i="1"/>
  <c r="R65" i="24"/>
  <c r="R65" i="1"/>
  <c r="R66" i="23"/>
  <c r="R65" i="23"/>
  <c r="Q66" i="26"/>
  <c r="Q66" i="23"/>
  <c r="Q65" i="23"/>
  <c r="P65" i="29"/>
  <c r="P65" i="24"/>
  <c r="P65" i="1"/>
  <c r="O65" i="26"/>
  <c r="O66" i="23"/>
  <c r="O65" i="23"/>
  <c r="O65" i="24"/>
  <c r="O65" i="29"/>
  <c r="N66" i="23"/>
  <c r="N65" i="27"/>
  <c r="N66" i="28"/>
  <c r="N65" i="28"/>
  <c r="N65" i="24"/>
  <c r="M66" i="23"/>
  <c r="M65" i="23"/>
  <c r="M65" i="30"/>
  <c r="M65" i="1"/>
  <c r="L65" i="1"/>
  <c r="L65" i="27"/>
  <c r="L66" i="22"/>
  <c r="K65" i="24"/>
  <c r="K66" i="23"/>
  <c r="K65" i="23"/>
  <c r="K65" i="26"/>
  <c r="J66" i="22"/>
  <c r="J65" i="22"/>
  <c r="J65" i="29"/>
  <c r="J66" i="23"/>
  <c r="J65" i="24"/>
  <c r="J65" i="1"/>
  <c r="J65" i="21"/>
  <c r="G65" i="28"/>
  <c r="G65" i="29"/>
  <c r="G66" i="23"/>
  <c r="G65" i="23"/>
  <c r="G66" i="22"/>
  <c r="G65" i="22"/>
  <c r="G65" i="26"/>
  <c r="G65" i="1"/>
  <c r="E65" i="29"/>
  <c r="E65" i="28"/>
  <c r="E65" i="21"/>
  <c r="E65" i="1"/>
  <c r="E65" i="26"/>
  <c r="D65" i="1"/>
  <c r="D66" i="29"/>
  <c r="C65" i="30"/>
  <c r="C65" i="1"/>
  <c r="B65" i="28"/>
  <c r="B65" i="26"/>
  <c r="B65" i="29"/>
  <c r="B66" i="22"/>
  <c r="B65" i="22"/>
  <c r="B66" i="23"/>
  <c r="B65" i="23"/>
  <c r="B65" i="21"/>
  <c r="I66" i="24"/>
  <c r="I65" i="21"/>
  <c r="I65" i="27"/>
  <c r="I65" i="1"/>
  <c r="H65" i="1"/>
  <c r="H65" i="21"/>
  <c r="H65" i="29"/>
  <c r="H65" i="28"/>
  <c r="H65" i="27"/>
  <c r="F65" i="30"/>
  <c r="F66" i="23"/>
  <c r="F65" i="23"/>
  <c r="F66" i="22"/>
  <c r="F65" i="22"/>
  <c r="F65" i="21"/>
  <c r="F65" i="27"/>
  <c r="F65" i="1"/>
  <c r="F66" i="28"/>
  <c r="F65" i="28"/>
  <c r="F65" i="29"/>
  <c r="F65" i="24"/>
  <c r="Q66" i="1"/>
  <c r="Q65" i="1"/>
  <c r="T66" i="1"/>
  <c r="T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<sst xmlns="http://schemas.openxmlformats.org/spreadsheetml/2006/main" count="2219" uniqueCount="179">
  <si>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</si>
  <si>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</si>
  <si>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</si>
  <si>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</si>
  <si>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</si>
  <si>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</si>
  <si>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</si>
  <si>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</si>
  <si>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</si>
  <si>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</si>
  <si>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</si>
  <si>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</si>
  <si>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</si>
  <si>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</si>
  <si>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</si>
  <si>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</si>
  <si>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</si>
  <si>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</si>
  <si>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</si>
  <si>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</si>
  <si>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</si>
  <si>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</si>
  <si>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</si>
  <si>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</si>
  <si>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</si>
  <si>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</si>
  <si>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</si>
  <si>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</si>
  <si>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</si>
  <si>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</si>
  <si>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</si>
  <si>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</si>
  <si>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</si>
  <si>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</si>
  <si>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</si>
  <si>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</si>
  <si>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</si>
  <si>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</si>
  <si>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</si>
  <si>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</si>
  <si>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</si>
  <si>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</si>
  <si>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</si>
  <si>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</si>
  <si>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</si>
  <si>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</si>
  <si>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</si>
  <si>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</si>
  <si>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</si>
  <si>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</si>
  <si>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</si>
  <si>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</si>
  <si>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</si>
  <si>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</si>
  <si>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</si>
  <si>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</si>
  <si>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</si>
  <si>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</si>
  <si>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</si>
  <si>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</si>
  <si>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</si>
  <si>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</si>
  <si>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</si>
  <si>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</si>
  <si>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</si>
  <si>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</si>
  <si>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</si>
  <si>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</si>
  <si>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</si>
  <si>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</si>
  <si>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</si>
  <si>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</si>
  <si>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</si>
  <si>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</si>
  <si>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</si>
  <si>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</si>
  <si>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</si>
  <si>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</si>
  <si>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</si>
  <si>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</si>
  <si>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</si>
  <si>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</si>
  <si>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</si>
  <si>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</si>
  <si>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</si>
  <si>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</si>
  <si>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</si>
  <si>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</si>
  <si>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</si>
  <si>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</si>
  <si>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</si>
  <si>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</si>
  <si>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</si>
  <si>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</si>
  <si>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</si>
  <si>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</si>
  <si>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</si>
  <si>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</si>
  <si>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</si>
  <si>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</si>
  <si>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</si>
  <si>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</si>
  <si>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</si>
  <si>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</si>
  <si>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</si>
  <si>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</si>
  <si>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</si>
  <si>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</si>
  <si>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</si>
  <si>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</si>
  <si>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</si>
  <si>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</si>
  <si>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</si>
  <si>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</si>
  <si>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</si>
  <si>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</si>
  <si>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</si>
  <si>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</si>
  <si>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</si>
  <si>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</si>
  <si>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</si>
  <si>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</si>
  <si>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</si>
  <si>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</si>
  <si>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</si>
  <si>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</si>
  <si>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</si>
  <si>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</si>
  <si>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</si>
  <si>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</si>
  <si>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</si>
  <si>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</si>
  <si>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</si>
  <si>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</si>
  <si>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</si>
  <si>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</si>
  <si>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</si>
  <si>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</si>
  <si>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</si>
  <si>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</si>
  <si>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</si>
  <si>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</si>
  <si>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</si>
  <si>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</si>
  <si>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</si>
  <si>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</si>
  <si>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</si>
  <si>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</si>
  <si>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</si>
  <si>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</si>
  <si>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</si>
  <si>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</si>
  <si>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</si>
  <si>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</si>
  <si>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</si>
  <si>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</si>
  <si>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</si>
  <si>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</si>
  <si>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</si>
  <si>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</si>
  <si>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PAN-022524</t>
  </si>
  <si>
    <t>EPR/KP3594VE</t>
  </si>
  <si>
    <t>Trade Effluent Services Limited</t>
  </si>
  <si>
    <t>Gwaenynog Back, Denbigh, LL16 5RW</t>
  </si>
  <si>
    <t>Louise Bailey</t>
  </si>
  <si>
    <t>02 02 04</t>
  </si>
  <si>
    <t>Secanim</t>
  </si>
  <si>
    <t>07 07 12</t>
  </si>
  <si>
    <t>Croda Goole</t>
  </si>
  <si>
    <t>02 03 05</t>
  </si>
  <si>
    <t>Croda Widnes</t>
  </si>
  <si>
    <t>Maelor</t>
  </si>
  <si>
    <t>Encirc</t>
  </si>
  <si>
    <t>02 07 05</t>
  </si>
  <si>
    <t>Penderyn Distillary</t>
  </si>
  <si>
    <t>Kelloggs</t>
  </si>
  <si>
    <t>Beechdean</t>
  </si>
  <si>
    <t>02 05 01</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</si>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</sst>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FF0000"/>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5" dataDxfId="393" headerRowBorderDxfId="394" tableBorderDxfId="392" totalsRowBorderDxfId="391">
  <autoFilter ref="AI1:AN26" xr:uid="{F8B5EC87-3095-445A-A980-2CFAA0A7B9A2}"/>
  <sortState xmlns:xlrd2="http://schemas.microsoft.com/office/spreadsheetml/2017/richdata2" ref="AI2:AL25">
    <sortCondition ref="AL1:AL25"/>
  </sortState>
  <tableColumns count="6">
    <tableColumn id="1" xr3:uid="{360F44E4-7249-415F-8D5E-41D249F9A162}" name="Crop" dataDxfId="390"/>
    <tableColumn id="2" xr3:uid="{55E07717-B4EC-4E8A-B9A9-34F3CF85E32D}" name="P Offtake" dataDxfId="389"/>
    <tableColumn id="3" xr3:uid="{7B25FA52-8104-4FE3-AED4-B53CBFDF89B2}" name="K Offtake" dataDxfId="388"/>
    <tableColumn id="4" xr3:uid="{0DBAE461-2D09-43C8-9342-3980D552AE4D}" name="Order" dataDxfId="387"/>
    <tableColumn id="5" xr3:uid="{52CACE7B-0CBA-46FC-9F24-02CBD6100239}" name="Lime pH requirement" dataDxfId="386"/>
    <tableColumn id="6" xr3:uid="{F1432630-9B16-4266-8147-CE754A715307}" name="Column1" dataDxfId="3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52" dataDxfId="350" headerRowBorderDxfId="351" tableBorderDxfId="349" totalsRowBorderDxfId="348">
  <autoFilter ref="AI1:AN26" xr:uid="{F8B5EC87-3095-445A-A980-2CFAA0A7B9A2}"/>
  <sortState xmlns:xlrd2="http://schemas.microsoft.com/office/spreadsheetml/2017/richdata2" ref="AI2:AL25">
    <sortCondition ref="AL1:AL25"/>
  </sortState>
  <tableColumns count="6">
    <tableColumn id="1" xr3:uid="{7E96A84B-948F-445F-BD6E-30CC8E6E6DD1}" name="Crop" dataDxfId="347"/>
    <tableColumn id="2" xr3:uid="{12657DDB-F680-47DE-ABB1-8675D5F91E41}" name="P Offtake" dataDxfId="346"/>
    <tableColumn id="3" xr3:uid="{DEB99109-D325-4F98-8A71-E70C03433437}" name="K Offtake" dataDxfId="345"/>
    <tableColumn id="4" xr3:uid="{E96A561F-7E7F-4FB3-97AA-0B35D8C8E93A}" name="Order" dataDxfId="344"/>
    <tableColumn id="5" xr3:uid="{181DD475-0A71-4C52-AF1A-8BFF46F5A827}" name="Lime pH requirement" dataDxfId="343"/>
    <tableColumn id="6" xr3:uid="{AC3FA7E8-D76B-43A3-B715-04446DFF63C6}" name="Column1" dataDxfId="3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9" dataDxfId="307" headerRowBorderDxfId="308" tableBorderDxfId="306" totalsRowBorderDxfId="305">
  <autoFilter ref="AI1:AN26" xr:uid="{F8B5EC87-3095-445A-A980-2CFAA0A7B9A2}"/>
  <sortState xmlns:xlrd2="http://schemas.microsoft.com/office/spreadsheetml/2017/richdata2" ref="AI2:AL25">
    <sortCondition ref="AL1:AL25"/>
  </sortState>
  <tableColumns count="6">
    <tableColumn id="1" xr3:uid="{06008BA1-A1E9-4286-B67A-352533C06A26}" name="Crop" dataDxfId="304"/>
    <tableColumn id="2" xr3:uid="{2AEB5EEB-C9D1-41DC-913E-953A33D1A4AF}" name="P Offtake" dataDxfId="303"/>
    <tableColumn id="3" xr3:uid="{8FA16A0B-1017-4CEE-862E-0A8CBD8EB3D3}" name="K Offtake" dataDxfId="302"/>
    <tableColumn id="4" xr3:uid="{E7A3B8CD-4036-47F4-B818-C3F22E80C749}" name="Order" dataDxfId="301"/>
    <tableColumn id="5" xr3:uid="{8F3EBD84-7904-4559-9B5C-63088B792C98}" name="Lime pH requirement" dataDxfId="300"/>
    <tableColumn id="6" xr3:uid="{A21DD95A-C955-4510-9114-E3F1CB645370}" name="Column1" dataDxfId="29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6" dataDxfId="264" headerRowBorderDxfId="265" tableBorderDxfId="263" totalsRowBorderDxfId="262">
  <autoFilter ref="AI1:AN26" xr:uid="{F8B5EC87-3095-445A-A980-2CFAA0A7B9A2}"/>
  <sortState xmlns:xlrd2="http://schemas.microsoft.com/office/spreadsheetml/2017/richdata2" ref="AI2:AL25">
    <sortCondition ref="AL1:AL25"/>
  </sortState>
  <tableColumns count="6">
    <tableColumn id="1" xr3:uid="{11579FCC-3D9F-49AD-888D-5D79B801F6AE}" name="Crop" dataDxfId="261"/>
    <tableColumn id="2" xr3:uid="{05C08116-56D5-4CC6-A649-B06AF891B931}" name="P Offtake" dataDxfId="260"/>
    <tableColumn id="3" xr3:uid="{59CDE959-192B-4757-9203-A0F691CF0F96}" name="K Offtake" dataDxfId="259"/>
    <tableColumn id="4" xr3:uid="{9FB8E4F7-B91F-4CE0-AF39-D4895D0ECF2F}" name="Order" dataDxfId="258"/>
    <tableColumn id="5" xr3:uid="{688FF2A4-D7C6-4425-A915-A9ADD700A9EE}" name="Lime pH requirement" dataDxfId="257"/>
    <tableColumn id="6" xr3:uid="{05FC5CFF-3D81-4B5F-87C7-2364076F2714}" name="Column1" dataDxfId="2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3" dataDxfId="221" headerRowBorderDxfId="222" tableBorderDxfId="220" totalsRowBorderDxfId="219">
  <autoFilter ref="AI1:AN26" xr:uid="{F8B5EC87-3095-445A-A980-2CFAA0A7B9A2}"/>
  <sortState xmlns:xlrd2="http://schemas.microsoft.com/office/spreadsheetml/2017/richdata2" ref="AI2:AL25">
    <sortCondition ref="AL1:AL25"/>
  </sortState>
  <tableColumns count="6">
    <tableColumn id="1" xr3:uid="{973D7FFB-D248-4199-9B2E-B3C6CC09D382}" name="Crop" dataDxfId="218"/>
    <tableColumn id="2" xr3:uid="{7F2A3986-EC86-4CF9-BD10-791170BA6682}" name="P Offtake" dataDxfId="217"/>
    <tableColumn id="3" xr3:uid="{D6129C35-9DC6-42E5-AE3F-EA3A083168E6}" name="K Offtake" dataDxfId="216"/>
    <tableColumn id="4" xr3:uid="{C1CC42B5-564A-4DE7-B817-B7D686FE9A11}" name="Order" dataDxfId="215"/>
    <tableColumn id="5" xr3:uid="{620F3ABD-564C-411A-8DEA-CE1A34F9FC36}" name="Lime pH requirement" dataDxfId="214"/>
    <tableColumn id="6" xr3:uid="{76C9BC4F-4FF3-4AFB-8E7B-16DC0CC3E97C}" name="Column1" dataDxfId="21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80" dataDxfId="178" headerRowBorderDxfId="179" tableBorderDxfId="177" totalsRowBorderDxfId="176">
  <autoFilter ref="AI1:AN26" xr:uid="{F8B5EC87-3095-445A-A980-2CFAA0A7B9A2}"/>
  <sortState xmlns:xlrd2="http://schemas.microsoft.com/office/spreadsheetml/2017/richdata2" ref="AI2:AL25">
    <sortCondition ref="AL1:AL25"/>
  </sortState>
  <tableColumns count="6">
    <tableColumn id="1" xr3:uid="{D13A12FC-EAE6-4280-A219-C2622262E5F4}" name="Crop" dataDxfId="175"/>
    <tableColumn id="2" xr3:uid="{FD06C4A3-4B75-490D-88CF-232C7DC3EFC6}" name="P Offtake" dataDxfId="174"/>
    <tableColumn id="3" xr3:uid="{B043BEFF-10D4-4840-989B-BB13A502ECDF}" name="K Offtake" dataDxfId="173"/>
    <tableColumn id="4" xr3:uid="{48481FDC-5D20-466C-B554-D45886EA366A}" name="Order" dataDxfId="172"/>
    <tableColumn id="5" xr3:uid="{9E0852D2-9D0D-44AB-98B7-FBA51F331ACF}" name="Lime pH requirement" dataDxfId="171"/>
    <tableColumn id="6" xr3:uid="{29F9C4A5-6854-4F37-8BD1-0DD9B6024A55}" name="Column1" dataDxfId="1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7" dataDxfId="135" headerRowBorderDxfId="136" tableBorderDxfId="134" totalsRowBorderDxfId="133">
  <autoFilter ref="AI1:AN26" xr:uid="{F8B5EC87-3095-445A-A980-2CFAA0A7B9A2}"/>
  <sortState xmlns:xlrd2="http://schemas.microsoft.com/office/spreadsheetml/2017/richdata2" ref="AI2:AL25">
    <sortCondition ref="AL1:AL25"/>
  </sortState>
  <tableColumns count="6">
    <tableColumn id="1" xr3:uid="{1B554ED3-7AAF-4192-827C-B071945474B8}" name="Crop" dataDxfId="132"/>
    <tableColumn id="2" xr3:uid="{35F435E0-8D8E-44D1-84BD-C2FF51C3F944}" name="P Offtake" dataDxfId="131"/>
    <tableColumn id="3" xr3:uid="{38465C9D-AA8F-443A-80F5-96D1F6258317}" name="K Offtake" dataDxfId="130"/>
    <tableColumn id="4" xr3:uid="{E0C0E6AF-5628-4BC3-9625-81A87B93D279}" name="Order" dataDxfId="129"/>
    <tableColumn id="5" xr3:uid="{ACDE1D9A-7F94-4404-BDDC-1235C32C758F}" name="Lime pH requirement" dataDxfId="128"/>
    <tableColumn id="6" xr3:uid="{B093C9DF-C4CF-4906-9658-89F446EB9C12}" name="Column1" dataDxfId="12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9" zoomScale="90" zoomScaleNormal="90" workbookViewId="0">
      <selection activeCell="C31" sqref="C3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9" t="s">
        <v>41</v>
      </c>
      <c r="B1" s="129"/>
      <c r="C1" s="123" t="s">
        <v>160</v>
      </c>
      <c r="D1" s="124"/>
      <c r="E1" s="93" t="s">
        <v>45</v>
      </c>
      <c r="F1" s="96">
        <v>48.6</v>
      </c>
      <c r="G1" s="125" t="s">
        <v>43</v>
      </c>
      <c r="H1" s="126"/>
      <c r="I1" s="96">
        <v>6.01</v>
      </c>
      <c r="J1" s="129" t="s">
        <v>153</v>
      </c>
      <c r="K1" s="129"/>
      <c r="L1" s="96">
        <v>648</v>
      </c>
      <c r="AB1" s="18"/>
      <c r="AC1" s="18"/>
      <c r="AD1" s="30" t="s">
        <v>126</v>
      </c>
      <c r="AE1" s="17"/>
      <c r="AF1" s="17"/>
      <c r="AG1" s="18"/>
      <c r="AH1" s="18"/>
      <c r="AI1" s="40" t="s">
        <v>79</v>
      </c>
      <c r="AJ1" s="41" t="s">
        <v>94</v>
      </c>
      <c r="AK1" s="42" t="s">
        <v>95</v>
      </c>
      <c r="AL1" s="43" t="s">
        <v>125</v>
      </c>
      <c r="AM1" s="43" t="s">
        <v>131</v>
      </c>
      <c r="AN1" s="43" t="s">
        <v>111</v>
      </c>
    </row>
    <row r="2" spans="1:40" x14ac:dyDescent="0.2">
      <c r="A2" s="129" t="s">
        <v>87</v>
      </c>
      <c r="B2" s="129"/>
      <c r="C2" s="121" t="s">
        <v>161</v>
      </c>
      <c r="D2" s="122"/>
      <c r="E2" s="93" t="s">
        <v>109</v>
      </c>
      <c r="F2" s="96" t="s">
        <v>165</v>
      </c>
      <c r="G2" s="127" t="s">
        <v>110</v>
      </c>
      <c r="H2" s="128"/>
      <c r="I2" s="96">
        <v>1818</v>
      </c>
      <c r="J2" s="129" t="s">
        <v>158</v>
      </c>
      <c r="K2" s="129"/>
      <c r="L2" s="96">
        <v>0.3</v>
      </c>
      <c r="AB2" s="30" t="s">
        <v>56</v>
      </c>
      <c r="AC2" s="17"/>
      <c r="AD2" s="30" t="s">
        <v>70</v>
      </c>
      <c r="AE2" s="17"/>
      <c r="AF2" s="17"/>
      <c r="AG2" s="44" t="s">
        <v>76</v>
      </c>
      <c r="AH2" s="18"/>
      <c r="AI2" s="45" t="s">
        <v>126</v>
      </c>
      <c r="AJ2" s="46">
        <v>0</v>
      </c>
      <c r="AK2" s="47">
        <v>0</v>
      </c>
      <c r="AL2" s="10">
        <v>0</v>
      </c>
      <c r="AM2" s="11">
        <v>0</v>
      </c>
      <c r="AN2" s="11">
        <v>0</v>
      </c>
    </row>
    <row r="3" spans="1:40" x14ac:dyDescent="0.2">
      <c r="A3" s="125" t="s">
        <v>42</v>
      </c>
      <c r="B3" s="126"/>
      <c r="C3" s="121" t="s">
        <v>162</v>
      </c>
      <c r="D3" s="122"/>
      <c r="E3" s="93" t="s">
        <v>108</v>
      </c>
      <c r="F3" s="31" t="s">
        <v>78</v>
      </c>
      <c r="G3" s="129" t="s">
        <v>159</v>
      </c>
      <c r="H3" s="129"/>
      <c r="I3" s="96"/>
      <c r="J3" s="125" t="s">
        <v>154</v>
      </c>
      <c r="K3" s="126"/>
      <c r="L3" s="96">
        <f>(L1/(L2*10000))*100</f>
        <v>21.6</v>
      </c>
      <c r="AB3" s="30" t="s">
        <v>57</v>
      </c>
      <c r="AC3" s="17"/>
      <c r="AD3" s="30" t="s">
        <v>71</v>
      </c>
      <c r="AE3" s="17"/>
      <c r="AF3" s="17"/>
      <c r="AG3" s="44" t="s">
        <v>77</v>
      </c>
      <c r="AH3" s="18"/>
      <c r="AI3" s="48" t="s">
        <v>113</v>
      </c>
      <c r="AJ3" s="49">
        <v>1.7</v>
      </c>
      <c r="AK3" s="50">
        <v>6</v>
      </c>
      <c r="AL3" s="51">
        <v>1</v>
      </c>
      <c r="AM3" s="11">
        <v>6.2</v>
      </c>
      <c r="AN3" s="11" t="s">
        <v>112</v>
      </c>
    </row>
    <row r="4" spans="1:40" x14ac:dyDescent="0.2">
      <c r="A4" s="129" t="s">
        <v>0</v>
      </c>
      <c r="B4" s="129"/>
      <c r="C4" s="123" t="s">
        <v>163</v>
      </c>
      <c r="D4" s="124"/>
      <c r="E4" s="94" t="s">
        <v>1</v>
      </c>
      <c r="F4" s="95" t="s">
        <v>166</v>
      </c>
      <c r="G4" s="129"/>
      <c r="H4" s="129"/>
      <c r="I4" s="96"/>
      <c r="J4" s="125"/>
      <c r="K4" s="126"/>
      <c r="L4" s="96"/>
      <c r="AB4" s="30" t="s">
        <v>52</v>
      </c>
      <c r="AC4" s="17"/>
      <c r="AD4" s="52" t="s">
        <v>72</v>
      </c>
      <c r="AE4" s="17"/>
      <c r="AF4" s="17"/>
      <c r="AG4" s="44" t="s">
        <v>78</v>
      </c>
      <c r="AH4" s="18"/>
      <c r="AI4" s="53" t="s">
        <v>124</v>
      </c>
      <c r="AJ4" s="54">
        <v>7</v>
      </c>
      <c r="AK4" s="55">
        <v>10.5</v>
      </c>
      <c r="AL4" s="11">
        <v>2</v>
      </c>
      <c r="AM4" s="11">
        <v>6.7</v>
      </c>
      <c r="AN4" s="11" t="s">
        <v>135</v>
      </c>
    </row>
    <row r="5" spans="1:40" x14ac:dyDescent="0.2">
      <c r="A5" s="129" t="s">
        <v>47</v>
      </c>
      <c r="B5" s="129"/>
      <c r="C5" s="130" t="s">
        <v>164</v>
      </c>
      <c r="D5" s="130"/>
      <c r="E5" s="94"/>
      <c r="F5" s="95"/>
      <c r="G5" s="129"/>
      <c r="H5" s="129"/>
      <c r="I5" s="96"/>
      <c r="J5" s="125"/>
      <c r="K5" s="126"/>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9" t="s">
        <v>2</v>
      </c>
      <c r="B8" s="129"/>
      <c r="C8" s="15">
        <v>2991</v>
      </c>
      <c r="D8" s="15">
        <v>3799</v>
      </c>
      <c r="E8" s="15">
        <v>5694</v>
      </c>
      <c r="F8" s="15">
        <v>5813</v>
      </c>
      <c r="G8" s="15">
        <v>716</v>
      </c>
      <c r="H8" s="15">
        <v>9596</v>
      </c>
      <c r="I8" s="15">
        <v>2211</v>
      </c>
      <c r="J8" s="15">
        <v>1390</v>
      </c>
      <c r="K8" s="15">
        <v>3398</v>
      </c>
      <c r="L8" s="15">
        <v>2881</v>
      </c>
      <c r="M8" s="15">
        <v>2565</v>
      </c>
      <c r="N8" s="15">
        <v>4279</v>
      </c>
      <c r="O8" s="15">
        <v>5490</v>
      </c>
      <c r="P8" s="15">
        <v>5905</v>
      </c>
      <c r="Q8" s="15">
        <v>6418</v>
      </c>
      <c r="R8" s="15">
        <v>7605</v>
      </c>
      <c r="S8" s="15">
        <v>7887</v>
      </c>
      <c r="T8" s="15">
        <v>5974</v>
      </c>
      <c r="U8" s="15">
        <v>3581</v>
      </c>
      <c r="V8" s="15">
        <v>2946</v>
      </c>
      <c r="AB8" s="61"/>
      <c r="AC8" s="61"/>
      <c r="AD8" s="18"/>
      <c r="AE8" s="17" t="s">
        <v>139</v>
      </c>
      <c r="AF8" s="17"/>
      <c r="AG8" s="18"/>
      <c r="AH8" s="18"/>
      <c r="AI8" s="53" t="s">
        <v>105</v>
      </c>
      <c r="AJ8" s="62">
        <v>1.4</v>
      </c>
      <c r="AK8" s="55">
        <v>4.4000000000000004</v>
      </c>
      <c r="AL8" s="11">
        <v>6</v>
      </c>
      <c r="AM8" s="11">
        <v>6.7</v>
      </c>
      <c r="AN8" s="11" t="s">
        <v>135</v>
      </c>
    </row>
    <row r="9" spans="1:40" x14ac:dyDescent="0.2">
      <c r="A9" s="129" t="s">
        <v>3</v>
      </c>
      <c r="B9" s="129"/>
      <c r="C9" s="15" t="s">
        <v>178</v>
      </c>
      <c r="D9" s="15" t="s">
        <v>178</v>
      </c>
      <c r="E9" s="15" t="s">
        <v>178</v>
      </c>
      <c r="F9" s="15" t="s">
        <v>178</v>
      </c>
      <c r="G9" s="15">
        <v>1</v>
      </c>
      <c r="H9" s="15" t="s">
        <v>178</v>
      </c>
      <c r="I9" s="15">
        <v>1</v>
      </c>
      <c r="J9" s="15">
        <v>1</v>
      </c>
      <c r="K9" s="15" t="s">
        <v>178</v>
      </c>
      <c r="L9" s="15" t="s">
        <v>178</v>
      </c>
      <c r="M9" s="15" t="s">
        <v>178</v>
      </c>
      <c r="N9" s="15" t="s">
        <v>178</v>
      </c>
      <c r="O9" s="15" t="s">
        <v>178</v>
      </c>
      <c r="P9" s="15" t="s">
        <v>178</v>
      </c>
      <c r="Q9" s="15" t="s">
        <v>178</v>
      </c>
      <c r="R9" s="15" t="s">
        <v>178</v>
      </c>
      <c r="S9" s="15" t="s">
        <v>178</v>
      </c>
      <c r="T9" s="15" t="s">
        <v>178</v>
      </c>
      <c r="U9" s="15" t="s">
        <v>178</v>
      </c>
      <c r="V9" s="15" t="s">
        <v>178</v>
      </c>
      <c r="AB9" s="17"/>
      <c r="AC9" s="17"/>
      <c r="AD9" s="30" t="s">
        <v>137</v>
      </c>
      <c r="AE9" s="30">
        <v>4.5</v>
      </c>
      <c r="AF9" s="17"/>
      <c r="AG9" s="18"/>
      <c r="AH9" s="18"/>
      <c r="AI9" s="63" t="s">
        <v>103</v>
      </c>
      <c r="AJ9" s="64">
        <v>0.7</v>
      </c>
      <c r="AK9" s="65">
        <v>4</v>
      </c>
      <c r="AL9" s="29">
        <v>7</v>
      </c>
      <c r="AM9" s="11">
        <v>6.7</v>
      </c>
      <c r="AN9" s="11" t="s">
        <v>135</v>
      </c>
    </row>
    <row r="10" spans="1:40" x14ac:dyDescent="0.2">
      <c r="A10" s="129" t="s">
        <v>4</v>
      </c>
      <c r="B10" s="129"/>
      <c r="C10" s="15">
        <v>5.7</v>
      </c>
      <c r="D10" s="15">
        <v>6.4</v>
      </c>
      <c r="E10" s="15">
        <v>6.5</v>
      </c>
      <c r="F10" s="15">
        <v>6.7</v>
      </c>
      <c r="G10" s="15">
        <v>6.4</v>
      </c>
      <c r="H10" s="15">
        <v>5.5</v>
      </c>
      <c r="I10" s="15">
        <v>6</v>
      </c>
      <c r="J10" s="15">
        <v>5.4</v>
      </c>
      <c r="K10" s="15">
        <v>5.9</v>
      </c>
      <c r="L10" s="15">
        <v>5.6</v>
      </c>
      <c r="M10" s="15">
        <v>5.5</v>
      </c>
      <c r="N10" s="15">
        <v>5.6</v>
      </c>
      <c r="O10" s="15">
        <v>6.1</v>
      </c>
      <c r="P10" s="15">
        <v>6.2</v>
      </c>
      <c r="Q10" s="15">
        <v>5.8</v>
      </c>
      <c r="R10" s="15">
        <v>6.3</v>
      </c>
      <c r="S10" s="15">
        <v>6.1</v>
      </c>
      <c r="T10" s="15">
        <v>6</v>
      </c>
      <c r="U10" s="15">
        <v>6</v>
      </c>
      <c r="V10" s="15">
        <v>5.5</v>
      </c>
      <c r="AB10" s="17"/>
      <c r="AC10" s="17"/>
      <c r="AD10" s="30" t="s">
        <v>140</v>
      </c>
      <c r="AE10" s="30">
        <v>5</v>
      </c>
      <c r="AF10" s="17"/>
      <c r="AG10" s="18"/>
      <c r="AH10" s="18"/>
      <c r="AI10" s="53" t="s">
        <v>97</v>
      </c>
      <c r="AJ10" s="54">
        <v>9</v>
      </c>
      <c r="AK10" s="55">
        <v>16.5</v>
      </c>
      <c r="AL10" s="11">
        <v>8</v>
      </c>
      <c r="AM10" s="11">
        <v>6.7</v>
      </c>
      <c r="AN10" s="11" t="s">
        <v>135</v>
      </c>
    </row>
    <row r="11" spans="1:40" x14ac:dyDescent="0.2">
      <c r="A11" s="129" t="s">
        <v>5</v>
      </c>
      <c r="B11" s="129"/>
      <c r="C11" s="15">
        <v>2</v>
      </c>
      <c r="D11" s="15">
        <v>2</v>
      </c>
      <c r="E11" s="15">
        <v>2</v>
      </c>
      <c r="F11" s="15">
        <v>2</v>
      </c>
      <c r="G11" s="15">
        <v>2</v>
      </c>
      <c r="H11" s="15">
        <v>2</v>
      </c>
      <c r="I11" s="15">
        <v>2</v>
      </c>
      <c r="J11" s="15">
        <v>3</v>
      </c>
      <c r="K11" s="15">
        <v>2</v>
      </c>
      <c r="L11" s="15">
        <v>2</v>
      </c>
      <c r="M11" s="15">
        <v>3</v>
      </c>
      <c r="N11" s="15">
        <v>3</v>
      </c>
      <c r="O11" s="15">
        <v>2</v>
      </c>
      <c r="P11" s="15">
        <v>2</v>
      </c>
      <c r="Q11" s="15">
        <v>2</v>
      </c>
      <c r="R11" s="15">
        <v>2</v>
      </c>
      <c r="S11" s="15">
        <v>1</v>
      </c>
      <c r="T11" s="15">
        <v>3</v>
      </c>
      <c r="U11" s="15">
        <v>3</v>
      </c>
      <c r="V11" s="15">
        <v>3</v>
      </c>
      <c r="AB11" s="17"/>
      <c r="AC11" s="17"/>
      <c r="AD11" s="52" t="s">
        <v>141</v>
      </c>
      <c r="AE11" s="30">
        <v>6</v>
      </c>
      <c r="AF11" s="17"/>
      <c r="AG11" s="18"/>
      <c r="AH11" s="18"/>
      <c r="AI11" s="53" t="s">
        <v>122</v>
      </c>
      <c r="AJ11" s="54">
        <v>15</v>
      </c>
      <c r="AK11" s="55">
        <v>17.5</v>
      </c>
      <c r="AL11" s="11">
        <v>9</v>
      </c>
      <c r="AM11" s="11">
        <v>7</v>
      </c>
      <c r="AN11" s="11" t="s">
        <v>135</v>
      </c>
    </row>
    <row r="12" spans="1:40" x14ac:dyDescent="0.2">
      <c r="A12" s="129" t="s">
        <v>6</v>
      </c>
      <c r="B12" s="129"/>
      <c r="C12" s="15">
        <v>1</v>
      </c>
      <c r="D12" s="15">
        <v>1</v>
      </c>
      <c r="E12" s="15">
        <v>2</v>
      </c>
      <c r="F12" s="15">
        <v>1</v>
      </c>
      <c r="G12" s="15">
        <v>2</v>
      </c>
      <c r="H12" s="15">
        <v>1</v>
      </c>
      <c r="I12" s="15">
        <v>2</v>
      </c>
      <c r="J12" s="15">
        <v>2</v>
      </c>
      <c r="K12" s="15">
        <v>3</v>
      </c>
      <c r="L12" s="15">
        <v>3</v>
      </c>
      <c r="M12" s="15">
        <v>4</v>
      </c>
      <c r="N12" s="15">
        <v>3</v>
      </c>
      <c r="O12" s="15">
        <v>2</v>
      </c>
      <c r="P12" s="15">
        <v>2</v>
      </c>
      <c r="Q12" s="15">
        <v>3</v>
      </c>
      <c r="R12" s="15">
        <v>2</v>
      </c>
      <c r="S12" s="15">
        <v>2</v>
      </c>
      <c r="T12" s="15">
        <v>4</v>
      </c>
      <c r="U12" s="15">
        <v>2</v>
      </c>
      <c r="V12" s="15">
        <v>2</v>
      </c>
      <c r="AB12" s="17"/>
      <c r="AC12" s="17"/>
      <c r="AD12" s="52" t="s">
        <v>142</v>
      </c>
      <c r="AE12" s="30">
        <v>7.5</v>
      </c>
      <c r="AF12" s="17"/>
      <c r="AG12" s="18"/>
      <c r="AH12" s="18"/>
      <c r="AI12" s="53" t="s">
        <v>121</v>
      </c>
      <c r="AJ12" s="54">
        <v>14</v>
      </c>
      <c r="AK12" s="55">
        <v>11</v>
      </c>
      <c r="AL12" s="11">
        <v>10</v>
      </c>
      <c r="AM12" s="11">
        <v>7</v>
      </c>
      <c r="AN12" s="11" t="s">
        <v>135</v>
      </c>
    </row>
    <row r="13" spans="1:40" x14ac:dyDescent="0.2">
      <c r="A13" s="129" t="s">
        <v>7</v>
      </c>
      <c r="B13" s="129"/>
      <c r="C13" s="15">
        <v>3</v>
      </c>
      <c r="D13" s="15">
        <v>2</v>
      </c>
      <c r="E13" s="15">
        <v>2</v>
      </c>
      <c r="F13" s="15">
        <v>2</v>
      </c>
      <c r="G13" s="15">
        <v>2</v>
      </c>
      <c r="H13" s="15">
        <v>2</v>
      </c>
      <c r="I13" s="15">
        <v>3</v>
      </c>
      <c r="J13" s="15">
        <v>3</v>
      </c>
      <c r="K13" s="15">
        <v>3</v>
      </c>
      <c r="L13" s="15">
        <v>2</v>
      </c>
      <c r="M13" s="15">
        <v>3</v>
      </c>
      <c r="N13" s="15">
        <v>3</v>
      </c>
      <c r="O13" s="15">
        <v>3</v>
      </c>
      <c r="P13" s="15">
        <v>3</v>
      </c>
      <c r="Q13" s="15">
        <v>3</v>
      </c>
      <c r="R13" s="15">
        <v>3</v>
      </c>
      <c r="S13" s="15">
        <v>3</v>
      </c>
      <c r="T13" s="15">
        <v>4</v>
      </c>
      <c r="U13" s="15">
        <v>3</v>
      </c>
      <c r="V13" s="15">
        <v>2</v>
      </c>
      <c r="AB13" s="17"/>
      <c r="AC13" s="17"/>
      <c r="AD13" s="52" t="s">
        <v>143</v>
      </c>
      <c r="AE13" s="30">
        <v>12</v>
      </c>
      <c r="AF13" s="17"/>
      <c r="AG13" s="18"/>
      <c r="AH13" s="18"/>
      <c r="AI13" s="53" t="s">
        <v>120</v>
      </c>
      <c r="AJ13" s="54">
        <v>1.9</v>
      </c>
      <c r="AK13" s="55">
        <v>7.5</v>
      </c>
      <c r="AL13" s="11">
        <v>11</v>
      </c>
      <c r="AM13" s="11">
        <v>6.7</v>
      </c>
      <c r="AN13" s="11" t="s">
        <v>135</v>
      </c>
    </row>
    <row r="14" spans="1:40" x14ac:dyDescent="0.2">
      <c r="A14" s="138" t="s">
        <v>8</v>
      </c>
      <c r="B14" s="138"/>
      <c r="C14" s="100" t="s">
        <v>113</v>
      </c>
      <c r="D14" s="100" t="s">
        <v>113</v>
      </c>
      <c r="E14" s="100" t="s">
        <v>113</v>
      </c>
      <c r="F14" s="100" t="s">
        <v>113</v>
      </c>
      <c r="G14" s="100" t="s">
        <v>105</v>
      </c>
      <c r="H14" s="100" t="s">
        <v>113</v>
      </c>
      <c r="I14" s="100" t="s">
        <v>105</v>
      </c>
      <c r="J14" s="100" t="s">
        <v>105</v>
      </c>
      <c r="K14" s="100" t="s">
        <v>113</v>
      </c>
      <c r="L14" s="100" t="s">
        <v>113</v>
      </c>
      <c r="M14" s="100" t="s">
        <v>113</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x14ac:dyDescent="0.2">
      <c r="A15" s="137" t="s">
        <v>9</v>
      </c>
      <c r="B15" s="137"/>
      <c r="C15" s="15">
        <v>38</v>
      </c>
      <c r="D15" s="15">
        <v>38</v>
      </c>
      <c r="E15" s="15">
        <v>38</v>
      </c>
      <c r="F15" s="15">
        <v>38</v>
      </c>
      <c r="G15" s="15">
        <v>40</v>
      </c>
      <c r="H15" s="15">
        <v>38</v>
      </c>
      <c r="I15" s="15">
        <v>40</v>
      </c>
      <c r="J15" s="15">
        <v>40</v>
      </c>
      <c r="K15" s="15">
        <v>38</v>
      </c>
      <c r="L15" s="15">
        <v>38</v>
      </c>
      <c r="M15" s="15">
        <v>38</v>
      </c>
      <c r="N15" s="15">
        <v>38</v>
      </c>
      <c r="O15" s="15">
        <v>38</v>
      </c>
      <c r="P15" s="15">
        <v>38</v>
      </c>
      <c r="Q15" s="15">
        <v>38</v>
      </c>
      <c r="R15" s="15">
        <v>38</v>
      </c>
      <c r="S15" s="15">
        <v>38</v>
      </c>
      <c r="T15" s="15">
        <v>38</v>
      </c>
      <c r="U15" s="15">
        <v>38</v>
      </c>
      <c r="V15" s="15">
        <v>38</v>
      </c>
      <c r="AD15" s="30" t="s">
        <v>144</v>
      </c>
      <c r="AE15" s="30">
        <v>7</v>
      </c>
      <c r="AI15" s="53" t="s">
        <v>101</v>
      </c>
      <c r="AJ15" s="62">
        <v>1.8</v>
      </c>
      <c r="AK15" s="55">
        <v>5.4</v>
      </c>
      <c r="AL15" s="11">
        <v>13</v>
      </c>
      <c r="AM15" s="11">
        <v>6.7</v>
      </c>
      <c r="AN15" s="11" t="s">
        <v>135</v>
      </c>
    </row>
    <row r="16" spans="1:40" ht="13.5" thickBot="1" x14ac:dyDescent="0.25">
      <c r="A16" s="139" t="s">
        <v>44</v>
      </c>
      <c r="B16" s="139"/>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63.341567999999995</v>
      </c>
      <c r="D18" s="16">
        <f>$D32</f>
        <v>63.341567999999995</v>
      </c>
      <c r="E18" s="16">
        <f>$D33</f>
        <v>63.341567999999995</v>
      </c>
      <c r="F18" s="16">
        <f>$D34</f>
        <v>63.341567999999995</v>
      </c>
      <c r="G18" s="16">
        <f>$D35</f>
        <v>55.423871999999996</v>
      </c>
      <c r="H18" s="16">
        <f>$D36</f>
        <v>63.341567999999995</v>
      </c>
      <c r="I18" s="16">
        <f>$D37</f>
        <v>55.423871999999996</v>
      </c>
      <c r="J18" s="16">
        <f>$D38</f>
        <v>55.423871999999996</v>
      </c>
      <c r="K18" s="16">
        <f>$D39</f>
        <v>63.341567999999995</v>
      </c>
      <c r="L18" s="16">
        <f>$D40</f>
        <v>63.341567999999995</v>
      </c>
      <c r="M18" s="16">
        <f>$D41</f>
        <v>63.341567999999995</v>
      </c>
      <c r="N18" s="16">
        <f>$D42</f>
        <v>63.341567999999995</v>
      </c>
      <c r="O18" s="16">
        <f>$D43</f>
        <v>63.341567999999995</v>
      </c>
      <c r="P18" s="16">
        <f>$D44</f>
        <v>63.341567999999995</v>
      </c>
      <c r="Q18" s="16">
        <f>$D45</f>
        <v>63.341567999999995</v>
      </c>
      <c r="R18" s="16">
        <f>$D46</f>
        <v>63.341567999999995</v>
      </c>
      <c r="S18" s="16">
        <f>$D47</f>
        <v>63.341567999999995</v>
      </c>
      <c r="T18" s="16">
        <f>$D48</f>
        <v>63.341567999999995</v>
      </c>
      <c r="U18" s="16">
        <f>$D49</f>
        <v>63.341567999999995</v>
      </c>
      <c r="V18" s="25">
        <f>$D50</f>
        <v>63.341567999999995</v>
      </c>
      <c r="AD18" s="52" t="s">
        <v>147</v>
      </c>
      <c r="AE18" s="30">
        <v>16</v>
      </c>
      <c r="AI18" s="48" t="s">
        <v>106</v>
      </c>
      <c r="AJ18" s="49">
        <v>5.9</v>
      </c>
      <c r="AK18" s="50">
        <v>18</v>
      </c>
      <c r="AL18" s="51">
        <v>16</v>
      </c>
      <c r="AM18" s="11">
        <v>6.2</v>
      </c>
      <c r="AN18" s="11" t="s">
        <v>112</v>
      </c>
    </row>
    <row r="19" spans="1:40" x14ac:dyDescent="0.2">
      <c r="A19" s="133" t="s">
        <v>90</v>
      </c>
      <c r="B19" s="134"/>
      <c r="C19" s="16">
        <f>C18-C17</f>
        <v>-1.2584319999999991</v>
      </c>
      <c r="D19" s="16">
        <f t="shared" ref="D19:V19" si="1">D18-D17</f>
        <v>-1.2584319999999991</v>
      </c>
      <c r="E19" s="16">
        <f t="shared" si="1"/>
        <v>-1.2584319999999991</v>
      </c>
      <c r="F19" s="16">
        <f t="shared" si="1"/>
        <v>-1.2584319999999991</v>
      </c>
      <c r="G19" s="16">
        <f t="shared" si="1"/>
        <v>-0.57612800000000419</v>
      </c>
      <c r="H19" s="16">
        <f t="shared" si="1"/>
        <v>-1.2584319999999991</v>
      </c>
      <c r="I19" s="16">
        <f t="shared" si="1"/>
        <v>-0.57612800000000419</v>
      </c>
      <c r="J19" s="16">
        <f t="shared" si="1"/>
        <v>-0.57612800000000419</v>
      </c>
      <c r="K19" s="16">
        <f t="shared" si="1"/>
        <v>-1.2584319999999991</v>
      </c>
      <c r="L19" s="16">
        <f t="shared" si="1"/>
        <v>-1.2584319999999991</v>
      </c>
      <c r="M19" s="16">
        <f t="shared" si="1"/>
        <v>-1.2584319999999991</v>
      </c>
      <c r="N19" s="16">
        <f t="shared" si="1"/>
        <v>-1.2584319999999991</v>
      </c>
      <c r="O19" s="16">
        <f t="shared" si="1"/>
        <v>-1.2584319999999991</v>
      </c>
      <c r="P19" s="16">
        <f t="shared" si="1"/>
        <v>-1.2584319999999991</v>
      </c>
      <c r="Q19" s="16">
        <f t="shared" si="1"/>
        <v>-1.2584319999999991</v>
      </c>
      <c r="R19" s="16">
        <f t="shared" si="1"/>
        <v>-1.2584319999999991</v>
      </c>
      <c r="S19" s="16">
        <f t="shared" si="1"/>
        <v>-1.2584319999999991</v>
      </c>
      <c r="T19" s="16">
        <f t="shared" si="1"/>
        <v>-1.2584319999999991</v>
      </c>
      <c r="U19" s="16">
        <f t="shared" si="1"/>
        <v>-1.2584319999999991</v>
      </c>
      <c r="V19" s="25">
        <f t="shared" si="1"/>
        <v>-1.2584319999999991</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20.128320000000002</v>
      </c>
      <c r="D22" s="16">
        <f>$E32</f>
        <v>20.128320000000002</v>
      </c>
      <c r="E22" s="16">
        <f>$E33</f>
        <v>20.128320000000002</v>
      </c>
      <c r="F22" s="16">
        <f>$E34</f>
        <v>20.128320000000002</v>
      </c>
      <c r="G22" s="16">
        <f>$E35</f>
        <v>17.612280000000002</v>
      </c>
      <c r="H22" s="16">
        <f>$E36</f>
        <v>20.128320000000002</v>
      </c>
      <c r="I22" s="16">
        <f>$E37</f>
        <v>17.612280000000002</v>
      </c>
      <c r="J22" s="16">
        <f>$E38</f>
        <v>17.612280000000002</v>
      </c>
      <c r="K22" s="16">
        <f>$E39</f>
        <v>20.128320000000002</v>
      </c>
      <c r="L22" s="16">
        <f>$E40</f>
        <v>20.128320000000002</v>
      </c>
      <c r="M22" s="16">
        <f>$E41</f>
        <v>20.128320000000002</v>
      </c>
      <c r="N22" s="16">
        <f>$E42</f>
        <v>20.128320000000002</v>
      </c>
      <c r="O22" s="16">
        <f>$E43</f>
        <v>20.128320000000002</v>
      </c>
      <c r="P22" s="16">
        <f>$E44</f>
        <v>20.128320000000002</v>
      </c>
      <c r="Q22" s="16">
        <f>$E45</f>
        <v>20.128320000000002</v>
      </c>
      <c r="R22" s="16">
        <f>$E46</f>
        <v>20.128320000000002</v>
      </c>
      <c r="S22" s="16">
        <f>$E47</f>
        <v>20.128320000000002</v>
      </c>
      <c r="T22" s="16">
        <f>$E48</f>
        <v>20.128320000000002</v>
      </c>
      <c r="U22" s="16">
        <f>$E49</f>
        <v>20.128320000000002</v>
      </c>
      <c r="V22" s="16">
        <f>$E50</f>
        <v>20.128320000000002</v>
      </c>
      <c r="AI22" s="63" t="s">
        <v>102</v>
      </c>
      <c r="AJ22" s="64">
        <v>1.2</v>
      </c>
      <c r="AK22" s="65">
        <v>5</v>
      </c>
      <c r="AL22" s="29">
        <v>20</v>
      </c>
      <c r="AM22" s="11">
        <v>6.7</v>
      </c>
      <c r="AN22" s="11" t="s">
        <v>135</v>
      </c>
    </row>
    <row r="23" spans="1:40" x14ac:dyDescent="0.2">
      <c r="A23" s="133" t="s">
        <v>92</v>
      </c>
      <c r="B23" s="134"/>
      <c r="C23" s="16">
        <f>C22-C21</f>
        <v>-207.87168</v>
      </c>
      <c r="D23" s="16">
        <f t="shared" ref="D23:V23" si="3">D22-D21</f>
        <v>-207.87168</v>
      </c>
      <c r="E23" s="16">
        <f t="shared" si="3"/>
        <v>-207.87168</v>
      </c>
      <c r="F23" s="16">
        <f t="shared" si="3"/>
        <v>-207.87168</v>
      </c>
      <c r="G23" s="16">
        <f t="shared" si="3"/>
        <v>-158.38772</v>
      </c>
      <c r="H23" s="16">
        <f t="shared" si="3"/>
        <v>-207.87168</v>
      </c>
      <c r="I23" s="16">
        <f t="shared" si="3"/>
        <v>-158.38772</v>
      </c>
      <c r="J23" s="16">
        <f t="shared" si="3"/>
        <v>-158.38772</v>
      </c>
      <c r="K23" s="16">
        <f t="shared" si="3"/>
        <v>-207.87168</v>
      </c>
      <c r="L23" s="16">
        <f t="shared" si="3"/>
        <v>-207.87168</v>
      </c>
      <c r="M23" s="16">
        <f t="shared" si="3"/>
        <v>-207.87168</v>
      </c>
      <c r="N23" s="16">
        <f t="shared" si="3"/>
        <v>-207.87168</v>
      </c>
      <c r="O23" s="16">
        <f t="shared" si="3"/>
        <v>-207.87168</v>
      </c>
      <c r="P23" s="16">
        <f t="shared" si="3"/>
        <v>-207.87168</v>
      </c>
      <c r="Q23" s="16">
        <f t="shared" si="3"/>
        <v>-207.87168</v>
      </c>
      <c r="R23" s="16">
        <f t="shared" si="3"/>
        <v>-207.87168</v>
      </c>
      <c r="S23" s="16">
        <f t="shared" si="3"/>
        <v>-207.87168</v>
      </c>
      <c r="T23" s="16">
        <f t="shared" si="3"/>
        <v>-207.87168</v>
      </c>
      <c r="U23" s="16">
        <f t="shared" si="3"/>
        <v>-207.87168</v>
      </c>
      <c r="V23" s="16">
        <f t="shared" si="3"/>
        <v>-207.87168</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c r="R27" s="107"/>
      <c r="S27" s="107"/>
      <c r="T27" s="107"/>
      <c r="U27" s="107"/>
    </row>
    <row r="28" spans="1:40" s="57" customFormat="1" x14ac:dyDescent="0.25">
      <c r="A28" s="108"/>
      <c r="B28" s="24">
        <v>5.12</v>
      </c>
      <c r="C28" s="15">
        <v>0.3</v>
      </c>
      <c r="D28" s="15">
        <v>864</v>
      </c>
      <c r="E28" s="15">
        <v>522</v>
      </c>
      <c r="F28" s="15">
        <v>62.9</v>
      </c>
      <c r="G28" s="15">
        <v>2.34</v>
      </c>
      <c r="H28" s="15">
        <v>53.9</v>
      </c>
      <c r="I28" s="15">
        <v>3.21</v>
      </c>
      <c r="J28" s="15">
        <v>4.9000000000000002E-2</v>
      </c>
      <c r="K28" s="23">
        <v>0.05</v>
      </c>
      <c r="L28" s="15">
        <v>0.78</v>
      </c>
      <c r="M28" s="15">
        <v>0.93400000000000005</v>
      </c>
      <c r="N28" s="15"/>
      <c r="O28" s="15"/>
      <c r="P28" s="15">
        <v>1527</v>
      </c>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20">
        <v>32</v>
      </c>
      <c r="C31" s="77">
        <f>IF(C$27="%w/w SAR",((C$28*10)*$B31),IF(C$27="%w/w DM",(((C$28*10)*($B$28/100))*$B31),IF(C$27="kg/t SAR",(C$28*$B31),IF(C$27="kg/t DM",((C$28*($B$28/100))*$B31),IF(C$27="mg/kg SAR",((C$28*0.001)*$B31),IF(C$27="mg/kg DM",(((C$28*0.001)*($B$28/100))*$B31),0))))))</f>
        <v>96</v>
      </c>
      <c r="D31" s="77">
        <f>(IF(D$27="%w/w SAR",((D$28*10)*$B31),IF(D$27="%w/w DM",(((D$28*10)*($B$28/100))*$B31),IF(D$27="kg/t SAR",(D$28*$B31),IF(D$27="kg/t DM",((D$28*($B$28/100))*$B31),IF(D$27="mg/kg SAR",((D$28*0.001)*$B31),IF(D$27="mg/kg DM",(((D$28*0.001)*($B$28/100))*$B31),"0")))))))*2.291</f>
        <v>63.341567999999995</v>
      </c>
      <c r="E31" s="77">
        <f>(IF(E$27="%w/w SAR",((E$28*10)*$B31),IF(E$27="%w/w DM",(((E$28*10)*($B$28/100))*$B31),IF(E$27="kg/t SAR",(E$28*$B31),IF(E$27="kg/t DM",((E$28*($B$28/100))*$B31),IF(E$27="mg/kg SAR",((E$28*0.001)*$B31),IF(E$27="mg/kg DM",(((E$28*0.001)*($B$28/100))*$B31),"0")))))))*1.205</f>
        <v>20.128320000000002</v>
      </c>
      <c r="F31" s="77">
        <f>(IF(F$27="%w/w SAR",((F$28*10)*$B31),IF(F$27="%w/w DM",(((F$28*10)*($B$28/100))*$B31),IF(F$27="kg/t SAR",(F$28*$B31),IF(F$27="kg/t DM",((F$28*($B$28/100))*$B31),IF(F$27="mg/kg SAR",((F$28*0.001)*$B31),IF(F$27="mg/kg DM",(((F$28*0.001)*($B$28/100))*$B31),"0")))))))*1.658</f>
        <v>3.3372223999999999</v>
      </c>
      <c r="G31" s="77">
        <f t="shared" ref="G31:P31" si="5">IF(G$27="%w/w SAR",((G$28*10)*$B31),IF(G$27="%w/w DM",(((G$28*10)*($B$28/100))*$B31),IF(G$27="kg/t SAR",(G$28*$B31),IF(G$27="kg/t DM",((G$28*($B$28/100))*$B31),IF(G$27="mg/kg SAR",((G$28*0.001)*$B31),IF(G$27="mg/kg DM",(((G$28*0.001)*($B$28/100))*$B31),0))))))</f>
        <v>7.4880000000000002E-2</v>
      </c>
      <c r="H31" s="77">
        <f t="shared" si="5"/>
        <v>1.7247999999999999</v>
      </c>
      <c r="I31" s="77">
        <f t="shared" si="5"/>
        <v>0.10272000000000001</v>
      </c>
      <c r="J31" s="77">
        <f t="shared" si="5"/>
        <v>1.5680000000000002E-3</v>
      </c>
      <c r="K31" s="77">
        <f t="shared" si="5"/>
        <v>1.6000000000000001E-3</v>
      </c>
      <c r="L31" s="77">
        <f t="shared" si="5"/>
        <v>2.4960000000000003E-2</v>
      </c>
      <c r="M31" s="77">
        <f t="shared" si="5"/>
        <v>2.9888000000000001E-2</v>
      </c>
      <c r="N31" s="77">
        <f t="shared" si="5"/>
        <v>0</v>
      </c>
      <c r="O31" s="77">
        <f t="shared" si="5"/>
        <v>0</v>
      </c>
      <c r="P31" s="77">
        <f t="shared" si="5"/>
        <v>48.864000000000004</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20">
        <v>32</v>
      </c>
      <c r="C32" s="77">
        <f t="shared" ref="C32:C50" si="6">IF(C$27="%w/w SAR",((C$28*10)*$B32),IF(C$27="%w/w DM",(((C$28*10)*($B$28/100))*$B32),IF(C$27="kg/t SAR",(C$28*$B32),IF(C$27="kg/t DM",((C$28*($B$28/100))*$B32),IF(C$27="mg/kg SAR",((C$28*0.001)*$B32),IF(C$27="mg/kg DM",(((C$28*0.001)*($B$28/100))*$B32),0))))))</f>
        <v>96</v>
      </c>
      <c r="D32" s="77">
        <f t="shared" ref="D32:D50" si="7">(IF(D$27="%w/w SAR",((D$28*10)*$B32),IF(D$27="%w/w DM",(((D$28*10)*($B$28/100))*$B32),IF(D$27="kg/t SAR",(D$28*$B32),IF(D$27="kg/t DM",((D$28*($B$28/100))*$B32),IF(D$27="mg/kg SAR",((D$28*0.001)*$B32),IF(D$27="mg/kg DM",(((D$28*0.001)*($B$28/100))*$B32),"0")))))))*2.291</f>
        <v>63.341567999999995</v>
      </c>
      <c r="E32" s="77">
        <f t="shared" ref="E32:E50" si="8">(IF(E$27="%w/w SAR",((E$28*10)*$B32),IF(E$27="%w/w DM",(((E$28*10)*($B$28/100))*$B32),IF(E$27="kg/t SAR",(E$28*$B32),IF(E$27="kg/t DM",((E$28*($B$28/100))*$B32),IF(E$27="mg/kg SAR",((E$28*0.001)*$B32),IF(E$27="mg/kg DM",(((E$28*0.001)*($B$28/100))*$B32),"0")))))))*1.205</f>
        <v>20.128320000000002</v>
      </c>
      <c r="F32" s="77">
        <f t="shared" ref="F32:F50" si="9">(IF(F$27="%w/w SAR",((F$28*10)*$B32),IF(F$27="%w/w DM",(((F$28*10)*($B$28/100))*$B32),IF(F$27="kg/t SAR",(F$28*$B32),IF(F$27="kg/t DM",((F$28*($B$28/100))*$B32),IF(F$27="mg/kg SAR",((F$28*0.001)*$B32),IF(F$27="mg/kg DM",(((F$28*0.001)*($B$28/100))*$B32),"0")))))))*1.658</f>
        <v>3.3372223999999999</v>
      </c>
      <c r="G32" s="77">
        <f t="shared" ref="G32:P50" si="10">IF(G$27="%w/w SAR",((G$28*10)*$B32),IF(G$27="%w/w DM",(((G$28*10)*($B$28/100))*$B32),IF(G$27="kg/t SAR",(G$28*$B32),IF(G$27="kg/t DM",((G$28*($B$28/100))*$B32),IF(G$27="mg/kg SAR",((G$28*0.001)*$B32),IF(G$27="mg/kg DM",(((G$28*0.001)*($B$28/100))*$B32),0))))))</f>
        <v>7.4880000000000002E-2</v>
      </c>
      <c r="H32" s="77">
        <f t="shared" si="10"/>
        <v>1.7247999999999999</v>
      </c>
      <c r="I32" s="77">
        <f t="shared" si="10"/>
        <v>0.10272000000000001</v>
      </c>
      <c r="J32" s="77">
        <f t="shared" si="10"/>
        <v>1.5680000000000002E-3</v>
      </c>
      <c r="K32" s="77">
        <f t="shared" si="10"/>
        <v>1.6000000000000001E-3</v>
      </c>
      <c r="L32" s="77">
        <f t="shared" si="10"/>
        <v>2.4960000000000003E-2</v>
      </c>
      <c r="M32" s="77">
        <f t="shared" si="10"/>
        <v>2.9888000000000001E-2</v>
      </c>
      <c r="N32" s="77">
        <f t="shared" si="10"/>
        <v>0</v>
      </c>
      <c r="O32" s="77">
        <f t="shared" si="10"/>
        <v>0</v>
      </c>
      <c r="P32" s="77">
        <f t="shared" si="10"/>
        <v>48.864000000000004</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5694</v>
      </c>
      <c r="B33" s="120">
        <v>32</v>
      </c>
      <c r="C33" s="77">
        <f t="shared" si="6"/>
        <v>96</v>
      </c>
      <c r="D33" s="77">
        <f t="shared" si="7"/>
        <v>63.341567999999995</v>
      </c>
      <c r="E33" s="77">
        <f t="shared" si="8"/>
        <v>20.128320000000002</v>
      </c>
      <c r="F33" s="77">
        <f t="shared" si="9"/>
        <v>3.3372223999999999</v>
      </c>
      <c r="G33" s="77">
        <f t="shared" si="10"/>
        <v>7.4880000000000002E-2</v>
      </c>
      <c r="H33" s="77">
        <f t="shared" si="10"/>
        <v>1.7247999999999999</v>
      </c>
      <c r="I33" s="77">
        <f t="shared" si="10"/>
        <v>0.10272000000000001</v>
      </c>
      <c r="J33" s="77">
        <f t="shared" si="10"/>
        <v>1.5680000000000002E-3</v>
      </c>
      <c r="K33" s="77">
        <f t="shared" si="10"/>
        <v>1.6000000000000001E-3</v>
      </c>
      <c r="L33" s="77">
        <f t="shared" si="10"/>
        <v>2.4960000000000003E-2</v>
      </c>
      <c r="M33" s="77">
        <f t="shared" si="10"/>
        <v>2.9888000000000001E-2</v>
      </c>
      <c r="N33" s="77">
        <f t="shared" si="10"/>
        <v>0</v>
      </c>
      <c r="O33" s="77">
        <f t="shared" si="10"/>
        <v>0</v>
      </c>
      <c r="P33" s="77">
        <f t="shared" si="10"/>
        <v>48.864000000000004</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5813</v>
      </c>
      <c r="B34" s="120">
        <v>32</v>
      </c>
      <c r="C34" s="77">
        <f t="shared" si="6"/>
        <v>96</v>
      </c>
      <c r="D34" s="77">
        <f t="shared" si="7"/>
        <v>63.341567999999995</v>
      </c>
      <c r="E34" s="77">
        <f t="shared" si="8"/>
        <v>20.128320000000002</v>
      </c>
      <c r="F34" s="77">
        <f t="shared" si="9"/>
        <v>3.3372223999999999</v>
      </c>
      <c r="G34" s="77">
        <f t="shared" si="10"/>
        <v>7.4880000000000002E-2</v>
      </c>
      <c r="H34" s="77">
        <f t="shared" si="10"/>
        <v>1.7247999999999999</v>
      </c>
      <c r="I34" s="77">
        <f t="shared" si="10"/>
        <v>0.10272000000000001</v>
      </c>
      <c r="J34" s="77">
        <f t="shared" si="10"/>
        <v>1.5680000000000002E-3</v>
      </c>
      <c r="K34" s="77">
        <f t="shared" si="10"/>
        <v>1.6000000000000001E-3</v>
      </c>
      <c r="L34" s="77">
        <f t="shared" si="10"/>
        <v>2.4960000000000003E-2</v>
      </c>
      <c r="M34" s="77">
        <f t="shared" si="10"/>
        <v>2.9888000000000001E-2</v>
      </c>
      <c r="N34" s="77">
        <f t="shared" si="10"/>
        <v>0</v>
      </c>
      <c r="O34" s="77">
        <f t="shared" si="10"/>
        <v>0</v>
      </c>
      <c r="P34" s="77">
        <f t="shared" si="10"/>
        <v>48.864000000000004</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716</v>
      </c>
      <c r="B35" s="120">
        <v>28</v>
      </c>
      <c r="C35" s="77">
        <f t="shared" si="6"/>
        <v>84</v>
      </c>
      <c r="D35" s="77">
        <f t="shared" si="7"/>
        <v>55.423871999999996</v>
      </c>
      <c r="E35" s="77">
        <f t="shared" si="8"/>
        <v>17.612280000000002</v>
      </c>
      <c r="F35" s="77">
        <f t="shared" si="9"/>
        <v>2.9200695999999997</v>
      </c>
      <c r="G35" s="77">
        <f t="shared" si="10"/>
        <v>6.5519999999999995E-2</v>
      </c>
      <c r="H35" s="77">
        <f t="shared" si="10"/>
        <v>1.5091999999999999</v>
      </c>
      <c r="I35" s="77">
        <f t="shared" si="10"/>
        <v>8.9880000000000002E-2</v>
      </c>
      <c r="J35" s="77">
        <f t="shared" si="10"/>
        <v>1.3720000000000002E-3</v>
      </c>
      <c r="K35" s="77">
        <f t="shared" si="10"/>
        <v>1.4E-3</v>
      </c>
      <c r="L35" s="77">
        <f t="shared" si="10"/>
        <v>2.1840000000000002E-2</v>
      </c>
      <c r="M35" s="77">
        <f t="shared" si="10"/>
        <v>2.6152000000000002E-2</v>
      </c>
      <c r="N35" s="77">
        <f t="shared" si="10"/>
        <v>0</v>
      </c>
      <c r="O35" s="77">
        <f t="shared" si="10"/>
        <v>0</v>
      </c>
      <c r="P35" s="77">
        <f t="shared" si="10"/>
        <v>42.756</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9596</v>
      </c>
      <c r="B36" s="120">
        <v>32</v>
      </c>
      <c r="C36" s="77">
        <f t="shared" si="6"/>
        <v>96</v>
      </c>
      <c r="D36" s="77">
        <f t="shared" si="7"/>
        <v>63.341567999999995</v>
      </c>
      <c r="E36" s="77">
        <f t="shared" si="8"/>
        <v>20.128320000000002</v>
      </c>
      <c r="F36" s="77">
        <f t="shared" si="9"/>
        <v>3.3372223999999999</v>
      </c>
      <c r="G36" s="77">
        <f t="shared" si="10"/>
        <v>7.4880000000000002E-2</v>
      </c>
      <c r="H36" s="77">
        <f t="shared" si="10"/>
        <v>1.7247999999999999</v>
      </c>
      <c r="I36" s="77">
        <f t="shared" si="10"/>
        <v>0.10272000000000001</v>
      </c>
      <c r="J36" s="77">
        <f t="shared" si="10"/>
        <v>1.5680000000000002E-3</v>
      </c>
      <c r="K36" s="77">
        <f t="shared" si="10"/>
        <v>1.6000000000000001E-3</v>
      </c>
      <c r="L36" s="77">
        <f t="shared" si="10"/>
        <v>2.4960000000000003E-2</v>
      </c>
      <c r="M36" s="77">
        <f t="shared" si="10"/>
        <v>2.9888000000000001E-2</v>
      </c>
      <c r="N36" s="77">
        <f t="shared" si="10"/>
        <v>0</v>
      </c>
      <c r="O36" s="77">
        <f t="shared" si="10"/>
        <v>0</v>
      </c>
      <c r="P36" s="77">
        <f t="shared" si="10"/>
        <v>48.864000000000004</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2211</v>
      </c>
      <c r="B37" s="120">
        <v>28</v>
      </c>
      <c r="C37" s="77">
        <f t="shared" si="6"/>
        <v>84</v>
      </c>
      <c r="D37" s="77">
        <f t="shared" si="7"/>
        <v>55.423871999999996</v>
      </c>
      <c r="E37" s="77">
        <f t="shared" si="8"/>
        <v>17.612280000000002</v>
      </c>
      <c r="F37" s="77">
        <f t="shared" si="9"/>
        <v>2.9200695999999997</v>
      </c>
      <c r="G37" s="77">
        <f t="shared" si="10"/>
        <v>6.5519999999999995E-2</v>
      </c>
      <c r="H37" s="77">
        <f t="shared" si="10"/>
        <v>1.5091999999999999</v>
      </c>
      <c r="I37" s="77">
        <f t="shared" si="10"/>
        <v>8.9880000000000002E-2</v>
      </c>
      <c r="J37" s="77">
        <f t="shared" si="10"/>
        <v>1.3720000000000002E-3</v>
      </c>
      <c r="K37" s="77">
        <f t="shared" si="10"/>
        <v>1.4E-3</v>
      </c>
      <c r="L37" s="77">
        <f t="shared" si="10"/>
        <v>2.1840000000000002E-2</v>
      </c>
      <c r="M37" s="77">
        <f t="shared" si="10"/>
        <v>2.6152000000000002E-2</v>
      </c>
      <c r="N37" s="77">
        <f t="shared" si="10"/>
        <v>0</v>
      </c>
      <c r="O37" s="77">
        <f t="shared" si="10"/>
        <v>0</v>
      </c>
      <c r="P37" s="77">
        <f t="shared" si="10"/>
        <v>42.756</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1390</v>
      </c>
      <c r="B38" s="120">
        <v>28</v>
      </c>
      <c r="C38" s="77">
        <f t="shared" si="6"/>
        <v>84</v>
      </c>
      <c r="D38" s="77">
        <f t="shared" si="7"/>
        <v>55.423871999999996</v>
      </c>
      <c r="E38" s="77">
        <f t="shared" si="8"/>
        <v>17.612280000000002</v>
      </c>
      <c r="F38" s="77">
        <f t="shared" si="9"/>
        <v>2.9200695999999997</v>
      </c>
      <c r="G38" s="77">
        <f t="shared" si="10"/>
        <v>6.5519999999999995E-2</v>
      </c>
      <c r="H38" s="77">
        <f t="shared" si="10"/>
        <v>1.5091999999999999</v>
      </c>
      <c r="I38" s="77">
        <f t="shared" si="10"/>
        <v>8.9880000000000002E-2</v>
      </c>
      <c r="J38" s="77">
        <f t="shared" si="10"/>
        <v>1.3720000000000002E-3</v>
      </c>
      <c r="K38" s="77">
        <f t="shared" si="10"/>
        <v>1.4E-3</v>
      </c>
      <c r="L38" s="77">
        <f t="shared" si="10"/>
        <v>2.1840000000000002E-2</v>
      </c>
      <c r="M38" s="77">
        <f t="shared" si="10"/>
        <v>2.6152000000000002E-2</v>
      </c>
      <c r="N38" s="77">
        <f t="shared" si="10"/>
        <v>0</v>
      </c>
      <c r="O38" s="77">
        <f t="shared" si="10"/>
        <v>0</v>
      </c>
      <c r="P38" s="77">
        <f t="shared" si="10"/>
        <v>42.756</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3398</v>
      </c>
      <c r="B39" s="120">
        <v>32</v>
      </c>
      <c r="C39" s="77">
        <f t="shared" si="6"/>
        <v>96</v>
      </c>
      <c r="D39" s="77">
        <f t="shared" si="7"/>
        <v>63.341567999999995</v>
      </c>
      <c r="E39" s="77">
        <f t="shared" si="8"/>
        <v>20.128320000000002</v>
      </c>
      <c r="F39" s="77">
        <f t="shared" si="9"/>
        <v>3.3372223999999999</v>
      </c>
      <c r="G39" s="77">
        <f t="shared" si="10"/>
        <v>7.4880000000000002E-2</v>
      </c>
      <c r="H39" s="77">
        <f t="shared" si="10"/>
        <v>1.7247999999999999</v>
      </c>
      <c r="I39" s="77">
        <f t="shared" si="10"/>
        <v>0.10272000000000001</v>
      </c>
      <c r="J39" s="77">
        <f t="shared" si="10"/>
        <v>1.5680000000000002E-3</v>
      </c>
      <c r="K39" s="77">
        <f t="shared" si="10"/>
        <v>1.6000000000000001E-3</v>
      </c>
      <c r="L39" s="77">
        <f t="shared" si="10"/>
        <v>2.4960000000000003E-2</v>
      </c>
      <c r="M39" s="77">
        <f t="shared" si="10"/>
        <v>2.9888000000000001E-2</v>
      </c>
      <c r="N39" s="77">
        <f t="shared" si="10"/>
        <v>0</v>
      </c>
      <c r="O39" s="77">
        <f t="shared" si="10"/>
        <v>0</v>
      </c>
      <c r="P39" s="77">
        <f t="shared" si="10"/>
        <v>48.864000000000004</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2881</v>
      </c>
      <c r="B40" s="120">
        <v>32</v>
      </c>
      <c r="C40" s="77">
        <f t="shared" si="6"/>
        <v>96</v>
      </c>
      <c r="D40" s="77">
        <f t="shared" si="7"/>
        <v>63.341567999999995</v>
      </c>
      <c r="E40" s="77">
        <f t="shared" si="8"/>
        <v>20.128320000000002</v>
      </c>
      <c r="F40" s="77">
        <f t="shared" si="9"/>
        <v>3.3372223999999999</v>
      </c>
      <c r="G40" s="77">
        <f t="shared" si="10"/>
        <v>7.4880000000000002E-2</v>
      </c>
      <c r="H40" s="77">
        <f t="shared" si="10"/>
        <v>1.7247999999999999</v>
      </c>
      <c r="I40" s="77">
        <f t="shared" si="10"/>
        <v>0.10272000000000001</v>
      </c>
      <c r="J40" s="77">
        <f t="shared" si="10"/>
        <v>1.5680000000000002E-3</v>
      </c>
      <c r="K40" s="77">
        <f t="shared" si="10"/>
        <v>1.6000000000000001E-3</v>
      </c>
      <c r="L40" s="77">
        <f t="shared" si="10"/>
        <v>2.4960000000000003E-2</v>
      </c>
      <c r="M40" s="77">
        <f t="shared" si="10"/>
        <v>2.9888000000000001E-2</v>
      </c>
      <c r="N40" s="77">
        <f t="shared" si="10"/>
        <v>0</v>
      </c>
      <c r="O40" s="77">
        <f t="shared" si="10"/>
        <v>0</v>
      </c>
      <c r="P40" s="77">
        <f t="shared" si="10"/>
        <v>48.864000000000004</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2565</v>
      </c>
      <c r="B41" s="120">
        <v>32</v>
      </c>
      <c r="C41" s="77">
        <f t="shared" si="6"/>
        <v>96</v>
      </c>
      <c r="D41" s="77">
        <f t="shared" si="7"/>
        <v>63.341567999999995</v>
      </c>
      <c r="E41" s="77">
        <f t="shared" si="8"/>
        <v>20.128320000000002</v>
      </c>
      <c r="F41" s="77">
        <f t="shared" si="9"/>
        <v>3.3372223999999999</v>
      </c>
      <c r="G41" s="77">
        <f t="shared" si="10"/>
        <v>7.4880000000000002E-2</v>
      </c>
      <c r="H41" s="77">
        <f t="shared" si="10"/>
        <v>1.7247999999999999</v>
      </c>
      <c r="I41" s="77">
        <f t="shared" si="10"/>
        <v>0.10272000000000001</v>
      </c>
      <c r="J41" s="77">
        <f t="shared" si="10"/>
        <v>1.5680000000000002E-3</v>
      </c>
      <c r="K41" s="77">
        <f t="shared" si="10"/>
        <v>1.6000000000000001E-3</v>
      </c>
      <c r="L41" s="77">
        <f t="shared" si="10"/>
        <v>2.4960000000000003E-2</v>
      </c>
      <c r="M41" s="77">
        <f t="shared" si="10"/>
        <v>2.9888000000000001E-2</v>
      </c>
      <c r="N41" s="77">
        <f t="shared" si="10"/>
        <v>0</v>
      </c>
      <c r="O41" s="77">
        <f t="shared" si="10"/>
        <v>0</v>
      </c>
      <c r="P41" s="77">
        <f t="shared" si="10"/>
        <v>48.864000000000004</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4279</v>
      </c>
      <c r="B42" s="120">
        <v>32</v>
      </c>
      <c r="C42" s="77">
        <f t="shared" si="6"/>
        <v>96</v>
      </c>
      <c r="D42" s="77">
        <f t="shared" si="7"/>
        <v>63.341567999999995</v>
      </c>
      <c r="E42" s="77">
        <f t="shared" si="8"/>
        <v>20.128320000000002</v>
      </c>
      <c r="F42" s="77">
        <f t="shared" si="9"/>
        <v>3.3372223999999999</v>
      </c>
      <c r="G42" s="77">
        <f t="shared" si="10"/>
        <v>7.4880000000000002E-2</v>
      </c>
      <c r="H42" s="77">
        <f t="shared" si="10"/>
        <v>1.7247999999999999</v>
      </c>
      <c r="I42" s="77">
        <f t="shared" si="10"/>
        <v>0.10272000000000001</v>
      </c>
      <c r="J42" s="77">
        <f t="shared" si="10"/>
        <v>1.5680000000000002E-3</v>
      </c>
      <c r="K42" s="77">
        <f t="shared" si="10"/>
        <v>1.6000000000000001E-3</v>
      </c>
      <c r="L42" s="77">
        <f t="shared" si="10"/>
        <v>2.4960000000000003E-2</v>
      </c>
      <c r="M42" s="77">
        <f t="shared" si="10"/>
        <v>2.9888000000000001E-2</v>
      </c>
      <c r="N42" s="77">
        <f t="shared" si="10"/>
        <v>0</v>
      </c>
      <c r="O42" s="77">
        <f t="shared" si="10"/>
        <v>0</v>
      </c>
      <c r="P42" s="77">
        <f t="shared" si="10"/>
        <v>48.864000000000004</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5490</v>
      </c>
      <c r="B43" s="120">
        <v>32</v>
      </c>
      <c r="C43" s="77">
        <f t="shared" si="6"/>
        <v>96</v>
      </c>
      <c r="D43" s="77">
        <f t="shared" si="7"/>
        <v>63.341567999999995</v>
      </c>
      <c r="E43" s="77">
        <f t="shared" si="8"/>
        <v>20.128320000000002</v>
      </c>
      <c r="F43" s="77">
        <f t="shared" si="9"/>
        <v>3.3372223999999999</v>
      </c>
      <c r="G43" s="77">
        <f t="shared" si="10"/>
        <v>7.4880000000000002E-2</v>
      </c>
      <c r="H43" s="77">
        <f t="shared" si="10"/>
        <v>1.7247999999999999</v>
      </c>
      <c r="I43" s="77">
        <f t="shared" si="10"/>
        <v>0.10272000000000001</v>
      </c>
      <c r="J43" s="77">
        <f t="shared" si="10"/>
        <v>1.5680000000000002E-3</v>
      </c>
      <c r="K43" s="77">
        <f t="shared" si="10"/>
        <v>1.6000000000000001E-3</v>
      </c>
      <c r="L43" s="77">
        <f t="shared" si="10"/>
        <v>2.4960000000000003E-2</v>
      </c>
      <c r="M43" s="77">
        <f t="shared" si="10"/>
        <v>2.9888000000000001E-2</v>
      </c>
      <c r="N43" s="77">
        <f t="shared" si="10"/>
        <v>0</v>
      </c>
      <c r="O43" s="77">
        <f t="shared" si="10"/>
        <v>0</v>
      </c>
      <c r="P43" s="77">
        <f t="shared" si="10"/>
        <v>48.864000000000004</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5905</v>
      </c>
      <c r="B44" s="120">
        <v>32</v>
      </c>
      <c r="C44" s="77">
        <f t="shared" si="6"/>
        <v>96</v>
      </c>
      <c r="D44" s="77">
        <f t="shared" si="7"/>
        <v>63.341567999999995</v>
      </c>
      <c r="E44" s="77">
        <f t="shared" si="8"/>
        <v>20.128320000000002</v>
      </c>
      <c r="F44" s="77">
        <f t="shared" si="9"/>
        <v>3.3372223999999999</v>
      </c>
      <c r="G44" s="77">
        <f t="shared" si="10"/>
        <v>7.4880000000000002E-2</v>
      </c>
      <c r="H44" s="77">
        <f t="shared" si="10"/>
        <v>1.7247999999999999</v>
      </c>
      <c r="I44" s="77">
        <f t="shared" si="10"/>
        <v>0.10272000000000001</v>
      </c>
      <c r="J44" s="77">
        <f t="shared" si="10"/>
        <v>1.5680000000000002E-3</v>
      </c>
      <c r="K44" s="77">
        <f t="shared" si="10"/>
        <v>1.6000000000000001E-3</v>
      </c>
      <c r="L44" s="77">
        <f t="shared" si="10"/>
        <v>2.4960000000000003E-2</v>
      </c>
      <c r="M44" s="77">
        <f t="shared" si="10"/>
        <v>2.9888000000000001E-2</v>
      </c>
      <c r="N44" s="77">
        <f t="shared" si="10"/>
        <v>0</v>
      </c>
      <c r="O44" s="77">
        <f t="shared" si="10"/>
        <v>0</v>
      </c>
      <c r="P44" s="77">
        <f t="shared" si="10"/>
        <v>48.864000000000004</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6418</v>
      </c>
      <c r="B45" s="120">
        <v>32</v>
      </c>
      <c r="C45" s="77">
        <f t="shared" si="6"/>
        <v>96</v>
      </c>
      <c r="D45" s="77">
        <f t="shared" si="7"/>
        <v>63.341567999999995</v>
      </c>
      <c r="E45" s="77">
        <f t="shared" si="8"/>
        <v>20.128320000000002</v>
      </c>
      <c r="F45" s="77">
        <f t="shared" si="9"/>
        <v>3.3372223999999999</v>
      </c>
      <c r="G45" s="77">
        <f t="shared" si="10"/>
        <v>7.4880000000000002E-2</v>
      </c>
      <c r="H45" s="77">
        <f t="shared" si="10"/>
        <v>1.7247999999999999</v>
      </c>
      <c r="I45" s="77">
        <f t="shared" si="10"/>
        <v>0.10272000000000001</v>
      </c>
      <c r="J45" s="77">
        <f t="shared" si="10"/>
        <v>1.5680000000000002E-3</v>
      </c>
      <c r="K45" s="77">
        <f t="shared" si="10"/>
        <v>1.6000000000000001E-3</v>
      </c>
      <c r="L45" s="77">
        <f t="shared" si="10"/>
        <v>2.4960000000000003E-2</v>
      </c>
      <c r="M45" s="77">
        <f t="shared" si="10"/>
        <v>2.9888000000000001E-2</v>
      </c>
      <c r="N45" s="77">
        <f t="shared" si="10"/>
        <v>0</v>
      </c>
      <c r="O45" s="77">
        <f t="shared" si="10"/>
        <v>0</v>
      </c>
      <c r="P45" s="77">
        <f t="shared" si="10"/>
        <v>48.864000000000004</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7605</v>
      </c>
      <c r="B46" s="120">
        <v>32</v>
      </c>
      <c r="C46" s="77">
        <f t="shared" si="6"/>
        <v>96</v>
      </c>
      <c r="D46" s="77">
        <f t="shared" si="7"/>
        <v>63.341567999999995</v>
      </c>
      <c r="E46" s="77">
        <f t="shared" si="8"/>
        <v>20.128320000000002</v>
      </c>
      <c r="F46" s="77">
        <f t="shared" si="9"/>
        <v>3.3372223999999999</v>
      </c>
      <c r="G46" s="77">
        <f t="shared" si="10"/>
        <v>7.4880000000000002E-2</v>
      </c>
      <c r="H46" s="77">
        <f t="shared" si="10"/>
        <v>1.7247999999999999</v>
      </c>
      <c r="I46" s="77">
        <f t="shared" si="10"/>
        <v>0.10272000000000001</v>
      </c>
      <c r="J46" s="77">
        <f t="shared" si="10"/>
        <v>1.5680000000000002E-3</v>
      </c>
      <c r="K46" s="77">
        <f t="shared" si="10"/>
        <v>1.6000000000000001E-3</v>
      </c>
      <c r="L46" s="77">
        <f t="shared" si="10"/>
        <v>2.4960000000000003E-2</v>
      </c>
      <c r="M46" s="77">
        <f t="shared" si="10"/>
        <v>2.9888000000000001E-2</v>
      </c>
      <c r="N46" s="77">
        <f t="shared" si="10"/>
        <v>0</v>
      </c>
      <c r="O46" s="77">
        <f t="shared" si="10"/>
        <v>0</v>
      </c>
      <c r="P46" s="77">
        <f t="shared" si="10"/>
        <v>48.864000000000004</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7887</v>
      </c>
      <c r="B47" s="120">
        <v>32</v>
      </c>
      <c r="C47" s="77">
        <f t="shared" si="6"/>
        <v>96</v>
      </c>
      <c r="D47" s="77">
        <f t="shared" si="7"/>
        <v>63.341567999999995</v>
      </c>
      <c r="E47" s="77">
        <f t="shared" si="8"/>
        <v>20.128320000000002</v>
      </c>
      <c r="F47" s="77">
        <f t="shared" si="9"/>
        <v>3.3372223999999999</v>
      </c>
      <c r="G47" s="77">
        <f t="shared" si="10"/>
        <v>7.4880000000000002E-2</v>
      </c>
      <c r="H47" s="77">
        <f t="shared" si="10"/>
        <v>1.7247999999999999</v>
      </c>
      <c r="I47" s="77">
        <f t="shared" si="10"/>
        <v>0.10272000000000001</v>
      </c>
      <c r="J47" s="77">
        <f t="shared" si="10"/>
        <v>1.5680000000000002E-3</v>
      </c>
      <c r="K47" s="77">
        <f t="shared" si="10"/>
        <v>1.6000000000000001E-3</v>
      </c>
      <c r="L47" s="77">
        <f t="shared" si="10"/>
        <v>2.4960000000000003E-2</v>
      </c>
      <c r="M47" s="77">
        <f t="shared" si="10"/>
        <v>2.9888000000000001E-2</v>
      </c>
      <c r="N47" s="77">
        <f t="shared" si="10"/>
        <v>0</v>
      </c>
      <c r="O47" s="77">
        <f t="shared" si="10"/>
        <v>0</v>
      </c>
      <c r="P47" s="77">
        <f t="shared" si="10"/>
        <v>48.864000000000004</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5974</v>
      </c>
      <c r="B48" s="120">
        <v>32</v>
      </c>
      <c r="C48" s="77">
        <f t="shared" si="6"/>
        <v>96</v>
      </c>
      <c r="D48" s="77">
        <f t="shared" si="7"/>
        <v>63.341567999999995</v>
      </c>
      <c r="E48" s="77">
        <f t="shared" si="8"/>
        <v>20.128320000000002</v>
      </c>
      <c r="F48" s="77">
        <f t="shared" si="9"/>
        <v>3.3372223999999999</v>
      </c>
      <c r="G48" s="77">
        <f t="shared" si="10"/>
        <v>7.4880000000000002E-2</v>
      </c>
      <c r="H48" s="77">
        <f t="shared" si="10"/>
        <v>1.7247999999999999</v>
      </c>
      <c r="I48" s="77">
        <f t="shared" si="10"/>
        <v>0.10272000000000001</v>
      </c>
      <c r="J48" s="77">
        <f t="shared" si="10"/>
        <v>1.5680000000000002E-3</v>
      </c>
      <c r="K48" s="77">
        <f t="shared" si="10"/>
        <v>1.6000000000000001E-3</v>
      </c>
      <c r="L48" s="77">
        <f t="shared" si="10"/>
        <v>2.4960000000000003E-2</v>
      </c>
      <c r="M48" s="77">
        <f t="shared" si="10"/>
        <v>2.9888000000000001E-2</v>
      </c>
      <c r="N48" s="77">
        <f t="shared" si="10"/>
        <v>0</v>
      </c>
      <c r="O48" s="77">
        <f t="shared" si="10"/>
        <v>0</v>
      </c>
      <c r="P48" s="77">
        <f t="shared" si="10"/>
        <v>48.864000000000004</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3581</v>
      </c>
      <c r="B49" s="120">
        <v>32</v>
      </c>
      <c r="C49" s="77">
        <f t="shared" si="6"/>
        <v>96</v>
      </c>
      <c r="D49" s="77">
        <f t="shared" si="7"/>
        <v>63.341567999999995</v>
      </c>
      <c r="E49" s="77">
        <f t="shared" si="8"/>
        <v>20.128320000000002</v>
      </c>
      <c r="F49" s="77">
        <f t="shared" si="9"/>
        <v>3.3372223999999999</v>
      </c>
      <c r="G49" s="77">
        <f t="shared" si="10"/>
        <v>7.4880000000000002E-2</v>
      </c>
      <c r="H49" s="77">
        <f t="shared" si="10"/>
        <v>1.7247999999999999</v>
      </c>
      <c r="I49" s="77">
        <f t="shared" si="10"/>
        <v>0.10272000000000001</v>
      </c>
      <c r="J49" s="77">
        <f t="shared" si="10"/>
        <v>1.5680000000000002E-3</v>
      </c>
      <c r="K49" s="77">
        <f t="shared" si="10"/>
        <v>1.6000000000000001E-3</v>
      </c>
      <c r="L49" s="77">
        <f t="shared" si="10"/>
        <v>2.4960000000000003E-2</v>
      </c>
      <c r="M49" s="77">
        <f t="shared" si="10"/>
        <v>2.9888000000000001E-2</v>
      </c>
      <c r="N49" s="77">
        <f t="shared" si="10"/>
        <v>0</v>
      </c>
      <c r="O49" s="77">
        <f t="shared" si="10"/>
        <v>0</v>
      </c>
      <c r="P49" s="77">
        <f t="shared" si="10"/>
        <v>48.864000000000004</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2946</v>
      </c>
      <c r="B50" s="120">
        <v>32</v>
      </c>
      <c r="C50" s="98">
        <f t="shared" si="6"/>
        <v>96</v>
      </c>
      <c r="D50" s="98">
        <f t="shared" si="7"/>
        <v>63.341567999999995</v>
      </c>
      <c r="E50" s="98">
        <f t="shared" si="8"/>
        <v>20.128320000000002</v>
      </c>
      <c r="F50" s="98">
        <f t="shared" si="9"/>
        <v>3.3372223999999999</v>
      </c>
      <c r="G50" s="98">
        <f t="shared" si="10"/>
        <v>7.4880000000000002E-2</v>
      </c>
      <c r="H50" s="98">
        <f t="shared" si="10"/>
        <v>1.7247999999999999</v>
      </c>
      <c r="I50" s="98">
        <f t="shared" si="10"/>
        <v>0.10272000000000001</v>
      </c>
      <c r="J50" s="98">
        <f t="shared" si="10"/>
        <v>1.5680000000000002E-3</v>
      </c>
      <c r="K50" s="98">
        <f t="shared" si="10"/>
        <v>1.6000000000000001E-3</v>
      </c>
      <c r="L50" s="98">
        <f t="shared" si="10"/>
        <v>2.4960000000000003E-2</v>
      </c>
      <c r="M50" s="98">
        <f t="shared" si="10"/>
        <v>2.9888000000000001E-2</v>
      </c>
      <c r="N50" s="98">
        <f t="shared" si="10"/>
        <v>0</v>
      </c>
      <c r="O50" s="98">
        <f t="shared" si="10"/>
        <v>0</v>
      </c>
      <c r="P50" s="98">
        <f t="shared" si="10"/>
        <v>48.864000000000004</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Grass</v>
      </c>
      <c r="H58" s="13" t="str">
        <f>I16&amp;" I "&amp;(VLOOKUP(I14,Table24[],6,FALSE))</f>
        <v>Medium/Clay I Arable</v>
      </c>
      <c r="I58" s="13" t="str">
        <f>J16&amp;" I "&amp;(VLOOKUP(J14,Table24[],6,FALSE))</f>
        <v>Medium/Clay I Arable</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x14ac:dyDescent="0.2">
      <c r="A59" s="111" t="s">
        <v>132</v>
      </c>
      <c r="B59" s="76">
        <f>VLOOKUP(C$14,Table24[],5,FALSE)</f>
        <v>6.2</v>
      </c>
      <c r="C59" s="76">
        <f>VLOOKUP(D$14,Table24[],5,FALSE)</f>
        <v>6.2</v>
      </c>
      <c r="D59" s="76">
        <f>VLOOKUP(E$14,Table24[],5,FALSE)</f>
        <v>6.2</v>
      </c>
      <c r="E59" s="76">
        <f>VLOOKUP(F$14,Table24[],5,FALSE)</f>
        <v>6.2</v>
      </c>
      <c r="F59" s="76">
        <f>VLOOKUP(G$14,Table24[],5,FALSE)</f>
        <v>6.7</v>
      </c>
      <c r="G59" s="76">
        <f>VLOOKUP(H$14,Table24[],5,FALSE)</f>
        <v>6.2</v>
      </c>
      <c r="H59" s="76">
        <f>VLOOKUP(I$14,Table24[],5,FALSE)</f>
        <v>6.7</v>
      </c>
      <c r="I59" s="76">
        <f>VLOOKUP(J$14,Table24[],5,FALSE)</f>
        <v>6.7</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32</v>
      </c>
      <c r="C62" s="77">
        <f>B32</f>
        <v>32</v>
      </c>
      <c r="D62" s="77">
        <f>B33</f>
        <v>32</v>
      </c>
      <c r="E62" s="77">
        <f>B34</f>
        <v>32</v>
      </c>
      <c r="F62" s="77">
        <f>B35</f>
        <v>28</v>
      </c>
      <c r="G62" s="77">
        <f>B36</f>
        <v>32</v>
      </c>
      <c r="H62" s="77">
        <f>B37</f>
        <v>28</v>
      </c>
      <c r="I62" s="77">
        <f>B38</f>
        <v>28</v>
      </c>
      <c r="J62" s="77">
        <f>B39</f>
        <v>32</v>
      </c>
      <c r="K62" s="77">
        <f>B40</f>
        <v>32</v>
      </c>
      <c r="L62" s="77">
        <f>B41</f>
        <v>32</v>
      </c>
      <c r="M62" s="77">
        <f>B42</f>
        <v>32</v>
      </c>
      <c r="N62" s="77">
        <f>B43</f>
        <v>32</v>
      </c>
      <c r="O62" s="77">
        <f>B44</f>
        <v>32</v>
      </c>
      <c r="P62" s="77">
        <f>B45</f>
        <v>32</v>
      </c>
      <c r="Q62" s="77">
        <f>B46</f>
        <v>32</v>
      </c>
      <c r="R62" s="77">
        <f>B47</f>
        <v>32</v>
      </c>
      <c r="S62" s="77">
        <f>B48</f>
        <v>32</v>
      </c>
      <c r="T62" s="77">
        <f>B49</f>
        <v>32</v>
      </c>
      <c r="U62" s="77">
        <f>B50</f>
        <v>32</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27" priority="44" operator="equal">
      <formula>"DECREASE"</formula>
    </cfRule>
    <cfRule type="cellIs" dxfId="426" priority="45" operator="equal">
      <formula>"INCREASE"</formula>
    </cfRule>
  </conditionalFormatting>
  <conditionalFormatting sqref="B62:U66">
    <cfRule type="cellIs" dxfId="425" priority="43" operator="greaterThan">
      <formula>$B$51</formula>
    </cfRule>
  </conditionalFormatting>
  <conditionalFormatting sqref="C31:C50">
    <cfRule type="cellIs" dxfId="424" priority="42" operator="greaterThan">
      <formula>$C$51</formula>
    </cfRule>
  </conditionalFormatting>
  <conditionalFormatting sqref="C18:V18">
    <cfRule type="cellIs" dxfId="423" priority="38" operator="equal">
      <formula>0</formula>
    </cfRule>
  </conditionalFormatting>
  <conditionalFormatting sqref="C17:V17">
    <cfRule type="cellIs" dxfId="422" priority="36" operator="equal">
      <formula>0</formula>
    </cfRule>
  </conditionalFormatting>
  <conditionalFormatting sqref="C19:V19">
    <cfRule type="cellIs" dxfId="421" priority="35" operator="equal">
      <formula>0</formula>
    </cfRule>
  </conditionalFormatting>
  <conditionalFormatting sqref="G31:G50">
    <cfRule type="cellIs" dxfId="420" priority="32" operator="greaterThan">
      <formula>$G$51</formula>
    </cfRule>
  </conditionalFormatting>
  <conditionalFormatting sqref="H31:H50">
    <cfRule type="cellIs" dxfId="419" priority="31" operator="greaterThan">
      <formula>$H$51</formula>
    </cfRule>
  </conditionalFormatting>
  <conditionalFormatting sqref="I31:I50">
    <cfRule type="cellIs" dxfId="418" priority="30" operator="greaterThan">
      <formula>$I$51</formula>
    </cfRule>
  </conditionalFormatting>
  <conditionalFormatting sqref="K31:K50">
    <cfRule type="cellIs" dxfId="417" priority="28" operator="greaterThan">
      <formula>$K$51</formula>
    </cfRule>
  </conditionalFormatting>
  <conditionalFormatting sqref="L31:L50">
    <cfRule type="cellIs" dxfId="416" priority="27" operator="greaterThan">
      <formula>$L$51</formula>
    </cfRule>
  </conditionalFormatting>
  <conditionalFormatting sqref="M31:M50">
    <cfRule type="cellIs" dxfId="415" priority="26" operator="greaterThan">
      <formula>$M$51</formula>
    </cfRule>
  </conditionalFormatting>
  <conditionalFormatting sqref="P31:P50">
    <cfRule type="cellIs" dxfId="414" priority="25" operator="greaterThan">
      <formula>$P$51</formula>
    </cfRule>
  </conditionalFormatting>
  <conditionalFormatting sqref="R31:R50">
    <cfRule type="cellIs" dxfId="413" priority="24" operator="greaterThan">
      <formula>$R$51</formula>
    </cfRule>
  </conditionalFormatting>
  <conditionalFormatting sqref="S31:S50">
    <cfRule type="cellIs" dxfId="412" priority="23" operator="greaterThan">
      <formula>$S$51</formula>
    </cfRule>
  </conditionalFormatting>
  <conditionalFormatting sqref="T31:T50">
    <cfRule type="cellIs" dxfId="411" priority="22" operator="greaterThan">
      <formula>$T$51</formula>
    </cfRule>
  </conditionalFormatting>
  <conditionalFormatting sqref="U31:U50">
    <cfRule type="cellIs" dxfId="410" priority="21" operator="greaterThan">
      <formula>$U$51</formula>
    </cfRule>
  </conditionalFormatting>
  <conditionalFormatting sqref="C22:V22">
    <cfRule type="cellIs" dxfId="409" priority="19" operator="equal">
      <formula>0</formula>
    </cfRule>
  </conditionalFormatting>
  <conditionalFormatting sqref="C24:V24">
    <cfRule type="cellIs" dxfId="408" priority="17" operator="equal">
      <formula>"DECREASE"</formula>
    </cfRule>
    <cfRule type="cellIs" dxfId="407" priority="18" operator="equal">
      <formula>"INCREASE"</formula>
    </cfRule>
  </conditionalFormatting>
  <conditionalFormatting sqref="C23:V23">
    <cfRule type="cellIs" dxfId="406" priority="16" operator="equal">
      <formula>0</formula>
    </cfRule>
  </conditionalFormatting>
  <conditionalFormatting sqref="I1">
    <cfRule type="cellIs" dxfId="405" priority="12" operator="between">
      <formula>0.1</formula>
      <formula>5</formula>
    </cfRule>
  </conditionalFormatting>
  <conditionalFormatting sqref="I2">
    <cfRule type="cellIs" dxfId="404" priority="11" operator="greaterThan">
      <formula>5000.1</formula>
    </cfRule>
  </conditionalFormatting>
  <conditionalFormatting sqref="I3">
    <cfRule type="cellIs" dxfId="403" priority="10" operator="greaterThan">
      <formula>40000.01</formula>
    </cfRule>
  </conditionalFormatting>
  <conditionalFormatting sqref="C21:V21">
    <cfRule type="cellIs" dxfId="402" priority="9" operator="equal">
      <formula>0</formula>
    </cfRule>
  </conditionalFormatting>
  <conditionalFormatting sqref="B66:U66">
    <cfRule type="cellIs" dxfId="401" priority="5" operator="equal">
      <formula>"UNDER"</formula>
    </cfRule>
    <cfRule type="cellIs" dxfId="400" priority="6" operator="equal">
      <formula>"OVER"</formula>
    </cfRule>
  </conditionalFormatting>
  <conditionalFormatting sqref="J31:J50">
    <cfRule type="cellIs" dxfId="399" priority="4" operator="greaterThan">
      <formula>$J$51</formula>
    </cfRule>
  </conditionalFormatting>
  <conditionalFormatting sqref="L3">
    <cfRule type="cellIs" dxfId="398" priority="2" operator="lessThan">
      <formula>30</formula>
    </cfRule>
    <cfRule type="cellIs" dxfId="397" priority="3" operator="greaterThanOrEqual">
      <formula>30</formula>
    </cfRule>
  </conditionalFormatting>
  <conditionalFormatting sqref="B31:B50">
    <cfRule type="cellIs" dxfId="396" priority="1" operator="greaterThan">
      <formula>$B$51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39" sqref="C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v>7.08</v>
      </c>
      <c r="J1" s="129" t="s">
        <v>153</v>
      </c>
      <c r="K1" s="12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167</v>
      </c>
      <c r="G2" s="127" t="s">
        <v>110</v>
      </c>
      <c r="H2" s="128"/>
      <c r="I2" s="118">
        <v>2012</v>
      </c>
      <c r="J2" s="129" t="s">
        <v>158</v>
      </c>
      <c r="K2" s="129"/>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c r="J3" s="125" t="s">
        <v>154</v>
      </c>
      <c r="K3" s="126"/>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t="s">
        <v>168</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59.852374999999995</v>
      </c>
      <c r="D18" s="16">
        <f>$D32</f>
        <v>59.852374999999995</v>
      </c>
      <c r="E18" s="16">
        <f>$D33</f>
        <v>59.852374999999995</v>
      </c>
      <c r="F18" s="16">
        <f>$D34</f>
        <v>59.852374999999995</v>
      </c>
      <c r="G18" s="16">
        <f>$D35</f>
        <v>55.064185000000002</v>
      </c>
      <c r="H18" s="16">
        <f>$D36</f>
        <v>59.852374999999995</v>
      </c>
      <c r="I18" s="16">
        <f>$D37</f>
        <v>55.064185000000002</v>
      </c>
      <c r="J18" s="16">
        <f>$D38</f>
        <v>55.064185000000002</v>
      </c>
      <c r="K18" s="16">
        <f>$D39</f>
        <v>59.852374999999995</v>
      </c>
      <c r="L18" s="16">
        <f>$D40</f>
        <v>59.852374999999995</v>
      </c>
      <c r="M18" s="16">
        <f>$D41</f>
        <v>59.852374999999995</v>
      </c>
      <c r="N18" s="16">
        <f>$D42</f>
        <v>59.852374999999995</v>
      </c>
      <c r="O18" s="16">
        <f>$D43</f>
        <v>59.852374999999995</v>
      </c>
      <c r="P18" s="16">
        <f>$D44</f>
        <v>59.852374999999995</v>
      </c>
      <c r="Q18" s="16">
        <f>$D45</f>
        <v>59.852374999999995</v>
      </c>
      <c r="R18" s="16">
        <f>$D46</f>
        <v>59.852374999999995</v>
      </c>
      <c r="S18" s="16">
        <f>$D47</f>
        <v>59.852374999999995</v>
      </c>
      <c r="T18" s="16">
        <f>$D48</f>
        <v>59.852374999999995</v>
      </c>
      <c r="U18" s="16">
        <f>$D49</f>
        <v>59.852374999999995</v>
      </c>
      <c r="V18" s="25">
        <f>$D50</f>
        <v>59.852374999999995</v>
      </c>
      <c r="AD18" s="52" t="s">
        <v>147</v>
      </c>
      <c r="AE18" s="30">
        <v>16</v>
      </c>
      <c r="AI18" s="48" t="s">
        <v>106</v>
      </c>
      <c r="AJ18" s="49">
        <v>5.9</v>
      </c>
      <c r="AK18" s="50">
        <v>18</v>
      </c>
      <c r="AL18" s="51">
        <v>16</v>
      </c>
      <c r="AM18" s="11">
        <v>6.2</v>
      </c>
      <c r="AN18" s="11" t="s">
        <v>112</v>
      </c>
    </row>
    <row r="19" spans="1:40" x14ac:dyDescent="0.2">
      <c r="A19" s="133" t="s">
        <v>90</v>
      </c>
      <c r="B19" s="134"/>
      <c r="C19" s="16">
        <f>C18-C17</f>
        <v>-4.7476249999999993</v>
      </c>
      <c r="D19" s="16">
        <f t="shared" ref="D19:V19" si="1">D18-D17</f>
        <v>-4.7476249999999993</v>
      </c>
      <c r="E19" s="16">
        <f t="shared" si="1"/>
        <v>-4.7476249999999993</v>
      </c>
      <c r="F19" s="16">
        <f t="shared" si="1"/>
        <v>-4.7476249999999993</v>
      </c>
      <c r="G19" s="16">
        <f t="shared" si="1"/>
        <v>-0.93581499999999807</v>
      </c>
      <c r="H19" s="16">
        <f t="shared" si="1"/>
        <v>-4.7476249999999993</v>
      </c>
      <c r="I19" s="16">
        <f t="shared" si="1"/>
        <v>-0.93581499999999807</v>
      </c>
      <c r="J19" s="16">
        <f t="shared" si="1"/>
        <v>-0.93581499999999807</v>
      </c>
      <c r="K19" s="16">
        <f t="shared" si="1"/>
        <v>-4.7476249999999993</v>
      </c>
      <c r="L19" s="16">
        <f t="shared" si="1"/>
        <v>-4.7476249999999993</v>
      </c>
      <c r="M19" s="16">
        <f t="shared" si="1"/>
        <v>-4.7476249999999993</v>
      </c>
      <c r="N19" s="16">
        <f t="shared" si="1"/>
        <v>-4.7476249999999993</v>
      </c>
      <c r="O19" s="16">
        <f t="shared" si="1"/>
        <v>-4.7476249999999993</v>
      </c>
      <c r="P19" s="16">
        <f t="shared" si="1"/>
        <v>-4.7476249999999993</v>
      </c>
      <c r="Q19" s="16">
        <f t="shared" si="1"/>
        <v>-4.7476249999999993</v>
      </c>
      <c r="R19" s="16">
        <f t="shared" si="1"/>
        <v>-4.7476249999999993</v>
      </c>
      <c r="S19" s="16">
        <f t="shared" si="1"/>
        <v>-4.7476249999999993</v>
      </c>
      <c r="T19" s="16">
        <f t="shared" si="1"/>
        <v>-4.7476249999999993</v>
      </c>
      <c r="U19" s="16">
        <f t="shared" si="1"/>
        <v>-4.7476249999999993</v>
      </c>
      <c r="V19" s="25">
        <f t="shared" si="1"/>
        <v>-4.7476249999999993</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10.167187500000001</v>
      </c>
      <c r="D22" s="16">
        <f>$E32</f>
        <v>10.167187500000001</v>
      </c>
      <c r="E22" s="16">
        <f>$E33</f>
        <v>10.167187500000001</v>
      </c>
      <c r="F22" s="16">
        <f>$E34</f>
        <v>10.167187500000001</v>
      </c>
      <c r="G22" s="16">
        <f>$E35</f>
        <v>9.3538125000000001</v>
      </c>
      <c r="H22" s="16">
        <f>$E36</f>
        <v>10.167187500000001</v>
      </c>
      <c r="I22" s="16">
        <f>$E37</f>
        <v>9.3538125000000001</v>
      </c>
      <c r="J22" s="16">
        <f>$E38</f>
        <v>9.3538125000000001</v>
      </c>
      <c r="K22" s="16">
        <f>$E39</f>
        <v>10.167187500000001</v>
      </c>
      <c r="L22" s="16">
        <f>$E40</f>
        <v>10.167187500000001</v>
      </c>
      <c r="M22" s="16">
        <f>$E41</f>
        <v>10.167187500000001</v>
      </c>
      <c r="N22" s="16">
        <f>$E42</f>
        <v>10.167187500000001</v>
      </c>
      <c r="O22" s="16">
        <f>$E43</f>
        <v>10.167187500000001</v>
      </c>
      <c r="P22" s="16">
        <f>$E44</f>
        <v>10.167187500000001</v>
      </c>
      <c r="Q22" s="16">
        <f>$E45</f>
        <v>10.167187500000001</v>
      </c>
      <c r="R22" s="16">
        <f>$E46</f>
        <v>10.167187500000001</v>
      </c>
      <c r="S22" s="16">
        <f>$E47</f>
        <v>10.167187500000001</v>
      </c>
      <c r="T22" s="16">
        <f>$E48</f>
        <v>10.167187500000001</v>
      </c>
      <c r="U22" s="16">
        <f>$E49</f>
        <v>10.167187500000001</v>
      </c>
      <c r="V22" s="16">
        <f>$E50</f>
        <v>10.167187500000001</v>
      </c>
      <c r="AI22" s="63" t="s">
        <v>102</v>
      </c>
      <c r="AJ22" s="64">
        <v>1.2</v>
      </c>
      <c r="AK22" s="65">
        <v>5</v>
      </c>
      <c r="AL22" s="29">
        <v>20</v>
      </c>
      <c r="AM22" s="11">
        <v>6.7</v>
      </c>
      <c r="AN22" s="11" t="s">
        <v>135</v>
      </c>
    </row>
    <row r="23" spans="1:40" x14ac:dyDescent="0.2">
      <c r="A23" s="133" t="s">
        <v>92</v>
      </c>
      <c r="B23" s="134"/>
      <c r="C23" s="16">
        <f>C22-C21</f>
        <v>-217.83281249999999</v>
      </c>
      <c r="D23" s="16">
        <f t="shared" ref="D23:V23" si="3">D22-D21</f>
        <v>-217.83281249999999</v>
      </c>
      <c r="E23" s="16">
        <f t="shared" si="3"/>
        <v>-217.83281249999999</v>
      </c>
      <c r="F23" s="16">
        <f t="shared" si="3"/>
        <v>-217.83281249999999</v>
      </c>
      <c r="G23" s="16">
        <f t="shared" si="3"/>
        <v>-166.6461875</v>
      </c>
      <c r="H23" s="16">
        <f t="shared" si="3"/>
        <v>-217.83281249999999</v>
      </c>
      <c r="I23" s="16">
        <f t="shared" si="3"/>
        <v>-166.6461875</v>
      </c>
      <c r="J23" s="16">
        <f t="shared" si="3"/>
        <v>-166.6461875</v>
      </c>
      <c r="K23" s="16">
        <f t="shared" si="3"/>
        <v>-217.83281249999999</v>
      </c>
      <c r="L23" s="16">
        <f t="shared" si="3"/>
        <v>-217.83281249999999</v>
      </c>
      <c r="M23" s="16">
        <f t="shared" si="3"/>
        <v>-217.83281249999999</v>
      </c>
      <c r="N23" s="16">
        <f t="shared" si="3"/>
        <v>-217.83281249999999</v>
      </c>
      <c r="O23" s="16">
        <f t="shared" si="3"/>
        <v>-217.83281249999999</v>
      </c>
      <c r="P23" s="16">
        <f t="shared" si="3"/>
        <v>-217.83281249999999</v>
      </c>
      <c r="Q23" s="16">
        <f t="shared" si="3"/>
        <v>-217.83281249999999</v>
      </c>
      <c r="R23" s="16">
        <f t="shared" si="3"/>
        <v>-217.83281249999999</v>
      </c>
      <c r="S23" s="16">
        <f t="shared" si="3"/>
        <v>-217.83281249999999</v>
      </c>
      <c r="T23" s="16">
        <f t="shared" si="3"/>
        <v>-217.83281249999999</v>
      </c>
      <c r="U23" s="16">
        <f t="shared" si="3"/>
        <v>-217.83281249999999</v>
      </c>
      <c r="V23" s="16">
        <f t="shared" si="3"/>
        <v>-217.83281249999999</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125</v>
      </c>
      <c r="C31" s="77">
        <f>IF(C$27="%w/w SAR",((C$28*10)*$B31),IF(C$27="%w/w DM",(((C$28*10)*($B$28/100))*$B31),IF(C$27="kg/t SAR",(C$28*$B31),IF(C$27="kg/t DM",((C$28*($B$28/100))*$B31),IF(C$27="mg/kg SAR",((C$28*0.001)*$B31),IF(C$27="mg/kg DM",(((C$28*0.001)*($B$28/100))*$B31),0))))))</f>
        <v>87.500000000000014</v>
      </c>
      <c r="D31" s="77">
        <f>(IF(D$27="%w/w SAR",((D$28*10)*$B31),IF(D$27="%w/w DM",(((D$28*10)*($B$28/100))*$B31),IF(D$27="kg/t SAR",(D$28*$B31),IF(D$27="kg/t DM",((D$28*($B$28/100))*$B31),IF(D$27="mg/kg SAR",((D$28*0.001)*$B31),IF(D$27="mg/kg DM",(((D$28*0.001)*($B$28/100))*$B31),"0")))))))*2.291</f>
        <v>59.852374999999995</v>
      </c>
      <c r="E31" s="77">
        <f>(IF(E$27="%w/w SAR",((E$28*10)*$B31),IF(E$27="%w/w DM",(((E$28*10)*($B$28/100))*$B31),IF(E$27="kg/t SAR",(E$28*$B31),IF(E$27="kg/t DM",((E$28*($B$28/100))*$B31),IF(E$27="mg/kg SAR",((E$28*0.001)*$B31),IF(E$27="mg/kg DM",(((E$28*0.001)*($B$28/100))*$B31),"0")))))))*1.205</f>
        <v>10.167187500000001</v>
      </c>
      <c r="F31" s="77">
        <f>(IF(F$27="%w/w SAR",((F$28*10)*$B31),IF(F$27="%w/w DM",(((F$28*10)*($B$28/100))*$B31),IF(F$27="kg/t SAR",(F$28*$B31),IF(F$27="kg/t DM",((F$28*($B$28/100))*$B31),IF(F$27="mg/kg SAR",((F$28*0.001)*$B31),IF(F$27="mg/kg DM",(((F$28*0.001)*($B$28/100))*$B31),"0")))))))*1.658</f>
        <v>5.2434250000000002</v>
      </c>
      <c r="G31" s="77">
        <f t="shared" ref="G31:P46" si="5">IF(G$27="%w/w SAR",((G$28*10)*$B31),IF(G$27="%w/w DM",(((G$28*10)*($B$28/100))*$B31),IF(G$27="kg/t SAR",(G$28*$B31),IF(G$27="kg/t DM",((G$28*($B$28/100))*$B31),IF(G$27="mg/kg SAR",((G$28*0.001)*$B31),IF(G$27="mg/kg DM",(((G$28*0.001)*($B$28/100))*$B31),0))))))</f>
        <v>5.8749999999999997E-2</v>
      </c>
      <c r="H31" s="77">
        <f t="shared" si="5"/>
        <v>0.88624999999999998</v>
      </c>
      <c r="I31" s="77">
        <f t="shared" si="5"/>
        <v>6.25E-2</v>
      </c>
      <c r="J31" s="77">
        <f t="shared" si="5"/>
        <v>1.25E-3</v>
      </c>
      <c r="K31" s="77">
        <f t="shared" si="5"/>
        <v>6.2500000000000003E-3</v>
      </c>
      <c r="L31" s="77">
        <f t="shared" si="5"/>
        <v>2.8750000000000001E-2</v>
      </c>
      <c r="M31" s="77">
        <f t="shared" si="5"/>
        <v>0.25</v>
      </c>
      <c r="N31" s="77">
        <f t="shared" si="5"/>
        <v>0</v>
      </c>
      <c r="O31" s="77">
        <f t="shared" si="5"/>
        <v>0</v>
      </c>
      <c r="P31" s="77">
        <f t="shared" si="5"/>
        <v>352.375</v>
      </c>
      <c r="Q31" s="77">
        <f>(IF(Q$27="%w/w SAR",((Q$28*10)*$B31),IF(Q$27="%w/w DM",(((Q$28*10)*($B$28/100))*$B31),IF(Q$27="kg/t SAR",(Q$28*$B31),IF(Q$27="kg/t DM",((Q$28*($B$28/100))*$B31),IF(Q$27="mg/kg SAR",((Q$28*0.001)*$B31),IF(Q$27="mg/kg DM",(((Q$28*0.001)*($B$28/100))*$B31),0)))))))*2.5</f>
        <v>398.43750000000006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125</v>
      </c>
      <c r="C32" s="77">
        <f t="shared" ref="C32:C50" si="6">IF(C$27="%w/w SAR",((C$28*10)*$B32),IF(C$27="%w/w DM",(((C$28*10)*($B$28/100))*$B32),IF(C$27="kg/t SAR",(C$28*$B32),IF(C$27="kg/t DM",((C$28*($B$28/100))*$B32),IF(C$27="mg/kg SAR",((C$28*0.001)*$B32),IF(C$27="mg/kg DM",(((C$28*0.001)*($B$28/100))*$B32),0))))))</f>
        <v>87.500000000000014</v>
      </c>
      <c r="D32" s="77">
        <f t="shared" ref="D32:D50" si="7">(IF(D$27="%w/w SAR",((D$28*10)*$B32),IF(D$27="%w/w DM",(((D$28*10)*($B$28/100))*$B32),IF(D$27="kg/t SAR",(D$28*$B32),IF(D$27="kg/t DM",((D$28*($B$28/100))*$B32),IF(D$27="mg/kg SAR",((D$28*0.001)*$B32),IF(D$27="mg/kg DM",(((D$28*0.001)*($B$28/100))*$B32),"0")))))))*2.291</f>
        <v>59.852374999999995</v>
      </c>
      <c r="E32" s="77">
        <f t="shared" ref="E32:E50" si="8">(IF(E$27="%w/w SAR",((E$28*10)*$B32),IF(E$27="%w/w DM",(((E$28*10)*($B$28/100))*$B32),IF(E$27="kg/t SAR",(E$28*$B32),IF(E$27="kg/t DM",((E$28*($B$28/100))*$B32),IF(E$27="mg/kg SAR",((E$28*0.001)*$B32),IF(E$27="mg/kg DM",(((E$28*0.001)*($B$28/100))*$B32),"0")))))))*1.205</f>
        <v>10.167187500000001</v>
      </c>
      <c r="F32" s="77">
        <f t="shared" ref="F32:F50" si="9">(IF(F$27="%w/w SAR",((F$28*10)*$B32),IF(F$27="%w/w DM",(((F$28*10)*($B$28/100))*$B32),IF(F$27="kg/t SAR",(F$28*$B32),IF(F$27="kg/t DM",((F$28*($B$28/100))*$B32),IF(F$27="mg/kg SAR",((F$28*0.001)*$B32),IF(F$27="mg/kg DM",(((F$28*0.001)*($B$28/100))*$B32),"0")))))))*1.658</f>
        <v>5.2434250000000002</v>
      </c>
      <c r="G32" s="77">
        <f t="shared" si="5"/>
        <v>5.8749999999999997E-2</v>
      </c>
      <c r="H32" s="77">
        <f t="shared" si="5"/>
        <v>0.88624999999999998</v>
      </c>
      <c r="I32" s="77">
        <f t="shared" si="5"/>
        <v>6.25E-2</v>
      </c>
      <c r="J32" s="77">
        <f t="shared" si="5"/>
        <v>1.25E-3</v>
      </c>
      <c r="K32" s="77">
        <f t="shared" si="5"/>
        <v>6.2500000000000003E-3</v>
      </c>
      <c r="L32" s="77">
        <f t="shared" si="5"/>
        <v>2.8750000000000001E-2</v>
      </c>
      <c r="M32" s="77">
        <f t="shared" si="5"/>
        <v>0.25</v>
      </c>
      <c r="N32" s="77">
        <f t="shared" si="5"/>
        <v>0</v>
      </c>
      <c r="O32" s="77">
        <f t="shared" si="5"/>
        <v>0</v>
      </c>
      <c r="P32" s="77">
        <f t="shared" si="5"/>
        <v>352.375</v>
      </c>
      <c r="Q32" s="77">
        <f t="shared" ref="Q32:Q50" si="10">(IF(Q$27="%w/w SAR",((Q$28*10)*$B32),IF(Q$27="%w/w DM",(((Q$28*10)*($B$28/100))*$B32),IF(Q$27="kg/t SAR",(Q$28*$B32),IF(Q$27="kg/t DM",((Q$28*($B$28/100))*$B32),IF(Q$27="mg/kg SAR",((Q$28*0.001)*$B32),IF(Q$27="mg/kg DM",(((Q$28*0.001)*($B$28/100))*$B32),0)))))))*2.5</f>
        <v>398.43750000000006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125</v>
      </c>
      <c r="C33" s="77">
        <f t="shared" si="6"/>
        <v>87.500000000000014</v>
      </c>
      <c r="D33" s="77">
        <f t="shared" si="7"/>
        <v>59.852374999999995</v>
      </c>
      <c r="E33" s="77">
        <f t="shared" si="8"/>
        <v>10.167187500000001</v>
      </c>
      <c r="F33" s="77">
        <f t="shared" si="9"/>
        <v>5.2434250000000002</v>
      </c>
      <c r="G33" s="77">
        <f t="shared" si="5"/>
        <v>5.8749999999999997E-2</v>
      </c>
      <c r="H33" s="77">
        <f t="shared" si="5"/>
        <v>0.88624999999999998</v>
      </c>
      <c r="I33" s="77">
        <f t="shared" si="5"/>
        <v>6.25E-2</v>
      </c>
      <c r="J33" s="77">
        <f t="shared" si="5"/>
        <v>1.25E-3</v>
      </c>
      <c r="K33" s="77">
        <f t="shared" si="5"/>
        <v>6.2500000000000003E-3</v>
      </c>
      <c r="L33" s="77">
        <f t="shared" si="5"/>
        <v>2.8750000000000001E-2</v>
      </c>
      <c r="M33" s="77">
        <f t="shared" si="5"/>
        <v>0.25</v>
      </c>
      <c r="N33" s="77">
        <f t="shared" si="5"/>
        <v>0</v>
      </c>
      <c r="O33" s="77">
        <f t="shared" si="5"/>
        <v>0</v>
      </c>
      <c r="P33" s="77">
        <f t="shared" si="5"/>
        <v>352.375</v>
      </c>
      <c r="Q33" s="77">
        <f t="shared" si="10"/>
        <v>398.43750000000006</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125</v>
      </c>
      <c r="C34" s="77">
        <f t="shared" si="6"/>
        <v>87.500000000000014</v>
      </c>
      <c r="D34" s="77">
        <f t="shared" si="7"/>
        <v>59.852374999999995</v>
      </c>
      <c r="E34" s="77">
        <f t="shared" si="8"/>
        <v>10.167187500000001</v>
      </c>
      <c r="F34" s="77">
        <f t="shared" si="9"/>
        <v>5.2434250000000002</v>
      </c>
      <c r="G34" s="77">
        <f t="shared" si="5"/>
        <v>5.8749999999999997E-2</v>
      </c>
      <c r="H34" s="77">
        <f t="shared" si="5"/>
        <v>0.88624999999999998</v>
      </c>
      <c r="I34" s="77">
        <f t="shared" si="5"/>
        <v>6.25E-2</v>
      </c>
      <c r="J34" s="77">
        <f t="shared" si="5"/>
        <v>1.25E-3</v>
      </c>
      <c r="K34" s="77">
        <f t="shared" si="5"/>
        <v>6.2500000000000003E-3</v>
      </c>
      <c r="L34" s="77">
        <f t="shared" si="5"/>
        <v>2.8750000000000001E-2</v>
      </c>
      <c r="M34" s="77">
        <f t="shared" si="5"/>
        <v>0.25</v>
      </c>
      <c r="N34" s="77">
        <f t="shared" si="5"/>
        <v>0</v>
      </c>
      <c r="O34" s="77">
        <f t="shared" si="5"/>
        <v>0</v>
      </c>
      <c r="P34" s="77">
        <f t="shared" si="5"/>
        <v>352.375</v>
      </c>
      <c r="Q34" s="77">
        <f t="shared" si="10"/>
        <v>398.43750000000006</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115</v>
      </c>
      <c r="C35" s="77">
        <f t="shared" si="6"/>
        <v>80.500000000000014</v>
      </c>
      <c r="D35" s="77">
        <f t="shared" si="7"/>
        <v>55.064185000000002</v>
      </c>
      <c r="E35" s="77">
        <f t="shared" si="8"/>
        <v>9.3538125000000001</v>
      </c>
      <c r="F35" s="77">
        <f t="shared" si="9"/>
        <v>4.8239510000000001</v>
      </c>
      <c r="G35" s="77">
        <f t="shared" si="5"/>
        <v>5.4050000000000001E-2</v>
      </c>
      <c r="H35" s="77">
        <f t="shared" si="5"/>
        <v>0.81535000000000002</v>
      </c>
      <c r="I35" s="77">
        <f t="shared" si="5"/>
        <v>5.7500000000000002E-2</v>
      </c>
      <c r="J35" s="77">
        <f t="shared" si="5"/>
        <v>1.1500000000000002E-3</v>
      </c>
      <c r="K35" s="77">
        <f t="shared" si="5"/>
        <v>5.7499999999999999E-3</v>
      </c>
      <c r="L35" s="77">
        <f t="shared" si="5"/>
        <v>2.6450000000000001E-2</v>
      </c>
      <c r="M35" s="77">
        <f t="shared" si="5"/>
        <v>0.23</v>
      </c>
      <c r="N35" s="77">
        <f t="shared" si="5"/>
        <v>0</v>
      </c>
      <c r="O35" s="77">
        <f t="shared" si="5"/>
        <v>0</v>
      </c>
      <c r="P35" s="77">
        <f t="shared" si="5"/>
        <v>324.185</v>
      </c>
      <c r="Q35" s="77">
        <f t="shared" si="10"/>
        <v>366.56250000000006</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125</v>
      </c>
      <c r="C36" s="77">
        <f t="shared" si="6"/>
        <v>87.500000000000014</v>
      </c>
      <c r="D36" s="77">
        <f t="shared" si="7"/>
        <v>59.852374999999995</v>
      </c>
      <c r="E36" s="77">
        <f t="shared" si="8"/>
        <v>10.167187500000001</v>
      </c>
      <c r="F36" s="77">
        <f t="shared" si="9"/>
        <v>5.2434250000000002</v>
      </c>
      <c r="G36" s="77">
        <f t="shared" si="5"/>
        <v>5.8749999999999997E-2</v>
      </c>
      <c r="H36" s="77">
        <f t="shared" si="5"/>
        <v>0.88624999999999998</v>
      </c>
      <c r="I36" s="77">
        <f t="shared" si="5"/>
        <v>6.25E-2</v>
      </c>
      <c r="J36" s="77">
        <f t="shared" si="5"/>
        <v>1.25E-3</v>
      </c>
      <c r="K36" s="77">
        <f t="shared" si="5"/>
        <v>6.2500000000000003E-3</v>
      </c>
      <c r="L36" s="77">
        <f t="shared" si="5"/>
        <v>2.8750000000000001E-2</v>
      </c>
      <c r="M36" s="77">
        <f t="shared" si="5"/>
        <v>0.25</v>
      </c>
      <c r="N36" s="77">
        <f t="shared" si="5"/>
        <v>0</v>
      </c>
      <c r="O36" s="77">
        <f t="shared" si="5"/>
        <v>0</v>
      </c>
      <c r="P36" s="77">
        <f t="shared" si="5"/>
        <v>352.375</v>
      </c>
      <c r="Q36" s="77">
        <f t="shared" si="10"/>
        <v>398.43750000000006</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115</v>
      </c>
      <c r="C37" s="77">
        <f t="shared" si="6"/>
        <v>80.500000000000014</v>
      </c>
      <c r="D37" s="77">
        <f t="shared" si="7"/>
        <v>55.064185000000002</v>
      </c>
      <c r="E37" s="77">
        <f t="shared" si="8"/>
        <v>9.3538125000000001</v>
      </c>
      <c r="F37" s="77">
        <f t="shared" si="9"/>
        <v>4.8239510000000001</v>
      </c>
      <c r="G37" s="77">
        <f t="shared" si="5"/>
        <v>5.4050000000000001E-2</v>
      </c>
      <c r="H37" s="77">
        <f t="shared" si="5"/>
        <v>0.81535000000000002</v>
      </c>
      <c r="I37" s="77">
        <f t="shared" si="5"/>
        <v>5.7500000000000002E-2</v>
      </c>
      <c r="J37" s="77">
        <f t="shared" si="5"/>
        <v>1.1500000000000002E-3</v>
      </c>
      <c r="K37" s="77">
        <f t="shared" si="5"/>
        <v>5.7499999999999999E-3</v>
      </c>
      <c r="L37" s="77">
        <f t="shared" si="5"/>
        <v>2.6450000000000001E-2</v>
      </c>
      <c r="M37" s="77">
        <f t="shared" si="5"/>
        <v>0.23</v>
      </c>
      <c r="N37" s="77">
        <f t="shared" si="5"/>
        <v>0</v>
      </c>
      <c r="O37" s="77">
        <f t="shared" si="5"/>
        <v>0</v>
      </c>
      <c r="P37" s="77">
        <f t="shared" si="5"/>
        <v>324.185</v>
      </c>
      <c r="Q37" s="77">
        <f t="shared" si="10"/>
        <v>366.56250000000006</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115</v>
      </c>
      <c r="C38" s="77">
        <f t="shared" si="6"/>
        <v>80.500000000000014</v>
      </c>
      <c r="D38" s="77">
        <f t="shared" si="7"/>
        <v>55.064185000000002</v>
      </c>
      <c r="E38" s="77">
        <f t="shared" si="8"/>
        <v>9.3538125000000001</v>
      </c>
      <c r="F38" s="77">
        <f t="shared" si="9"/>
        <v>4.8239510000000001</v>
      </c>
      <c r="G38" s="77">
        <f t="shared" si="5"/>
        <v>5.4050000000000001E-2</v>
      </c>
      <c r="H38" s="77">
        <f t="shared" si="5"/>
        <v>0.81535000000000002</v>
      </c>
      <c r="I38" s="77">
        <f t="shared" si="5"/>
        <v>5.7500000000000002E-2</v>
      </c>
      <c r="J38" s="77">
        <f t="shared" si="5"/>
        <v>1.1500000000000002E-3</v>
      </c>
      <c r="K38" s="77">
        <f t="shared" si="5"/>
        <v>5.7499999999999999E-3</v>
      </c>
      <c r="L38" s="77">
        <f t="shared" si="5"/>
        <v>2.6450000000000001E-2</v>
      </c>
      <c r="M38" s="77">
        <f t="shared" si="5"/>
        <v>0.23</v>
      </c>
      <c r="N38" s="77">
        <f t="shared" si="5"/>
        <v>0</v>
      </c>
      <c r="O38" s="77">
        <f t="shared" si="5"/>
        <v>0</v>
      </c>
      <c r="P38" s="77">
        <f t="shared" si="5"/>
        <v>324.185</v>
      </c>
      <c r="Q38" s="77">
        <f t="shared" si="10"/>
        <v>366.56250000000006</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125</v>
      </c>
      <c r="C39" s="77">
        <f t="shared" si="6"/>
        <v>87.500000000000014</v>
      </c>
      <c r="D39" s="77">
        <f t="shared" si="7"/>
        <v>59.852374999999995</v>
      </c>
      <c r="E39" s="77">
        <f t="shared" si="8"/>
        <v>10.167187500000001</v>
      </c>
      <c r="F39" s="77">
        <f t="shared" si="9"/>
        <v>5.2434250000000002</v>
      </c>
      <c r="G39" s="77">
        <f t="shared" si="5"/>
        <v>5.8749999999999997E-2</v>
      </c>
      <c r="H39" s="77">
        <f t="shared" si="5"/>
        <v>0.88624999999999998</v>
      </c>
      <c r="I39" s="77">
        <f t="shared" si="5"/>
        <v>6.25E-2</v>
      </c>
      <c r="J39" s="77">
        <f t="shared" si="5"/>
        <v>1.25E-3</v>
      </c>
      <c r="K39" s="77">
        <f t="shared" si="5"/>
        <v>6.2500000000000003E-3</v>
      </c>
      <c r="L39" s="77">
        <f t="shared" si="5"/>
        <v>2.8750000000000001E-2</v>
      </c>
      <c r="M39" s="77">
        <f t="shared" si="5"/>
        <v>0.25</v>
      </c>
      <c r="N39" s="77">
        <f t="shared" si="5"/>
        <v>0</v>
      </c>
      <c r="O39" s="77">
        <f t="shared" si="5"/>
        <v>0</v>
      </c>
      <c r="P39" s="77">
        <f t="shared" si="5"/>
        <v>352.375</v>
      </c>
      <c r="Q39" s="77">
        <f t="shared" si="10"/>
        <v>398.43750000000006</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125</v>
      </c>
      <c r="C40" s="77">
        <f t="shared" si="6"/>
        <v>87.500000000000014</v>
      </c>
      <c r="D40" s="77">
        <f t="shared" si="7"/>
        <v>59.852374999999995</v>
      </c>
      <c r="E40" s="77">
        <f t="shared" si="8"/>
        <v>10.167187500000001</v>
      </c>
      <c r="F40" s="77">
        <f t="shared" si="9"/>
        <v>5.2434250000000002</v>
      </c>
      <c r="G40" s="77">
        <f t="shared" si="5"/>
        <v>5.8749999999999997E-2</v>
      </c>
      <c r="H40" s="77">
        <f t="shared" si="5"/>
        <v>0.88624999999999998</v>
      </c>
      <c r="I40" s="77">
        <f t="shared" si="5"/>
        <v>6.25E-2</v>
      </c>
      <c r="J40" s="77">
        <f t="shared" si="5"/>
        <v>1.25E-3</v>
      </c>
      <c r="K40" s="77">
        <f t="shared" si="5"/>
        <v>6.2500000000000003E-3</v>
      </c>
      <c r="L40" s="77">
        <f t="shared" si="5"/>
        <v>2.8750000000000001E-2</v>
      </c>
      <c r="M40" s="77">
        <f t="shared" si="5"/>
        <v>0.25</v>
      </c>
      <c r="N40" s="77">
        <f t="shared" si="5"/>
        <v>0</v>
      </c>
      <c r="O40" s="77">
        <f t="shared" si="5"/>
        <v>0</v>
      </c>
      <c r="P40" s="77">
        <f t="shared" si="5"/>
        <v>352.375</v>
      </c>
      <c r="Q40" s="77">
        <f t="shared" si="10"/>
        <v>398.43750000000006</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125</v>
      </c>
      <c r="C41" s="77">
        <f t="shared" si="6"/>
        <v>87.500000000000014</v>
      </c>
      <c r="D41" s="77">
        <f t="shared" si="7"/>
        <v>59.852374999999995</v>
      </c>
      <c r="E41" s="77">
        <f t="shared" si="8"/>
        <v>10.167187500000001</v>
      </c>
      <c r="F41" s="77">
        <f t="shared" si="9"/>
        <v>5.2434250000000002</v>
      </c>
      <c r="G41" s="77">
        <f t="shared" si="5"/>
        <v>5.8749999999999997E-2</v>
      </c>
      <c r="H41" s="77">
        <f t="shared" si="5"/>
        <v>0.88624999999999998</v>
      </c>
      <c r="I41" s="77">
        <f t="shared" si="5"/>
        <v>6.25E-2</v>
      </c>
      <c r="J41" s="77">
        <f t="shared" si="5"/>
        <v>1.25E-3</v>
      </c>
      <c r="K41" s="77">
        <f t="shared" si="5"/>
        <v>6.2500000000000003E-3</v>
      </c>
      <c r="L41" s="77">
        <f t="shared" si="5"/>
        <v>2.8750000000000001E-2</v>
      </c>
      <c r="M41" s="77">
        <f t="shared" si="5"/>
        <v>0.25</v>
      </c>
      <c r="N41" s="77">
        <f t="shared" si="5"/>
        <v>0</v>
      </c>
      <c r="O41" s="77">
        <f t="shared" si="5"/>
        <v>0</v>
      </c>
      <c r="P41" s="77">
        <f t="shared" si="5"/>
        <v>352.375</v>
      </c>
      <c r="Q41" s="77">
        <f t="shared" si="10"/>
        <v>398.43750000000006</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125</v>
      </c>
      <c r="C42" s="77">
        <f t="shared" si="6"/>
        <v>87.500000000000014</v>
      </c>
      <c r="D42" s="77">
        <f t="shared" si="7"/>
        <v>59.852374999999995</v>
      </c>
      <c r="E42" s="77">
        <f t="shared" si="8"/>
        <v>10.167187500000001</v>
      </c>
      <c r="F42" s="77">
        <f t="shared" si="9"/>
        <v>5.2434250000000002</v>
      </c>
      <c r="G42" s="77">
        <f t="shared" si="5"/>
        <v>5.8749999999999997E-2</v>
      </c>
      <c r="H42" s="77">
        <f t="shared" si="5"/>
        <v>0.88624999999999998</v>
      </c>
      <c r="I42" s="77">
        <f t="shared" si="5"/>
        <v>6.25E-2</v>
      </c>
      <c r="J42" s="77">
        <f t="shared" si="5"/>
        <v>1.25E-3</v>
      </c>
      <c r="K42" s="77">
        <f t="shared" si="5"/>
        <v>6.2500000000000003E-3</v>
      </c>
      <c r="L42" s="77">
        <f t="shared" si="5"/>
        <v>2.8750000000000001E-2</v>
      </c>
      <c r="M42" s="77">
        <f t="shared" si="5"/>
        <v>0.25</v>
      </c>
      <c r="N42" s="77">
        <f t="shared" si="5"/>
        <v>0</v>
      </c>
      <c r="O42" s="77">
        <f t="shared" si="5"/>
        <v>0</v>
      </c>
      <c r="P42" s="77">
        <f t="shared" si="5"/>
        <v>352.375</v>
      </c>
      <c r="Q42" s="77">
        <f t="shared" si="10"/>
        <v>398.43750000000006</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125</v>
      </c>
      <c r="C43" s="77">
        <f t="shared" si="6"/>
        <v>87.500000000000014</v>
      </c>
      <c r="D43" s="77">
        <f t="shared" si="7"/>
        <v>59.852374999999995</v>
      </c>
      <c r="E43" s="77">
        <f t="shared" si="8"/>
        <v>10.167187500000001</v>
      </c>
      <c r="F43" s="77">
        <f t="shared" si="9"/>
        <v>5.2434250000000002</v>
      </c>
      <c r="G43" s="77">
        <f t="shared" si="5"/>
        <v>5.8749999999999997E-2</v>
      </c>
      <c r="H43" s="77">
        <f t="shared" si="5"/>
        <v>0.88624999999999998</v>
      </c>
      <c r="I43" s="77">
        <f t="shared" si="5"/>
        <v>6.25E-2</v>
      </c>
      <c r="J43" s="77">
        <f t="shared" si="5"/>
        <v>1.25E-3</v>
      </c>
      <c r="K43" s="77">
        <f t="shared" si="5"/>
        <v>6.2500000000000003E-3</v>
      </c>
      <c r="L43" s="77">
        <f t="shared" si="5"/>
        <v>2.8750000000000001E-2</v>
      </c>
      <c r="M43" s="77">
        <f t="shared" si="5"/>
        <v>0.25</v>
      </c>
      <c r="N43" s="77">
        <f t="shared" si="5"/>
        <v>0</v>
      </c>
      <c r="O43" s="77">
        <f t="shared" si="5"/>
        <v>0</v>
      </c>
      <c r="P43" s="77">
        <f t="shared" si="5"/>
        <v>352.375</v>
      </c>
      <c r="Q43" s="77">
        <f t="shared" si="10"/>
        <v>398.43750000000006</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125</v>
      </c>
      <c r="C44" s="77">
        <f t="shared" si="6"/>
        <v>87.500000000000014</v>
      </c>
      <c r="D44" s="77">
        <f t="shared" si="7"/>
        <v>59.852374999999995</v>
      </c>
      <c r="E44" s="77">
        <f t="shared" si="8"/>
        <v>10.167187500000001</v>
      </c>
      <c r="F44" s="77">
        <f t="shared" si="9"/>
        <v>5.2434250000000002</v>
      </c>
      <c r="G44" s="77">
        <f t="shared" si="5"/>
        <v>5.8749999999999997E-2</v>
      </c>
      <c r="H44" s="77">
        <f t="shared" si="5"/>
        <v>0.88624999999999998</v>
      </c>
      <c r="I44" s="77">
        <f t="shared" si="5"/>
        <v>6.25E-2</v>
      </c>
      <c r="J44" s="77">
        <f t="shared" si="5"/>
        <v>1.25E-3</v>
      </c>
      <c r="K44" s="77">
        <f t="shared" si="5"/>
        <v>6.2500000000000003E-3</v>
      </c>
      <c r="L44" s="77">
        <f t="shared" si="5"/>
        <v>2.8750000000000001E-2</v>
      </c>
      <c r="M44" s="77">
        <f t="shared" si="5"/>
        <v>0.25</v>
      </c>
      <c r="N44" s="77">
        <f t="shared" si="5"/>
        <v>0</v>
      </c>
      <c r="O44" s="77">
        <f t="shared" si="5"/>
        <v>0</v>
      </c>
      <c r="P44" s="77">
        <f t="shared" si="5"/>
        <v>352.375</v>
      </c>
      <c r="Q44" s="77">
        <f t="shared" si="10"/>
        <v>398.43750000000006</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125</v>
      </c>
      <c r="C45" s="77">
        <f t="shared" si="6"/>
        <v>87.500000000000014</v>
      </c>
      <c r="D45" s="77">
        <f t="shared" si="7"/>
        <v>59.852374999999995</v>
      </c>
      <c r="E45" s="77">
        <f t="shared" si="8"/>
        <v>10.167187500000001</v>
      </c>
      <c r="F45" s="77">
        <f t="shared" si="9"/>
        <v>5.2434250000000002</v>
      </c>
      <c r="G45" s="77">
        <f t="shared" si="5"/>
        <v>5.8749999999999997E-2</v>
      </c>
      <c r="H45" s="77">
        <f t="shared" si="5"/>
        <v>0.88624999999999998</v>
      </c>
      <c r="I45" s="77">
        <f t="shared" si="5"/>
        <v>6.25E-2</v>
      </c>
      <c r="J45" s="77">
        <f t="shared" si="5"/>
        <v>1.25E-3</v>
      </c>
      <c r="K45" s="77">
        <f t="shared" si="5"/>
        <v>6.2500000000000003E-3</v>
      </c>
      <c r="L45" s="77">
        <f t="shared" si="5"/>
        <v>2.8750000000000001E-2</v>
      </c>
      <c r="M45" s="77">
        <f t="shared" si="5"/>
        <v>0.25</v>
      </c>
      <c r="N45" s="77">
        <f t="shared" si="5"/>
        <v>0</v>
      </c>
      <c r="O45" s="77">
        <f t="shared" si="5"/>
        <v>0</v>
      </c>
      <c r="P45" s="77">
        <f t="shared" si="5"/>
        <v>352.375</v>
      </c>
      <c r="Q45" s="77">
        <f t="shared" si="10"/>
        <v>398.43750000000006</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125</v>
      </c>
      <c r="C46" s="77">
        <f t="shared" si="6"/>
        <v>87.500000000000014</v>
      </c>
      <c r="D46" s="77">
        <f t="shared" si="7"/>
        <v>59.852374999999995</v>
      </c>
      <c r="E46" s="77">
        <f t="shared" si="8"/>
        <v>10.167187500000001</v>
      </c>
      <c r="F46" s="77">
        <f t="shared" si="9"/>
        <v>5.2434250000000002</v>
      </c>
      <c r="G46" s="77">
        <f t="shared" si="5"/>
        <v>5.8749999999999997E-2</v>
      </c>
      <c r="H46" s="77">
        <f t="shared" si="5"/>
        <v>0.88624999999999998</v>
      </c>
      <c r="I46" s="77">
        <f t="shared" si="5"/>
        <v>6.25E-2</v>
      </c>
      <c r="J46" s="77">
        <f t="shared" si="5"/>
        <v>1.25E-3</v>
      </c>
      <c r="K46" s="77">
        <f t="shared" si="5"/>
        <v>6.2500000000000003E-3</v>
      </c>
      <c r="L46" s="77">
        <f t="shared" si="5"/>
        <v>2.8750000000000001E-2</v>
      </c>
      <c r="M46" s="77">
        <f t="shared" si="5"/>
        <v>0.25</v>
      </c>
      <c r="N46" s="77">
        <f t="shared" si="5"/>
        <v>0</v>
      </c>
      <c r="O46" s="77">
        <f t="shared" si="5"/>
        <v>0</v>
      </c>
      <c r="P46" s="77">
        <f t="shared" si="5"/>
        <v>352.375</v>
      </c>
      <c r="Q46" s="77">
        <f t="shared" si="10"/>
        <v>398.43750000000006</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125</v>
      </c>
      <c r="C47" s="77">
        <f t="shared" si="6"/>
        <v>87.500000000000014</v>
      </c>
      <c r="D47" s="77">
        <f t="shared" si="7"/>
        <v>59.852374999999995</v>
      </c>
      <c r="E47" s="77">
        <f t="shared" si="8"/>
        <v>10.167187500000001</v>
      </c>
      <c r="F47" s="77">
        <f t="shared" si="9"/>
        <v>5.2434250000000002</v>
      </c>
      <c r="G47" s="77">
        <f t="shared" ref="G47:P50" si="12">IF(G$27="%w/w SAR",((G$28*10)*$B47),IF(G$27="%w/w DM",(((G$28*10)*($B$28/100))*$B47),IF(G$27="kg/t SAR",(G$28*$B47),IF(G$27="kg/t DM",((G$28*($B$28/100))*$B47),IF(G$27="mg/kg SAR",((G$28*0.001)*$B47),IF(G$27="mg/kg DM",(((G$28*0.001)*($B$28/100))*$B47),0))))))</f>
        <v>5.8749999999999997E-2</v>
      </c>
      <c r="H47" s="77">
        <f t="shared" si="12"/>
        <v>0.88624999999999998</v>
      </c>
      <c r="I47" s="77">
        <f t="shared" si="12"/>
        <v>6.25E-2</v>
      </c>
      <c r="J47" s="77">
        <f t="shared" si="12"/>
        <v>1.25E-3</v>
      </c>
      <c r="K47" s="77">
        <f t="shared" si="12"/>
        <v>6.2500000000000003E-3</v>
      </c>
      <c r="L47" s="77">
        <f t="shared" si="12"/>
        <v>2.8750000000000001E-2</v>
      </c>
      <c r="M47" s="77">
        <f t="shared" si="12"/>
        <v>0.25</v>
      </c>
      <c r="N47" s="77">
        <f t="shared" si="12"/>
        <v>0</v>
      </c>
      <c r="O47" s="77">
        <f t="shared" si="12"/>
        <v>0</v>
      </c>
      <c r="P47" s="77">
        <f t="shared" si="12"/>
        <v>352.375</v>
      </c>
      <c r="Q47" s="77">
        <f t="shared" si="10"/>
        <v>398.43750000000006</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125</v>
      </c>
      <c r="C48" s="77">
        <f t="shared" si="6"/>
        <v>87.500000000000014</v>
      </c>
      <c r="D48" s="77">
        <f t="shared" si="7"/>
        <v>59.852374999999995</v>
      </c>
      <c r="E48" s="77">
        <f t="shared" si="8"/>
        <v>10.167187500000001</v>
      </c>
      <c r="F48" s="77">
        <f t="shared" si="9"/>
        <v>5.2434250000000002</v>
      </c>
      <c r="G48" s="77">
        <f t="shared" si="12"/>
        <v>5.8749999999999997E-2</v>
      </c>
      <c r="H48" s="77">
        <f t="shared" si="12"/>
        <v>0.88624999999999998</v>
      </c>
      <c r="I48" s="77">
        <f t="shared" si="12"/>
        <v>6.25E-2</v>
      </c>
      <c r="J48" s="77">
        <f t="shared" si="12"/>
        <v>1.25E-3</v>
      </c>
      <c r="K48" s="77">
        <f t="shared" si="12"/>
        <v>6.2500000000000003E-3</v>
      </c>
      <c r="L48" s="77">
        <f t="shared" si="12"/>
        <v>2.8750000000000001E-2</v>
      </c>
      <c r="M48" s="77">
        <f t="shared" si="12"/>
        <v>0.25</v>
      </c>
      <c r="N48" s="77">
        <f t="shared" si="12"/>
        <v>0</v>
      </c>
      <c r="O48" s="77">
        <f t="shared" si="12"/>
        <v>0</v>
      </c>
      <c r="P48" s="77">
        <f t="shared" si="12"/>
        <v>352.375</v>
      </c>
      <c r="Q48" s="77">
        <f t="shared" si="10"/>
        <v>398.43750000000006</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125</v>
      </c>
      <c r="C49" s="77">
        <f t="shared" si="6"/>
        <v>87.500000000000014</v>
      </c>
      <c r="D49" s="77">
        <f t="shared" si="7"/>
        <v>59.852374999999995</v>
      </c>
      <c r="E49" s="77">
        <f t="shared" si="8"/>
        <v>10.167187500000001</v>
      </c>
      <c r="F49" s="77">
        <f t="shared" si="9"/>
        <v>5.2434250000000002</v>
      </c>
      <c r="G49" s="77">
        <f t="shared" si="12"/>
        <v>5.8749999999999997E-2</v>
      </c>
      <c r="H49" s="77">
        <f t="shared" si="12"/>
        <v>0.88624999999999998</v>
      </c>
      <c r="I49" s="77">
        <f t="shared" si="12"/>
        <v>6.25E-2</v>
      </c>
      <c r="J49" s="77">
        <f t="shared" si="12"/>
        <v>1.25E-3</v>
      </c>
      <c r="K49" s="77">
        <f t="shared" si="12"/>
        <v>6.2500000000000003E-3</v>
      </c>
      <c r="L49" s="77">
        <f t="shared" si="12"/>
        <v>2.8750000000000001E-2</v>
      </c>
      <c r="M49" s="77">
        <f t="shared" si="12"/>
        <v>0.25</v>
      </c>
      <c r="N49" s="77">
        <f t="shared" si="12"/>
        <v>0</v>
      </c>
      <c r="O49" s="77">
        <f t="shared" si="12"/>
        <v>0</v>
      </c>
      <c r="P49" s="77">
        <f t="shared" si="12"/>
        <v>352.375</v>
      </c>
      <c r="Q49" s="77">
        <f t="shared" si="10"/>
        <v>398.43750000000006</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125</v>
      </c>
      <c r="C50" s="98">
        <f t="shared" si="6"/>
        <v>87.500000000000014</v>
      </c>
      <c r="D50" s="98">
        <f t="shared" si="7"/>
        <v>59.852374999999995</v>
      </c>
      <c r="E50" s="98">
        <f t="shared" si="8"/>
        <v>10.167187500000001</v>
      </c>
      <c r="F50" s="98">
        <f t="shared" si="9"/>
        <v>5.2434250000000002</v>
      </c>
      <c r="G50" s="98">
        <f t="shared" si="12"/>
        <v>5.8749999999999997E-2</v>
      </c>
      <c r="H50" s="98">
        <f t="shared" si="12"/>
        <v>0.88624999999999998</v>
      </c>
      <c r="I50" s="98">
        <f t="shared" si="12"/>
        <v>6.25E-2</v>
      </c>
      <c r="J50" s="98">
        <f t="shared" si="12"/>
        <v>1.25E-3</v>
      </c>
      <c r="K50" s="98">
        <f t="shared" si="12"/>
        <v>6.2500000000000003E-3</v>
      </c>
      <c r="L50" s="98">
        <f t="shared" si="12"/>
        <v>2.8750000000000001E-2</v>
      </c>
      <c r="M50" s="98">
        <f t="shared" si="12"/>
        <v>0.25</v>
      </c>
      <c r="N50" s="98">
        <f t="shared" si="12"/>
        <v>0</v>
      </c>
      <c r="O50" s="98">
        <f t="shared" si="12"/>
        <v>0</v>
      </c>
      <c r="P50" s="98">
        <f t="shared" si="12"/>
        <v>352.375</v>
      </c>
      <c r="Q50" s="98">
        <f t="shared" si="10"/>
        <v>398.43750000000006</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Grass</v>
      </c>
      <c r="H58" s="13" t="str">
        <f>I16&amp;" I "&amp;(VLOOKUP(I14,Table245[],6,FALSE))</f>
        <v>Medium/Clay I Arable</v>
      </c>
      <c r="I58" s="13" t="str">
        <f>J16&amp;" I "&amp;(VLOOKUP(J14,Table245[],6,FALSE))</f>
        <v>Medium/Clay I Arable</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x14ac:dyDescent="0.2">
      <c r="A59" s="111" t="s">
        <v>132</v>
      </c>
      <c r="B59" s="76">
        <f>VLOOKUP(C$14,Table245[],5,FALSE)</f>
        <v>6.2</v>
      </c>
      <c r="C59" s="76">
        <f>VLOOKUP(D$14,Table245[],5,FALSE)</f>
        <v>6.2</v>
      </c>
      <c r="D59" s="76">
        <f>VLOOKUP(E$14,Table245[],5,FALSE)</f>
        <v>6.2</v>
      </c>
      <c r="E59" s="76">
        <f>VLOOKUP(F$14,Table245[],5,FALSE)</f>
        <v>6.2</v>
      </c>
      <c r="F59" s="76">
        <f>VLOOKUP(G$14,Table245[],5,FALSE)</f>
        <v>6.7</v>
      </c>
      <c r="G59" s="76">
        <f>VLOOKUP(H$14,Table245[],5,FALSE)</f>
        <v>6.2</v>
      </c>
      <c r="H59" s="76">
        <f>VLOOKUP(I$14,Table245[],5,FALSE)</f>
        <v>6.7</v>
      </c>
      <c r="I59" s="76">
        <f>VLOOKUP(J$14,Table245[],5,FALSE)</f>
        <v>6.7</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125</v>
      </c>
      <c r="C62" s="77">
        <f>B32</f>
        <v>125</v>
      </c>
      <c r="D62" s="77">
        <f>B33</f>
        <v>125</v>
      </c>
      <c r="E62" s="77">
        <f>B34</f>
        <v>125</v>
      </c>
      <c r="F62" s="77">
        <f>B35</f>
        <v>115</v>
      </c>
      <c r="G62" s="77">
        <f>B36</f>
        <v>125</v>
      </c>
      <c r="H62" s="77">
        <f>B37</f>
        <v>115</v>
      </c>
      <c r="I62" s="77">
        <f>B38</f>
        <v>115</v>
      </c>
      <c r="J62" s="77">
        <f>B39</f>
        <v>125</v>
      </c>
      <c r="K62" s="77">
        <f>B40</f>
        <v>125</v>
      </c>
      <c r="L62" s="77">
        <f>B41</f>
        <v>125</v>
      </c>
      <c r="M62" s="77">
        <f>B42</f>
        <v>125</v>
      </c>
      <c r="N62" s="77">
        <f>B43</f>
        <v>125</v>
      </c>
      <c r="O62" s="77">
        <f>B44</f>
        <v>125</v>
      </c>
      <c r="P62" s="77">
        <f>B45</f>
        <v>125</v>
      </c>
      <c r="Q62" s="77">
        <f>B46</f>
        <v>125</v>
      </c>
      <c r="R62" s="77">
        <f>B47</f>
        <v>125</v>
      </c>
      <c r="S62" s="77">
        <f>B48</f>
        <v>125</v>
      </c>
      <c r="T62" s="77">
        <f>B49</f>
        <v>125</v>
      </c>
      <c r="U62" s="77">
        <f>B50</f>
        <v>125</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84" priority="38" operator="equal">
      <formula>"DECREASE"</formula>
    </cfRule>
    <cfRule type="cellIs" dxfId="383" priority="39" operator="equal">
      <formula>"INCREASE"</formula>
    </cfRule>
  </conditionalFormatting>
  <conditionalFormatting sqref="B62:U66">
    <cfRule type="cellIs" dxfId="382" priority="37" operator="greaterThan">
      <formula>$B$51</formula>
    </cfRule>
  </conditionalFormatting>
  <conditionalFormatting sqref="C31:C50">
    <cfRule type="cellIs" dxfId="381" priority="36" operator="greaterThan">
      <formula>$C$51</formula>
    </cfRule>
  </conditionalFormatting>
  <conditionalFormatting sqref="C18:V18">
    <cfRule type="cellIs" dxfId="380" priority="35" operator="equal">
      <formula>0</formula>
    </cfRule>
  </conditionalFormatting>
  <conditionalFormatting sqref="C17:V17">
    <cfRule type="cellIs" dxfId="379" priority="34" operator="equal">
      <formula>0</formula>
    </cfRule>
  </conditionalFormatting>
  <conditionalFormatting sqref="C19:V19">
    <cfRule type="cellIs" dxfId="378" priority="33" operator="equal">
      <formula>0</formula>
    </cfRule>
  </conditionalFormatting>
  <conditionalFormatting sqref="G31:G50">
    <cfRule type="cellIs" dxfId="377" priority="32" operator="greaterThan">
      <formula>$G$51</formula>
    </cfRule>
  </conditionalFormatting>
  <conditionalFormatting sqref="H31:H50">
    <cfRule type="cellIs" dxfId="376" priority="31" operator="greaterThan">
      <formula>$H$51</formula>
    </cfRule>
  </conditionalFormatting>
  <conditionalFormatting sqref="I31:I50">
    <cfRule type="cellIs" dxfId="375" priority="30" operator="greaterThan">
      <formula>$I$51</formula>
    </cfRule>
  </conditionalFormatting>
  <conditionalFormatting sqref="K31:K50">
    <cfRule type="cellIs" dxfId="374" priority="29" operator="greaterThan">
      <formula>$K$51</formula>
    </cfRule>
  </conditionalFormatting>
  <conditionalFormatting sqref="L31:L50">
    <cfRule type="cellIs" dxfId="373" priority="28" operator="greaterThan">
      <formula>$L$51</formula>
    </cfRule>
  </conditionalFormatting>
  <conditionalFormatting sqref="M31:M50">
    <cfRule type="cellIs" dxfId="372" priority="27" operator="greaterThan">
      <formula>$M$51</formula>
    </cfRule>
  </conditionalFormatting>
  <conditionalFormatting sqref="P31:P50">
    <cfRule type="cellIs" dxfId="371" priority="26" operator="greaterThan">
      <formula>$P$51</formula>
    </cfRule>
  </conditionalFormatting>
  <conditionalFormatting sqref="R31:R50">
    <cfRule type="cellIs" dxfId="370" priority="25" operator="greaterThan">
      <formula>$R$51</formula>
    </cfRule>
  </conditionalFormatting>
  <conditionalFormatting sqref="S31:S50">
    <cfRule type="cellIs" dxfId="369" priority="24" operator="greaterThan">
      <formula>$S$51</formula>
    </cfRule>
  </conditionalFormatting>
  <conditionalFormatting sqref="T31:T50">
    <cfRule type="cellIs" dxfId="368" priority="23" operator="greaterThan">
      <formula>$T$51</formula>
    </cfRule>
  </conditionalFormatting>
  <conditionalFormatting sqref="U31:U50">
    <cfRule type="cellIs" dxfId="367" priority="22" operator="greaterThan">
      <formula>$U$51</formula>
    </cfRule>
  </conditionalFormatting>
  <conditionalFormatting sqref="C22:V22">
    <cfRule type="cellIs" dxfId="366" priority="21" operator="equal">
      <formula>0</formula>
    </cfRule>
  </conditionalFormatting>
  <conditionalFormatting sqref="C24:V24">
    <cfRule type="cellIs" dxfId="365" priority="19" operator="equal">
      <formula>"DECREASE"</formula>
    </cfRule>
    <cfRule type="cellIs" dxfId="364" priority="20" operator="equal">
      <formula>"INCREASE"</formula>
    </cfRule>
  </conditionalFormatting>
  <conditionalFormatting sqref="C23:V23">
    <cfRule type="cellIs" dxfId="363" priority="18" operator="equal">
      <formula>0</formula>
    </cfRule>
  </conditionalFormatting>
  <conditionalFormatting sqref="C21:V21">
    <cfRule type="cellIs" dxfId="362" priority="14" operator="equal">
      <formula>0</formula>
    </cfRule>
  </conditionalFormatting>
  <conditionalFormatting sqref="B66:U66">
    <cfRule type="cellIs" dxfId="361" priority="12" operator="equal">
      <formula>"UNDER"</formula>
    </cfRule>
    <cfRule type="cellIs" dxfId="360" priority="13" operator="equal">
      <formula>"OVER"</formula>
    </cfRule>
  </conditionalFormatting>
  <conditionalFormatting sqref="J31:J50">
    <cfRule type="cellIs" dxfId="359" priority="9" operator="greaterThan">
      <formula>$J$51</formula>
    </cfRule>
  </conditionalFormatting>
  <conditionalFormatting sqref="L3">
    <cfRule type="cellIs" dxfId="358" priority="5" operator="lessThan">
      <formula>30</formula>
    </cfRule>
    <cfRule type="cellIs" dxfId="357" priority="6" operator="greaterThanOrEqual">
      <formula>30</formula>
    </cfRule>
  </conditionalFormatting>
  <conditionalFormatting sqref="I1">
    <cfRule type="cellIs" dxfId="356" priority="4" operator="between">
      <formula>0.1</formula>
      <formula>5</formula>
    </cfRule>
  </conditionalFormatting>
  <conditionalFormatting sqref="I2">
    <cfRule type="cellIs" dxfId="355" priority="3" operator="greaterThan">
      <formula>5000.1</formula>
    </cfRule>
  </conditionalFormatting>
  <conditionalFormatting sqref="I3">
    <cfRule type="cellIs" dxfId="354" priority="2" operator="greaterThan">
      <formula>40000.01</formula>
    </cfRule>
  </conditionalFormatting>
  <conditionalFormatting sqref="B31:B50">
    <cfRule type="cellIs" dxfId="353" priority="1" operator="greaterThan">
      <formula>$B$51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D37" sqref="D3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v>6.8</v>
      </c>
      <c r="J1" s="129" t="s">
        <v>153</v>
      </c>
      <c r="K1" s="129"/>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169</v>
      </c>
      <c r="G2" s="127" t="s">
        <v>110</v>
      </c>
      <c r="H2" s="128"/>
      <c r="I2" s="118">
        <v>351</v>
      </c>
      <c r="J2" s="129" t="s">
        <v>158</v>
      </c>
      <c r="K2" s="129"/>
      <c r="L2" s="97">
        <v>0.11</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c r="J3" s="125" t="s">
        <v>154</v>
      </c>
      <c r="K3" s="126"/>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t="s">
        <v>170</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64.262550000000005</v>
      </c>
      <c r="D18" s="16">
        <f>$D32</f>
        <v>64.262550000000005</v>
      </c>
      <c r="E18" s="16">
        <f>$D33</f>
        <v>64.262550000000005</v>
      </c>
      <c r="F18" s="16">
        <f>$D34</f>
        <v>64.262550000000005</v>
      </c>
      <c r="G18" s="16">
        <f>$D35</f>
        <v>34.021350000000005</v>
      </c>
      <c r="H18" s="16">
        <f>$D36</f>
        <v>64.262550000000005</v>
      </c>
      <c r="I18" s="16">
        <f>$D37</f>
        <v>34.021350000000005</v>
      </c>
      <c r="J18" s="16">
        <f>$D38</f>
        <v>34.021350000000005</v>
      </c>
      <c r="K18" s="16">
        <f>$D39</f>
        <v>64.262550000000005</v>
      </c>
      <c r="L18" s="16">
        <f>$D40</f>
        <v>64.262550000000005</v>
      </c>
      <c r="M18" s="16">
        <f>$D41</f>
        <v>64.262550000000005</v>
      </c>
      <c r="N18" s="16">
        <f>$D42</f>
        <v>64.262550000000005</v>
      </c>
      <c r="O18" s="16">
        <f>$D43</f>
        <v>64.262550000000005</v>
      </c>
      <c r="P18" s="16">
        <f>$D44</f>
        <v>64.262550000000005</v>
      </c>
      <c r="Q18" s="16">
        <f>$D45</f>
        <v>64.262550000000005</v>
      </c>
      <c r="R18" s="16">
        <f>$D46</f>
        <v>64.262550000000005</v>
      </c>
      <c r="S18" s="16">
        <f>$D47</f>
        <v>64.262550000000005</v>
      </c>
      <c r="T18" s="16">
        <f>$D48</f>
        <v>64.262550000000005</v>
      </c>
      <c r="U18" s="16">
        <f>$D49</f>
        <v>64.262550000000005</v>
      </c>
      <c r="V18" s="25">
        <f>$D50</f>
        <v>64.262550000000005</v>
      </c>
      <c r="AD18" s="52" t="s">
        <v>147</v>
      </c>
      <c r="AE18" s="30">
        <v>16</v>
      </c>
      <c r="AI18" s="48" t="s">
        <v>106</v>
      </c>
      <c r="AJ18" s="49">
        <v>5.9</v>
      </c>
      <c r="AK18" s="50">
        <v>18</v>
      </c>
      <c r="AL18" s="51">
        <v>16</v>
      </c>
      <c r="AM18" s="11">
        <v>6.2</v>
      </c>
      <c r="AN18" s="11" t="s">
        <v>112</v>
      </c>
    </row>
    <row r="19" spans="1:40" x14ac:dyDescent="0.2">
      <c r="A19" s="133" t="s">
        <v>90</v>
      </c>
      <c r="B19" s="134"/>
      <c r="C19" s="16">
        <f>C18-C17</f>
        <v>-0.33744999999998981</v>
      </c>
      <c r="D19" s="16">
        <f t="shared" ref="D19:V19" si="1">D18-D17</f>
        <v>-0.33744999999998981</v>
      </c>
      <c r="E19" s="16">
        <f t="shared" si="1"/>
        <v>-0.33744999999998981</v>
      </c>
      <c r="F19" s="16">
        <f t="shared" si="1"/>
        <v>-0.33744999999998981</v>
      </c>
      <c r="G19" s="16">
        <f t="shared" si="1"/>
        <v>-21.978649999999995</v>
      </c>
      <c r="H19" s="16">
        <f t="shared" si="1"/>
        <v>-0.33744999999998981</v>
      </c>
      <c r="I19" s="16">
        <f t="shared" si="1"/>
        <v>-21.978649999999995</v>
      </c>
      <c r="J19" s="16">
        <f t="shared" si="1"/>
        <v>-21.978649999999995</v>
      </c>
      <c r="K19" s="16">
        <f t="shared" si="1"/>
        <v>-0.33744999999998981</v>
      </c>
      <c r="L19" s="16">
        <f t="shared" si="1"/>
        <v>-0.33744999999998981</v>
      </c>
      <c r="M19" s="16">
        <f t="shared" si="1"/>
        <v>-0.33744999999998981</v>
      </c>
      <c r="N19" s="16">
        <f t="shared" si="1"/>
        <v>-0.33744999999998981</v>
      </c>
      <c r="O19" s="16">
        <f t="shared" si="1"/>
        <v>-0.33744999999998981</v>
      </c>
      <c r="P19" s="16">
        <f t="shared" si="1"/>
        <v>-0.33744999999998981</v>
      </c>
      <c r="Q19" s="16">
        <f t="shared" si="1"/>
        <v>-0.33744999999998981</v>
      </c>
      <c r="R19" s="16">
        <f t="shared" si="1"/>
        <v>-0.33744999999998981</v>
      </c>
      <c r="S19" s="16">
        <f t="shared" si="1"/>
        <v>-0.33744999999998981</v>
      </c>
      <c r="T19" s="16">
        <f t="shared" si="1"/>
        <v>-0.33744999999998981</v>
      </c>
      <c r="U19" s="16">
        <f t="shared" si="1"/>
        <v>-0.33744999999998981</v>
      </c>
      <c r="V19" s="25">
        <f t="shared" si="1"/>
        <v>-0.33744999999998981</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(VLOOKUP(D$14,$AI2:$AK24,3,FALSE))*D$15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19.112504999999999</v>
      </c>
      <c r="D22" s="16">
        <f>$E32</f>
        <v>19.112504999999999</v>
      </c>
      <c r="E22" s="16">
        <f>$E33</f>
        <v>19.112504999999999</v>
      </c>
      <c r="F22" s="16">
        <f>$E34</f>
        <v>19.112504999999999</v>
      </c>
      <c r="G22" s="16">
        <f>$E35</f>
        <v>10.118385000000002</v>
      </c>
      <c r="H22" s="16">
        <f>$E36</f>
        <v>19.112504999999999</v>
      </c>
      <c r="I22" s="16">
        <f>$E37</f>
        <v>10.118385000000002</v>
      </c>
      <c r="J22" s="16">
        <f>$E38</f>
        <v>10.118385000000002</v>
      </c>
      <c r="K22" s="16">
        <f>$E39</f>
        <v>19.112504999999999</v>
      </c>
      <c r="L22" s="16">
        <f>$E40</f>
        <v>19.112504999999999</v>
      </c>
      <c r="M22" s="16">
        <f>$E41</f>
        <v>19.112504999999999</v>
      </c>
      <c r="N22" s="16">
        <f>$E42</f>
        <v>19.112504999999999</v>
      </c>
      <c r="O22" s="16">
        <f>$E43</f>
        <v>19.112504999999999</v>
      </c>
      <c r="P22" s="16">
        <f>$E44</f>
        <v>19.112504999999999</v>
      </c>
      <c r="Q22" s="16">
        <f>$E45</f>
        <v>19.112504999999999</v>
      </c>
      <c r="R22" s="16">
        <f>$E46</f>
        <v>19.112504999999999</v>
      </c>
      <c r="S22" s="16">
        <f>$E47</f>
        <v>19.112504999999999</v>
      </c>
      <c r="T22" s="16">
        <f>$E48</f>
        <v>19.112504999999999</v>
      </c>
      <c r="U22" s="16">
        <f>$E49</f>
        <v>19.112504999999999</v>
      </c>
      <c r="V22" s="16">
        <f>$E50</f>
        <v>19.112504999999999</v>
      </c>
      <c r="AI22" s="63" t="s">
        <v>102</v>
      </c>
      <c r="AJ22" s="64">
        <v>1.2</v>
      </c>
      <c r="AK22" s="65">
        <v>5</v>
      </c>
      <c r="AL22" s="29">
        <v>20</v>
      </c>
      <c r="AM22" s="11">
        <v>6.7</v>
      </c>
      <c r="AN22" s="11" t="s">
        <v>135</v>
      </c>
    </row>
    <row r="23" spans="1:40" x14ac:dyDescent="0.2">
      <c r="A23" s="133" t="s">
        <v>92</v>
      </c>
      <c r="B23" s="134"/>
      <c r="C23" s="16">
        <f>C22-C21</f>
        <v>-208.887495</v>
      </c>
      <c r="D23" s="16">
        <f t="shared" ref="D23:V23" si="3">D22-D21</f>
        <v>-208.887495</v>
      </c>
      <c r="E23" s="16">
        <f t="shared" si="3"/>
        <v>-208.887495</v>
      </c>
      <c r="F23" s="16">
        <f t="shared" si="3"/>
        <v>-208.887495</v>
      </c>
      <c r="G23" s="16">
        <f t="shared" si="3"/>
        <v>-165.88161500000001</v>
      </c>
      <c r="H23" s="16">
        <f t="shared" si="3"/>
        <v>-208.887495</v>
      </c>
      <c r="I23" s="16">
        <f t="shared" si="3"/>
        <v>-165.88161500000001</v>
      </c>
      <c r="J23" s="16">
        <f t="shared" si="3"/>
        <v>-165.88161500000001</v>
      </c>
      <c r="K23" s="16">
        <f t="shared" si="3"/>
        <v>-208.887495</v>
      </c>
      <c r="L23" s="16">
        <f t="shared" si="3"/>
        <v>-208.887495</v>
      </c>
      <c r="M23" s="16">
        <f t="shared" si="3"/>
        <v>-208.887495</v>
      </c>
      <c r="N23" s="16">
        <f t="shared" si="3"/>
        <v>-208.887495</v>
      </c>
      <c r="O23" s="16">
        <f t="shared" si="3"/>
        <v>-208.887495</v>
      </c>
      <c r="P23" s="16">
        <f t="shared" si="3"/>
        <v>-208.887495</v>
      </c>
      <c r="Q23" s="16">
        <f t="shared" si="3"/>
        <v>-208.887495</v>
      </c>
      <c r="R23" s="16">
        <f t="shared" si="3"/>
        <v>-208.887495</v>
      </c>
      <c r="S23" s="16">
        <f t="shared" si="3"/>
        <v>-208.887495</v>
      </c>
      <c r="T23" s="16">
        <f t="shared" si="3"/>
        <v>-208.887495</v>
      </c>
      <c r="U23" s="16">
        <f t="shared" si="3"/>
        <v>-208.887495</v>
      </c>
      <c r="V23" s="16">
        <f t="shared" si="3"/>
        <v>-208.887495</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170</v>
      </c>
      <c r="C31" s="77">
        <f>IF(C$27="%w/w SAR",((C$28*10)*$B31),IF(C$27="%w/w DM",(((C$28*10)*($B$28/100))*$B31),IF(C$27="kg/t SAR",(C$28*$B31),IF(C$27="kg/t DM",((C$28*($B$28/100))*$B31),IF(C$27="mg/kg SAR",((C$28*0.001)*$B31),IF(C$27="mg/kg DM",(((C$28*0.001)*($B$28/100))*$B31),0))))))</f>
        <v>187.00000000000003</v>
      </c>
      <c r="D31" s="77">
        <f>(IF(D$27="%w/w SAR",((D$28*10)*$B31),IF(D$27="%w/w DM",(((D$28*10)*($B$28/100))*$B31),IF(D$27="kg/t SAR",(D$28*$B31),IF(D$27="kg/t DM",((D$28*($B$28/100))*$B31),IF(D$27="mg/kg SAR",((D$28*0.001)*$B31),IF(D$27="mg/kg DM",(((D$28*0.001)*($B$28/100))*$B31),"0")))))))*2.291</f>
        <v>64.262550000000005</v>
      </c>
      <c r="E31" s="77">
        <f>(IF(E$27="%w/w SAR",((E$28*10)*$B31),IF(E$27="%w/w DM",(((E$28*10)*($B$28/100))*$B31),IF(E$27="kg/t SAR",(E$28*$B31),IF(E$27="kg/t DM",((E$28*($B$28/100))*$B31),IF(E$27="mg/kg SAR",((E$28*0.001)*$B31),IF(E$27="mg/kg DM",(((E$28*0.001)*($B$28/100))*$B31),"0")))))))*1.205</f>
        <v>19.112504999999999</v>
      </c>
      <c r="F31" s="77">
        <f>(IF(F$27="%w/w SAR",((F$28*10)*$B31),IF(F$27="%w/w DM",(((F$28*10)*($B$28/100))*$B31),IF(F$27="kg/t SAR",(F$28*$B31),IF(F$27="kg/t DM",((F$28*($B$28/100))*$B31),IF(F$27="mg/kg SAR",((F$28*0.001)*$B31),IF(F$27="mg/kg DM",(((F$28*0.001)*($B$28/100))*$B31),"0")))))))*1.658</f>
        <v>22.520614000000002</v>
      </c>
      <c r="G31" s="77">
        <f t="shared" ref="G31:P46" si="5">IF(G$27="%w/w SAR",((G$28*10)*$B31),IF(G$27="%w/w DM",(((G$28*10)*($B$28/100))*$B31),IF(G$27="kg/t SAR",(G$28*$B31),IF(G$27="kg/t DM",((G$28*($B$28/100))*$B31),IF(G$27="mg/kg SAR",((G$28*0.001)*$B31),IF(G$27="mg/kg DM",(((G$28*0.001)*($B$28/100))*$B31),0))))))</f>
        <v>0.11628000000000001</v>
      </c>
      <c r="H31" s="77">
        <f t="shared" si="5"/>
        <v>0.64429999999999998</v>
      </c>
      <c r="I31" s="77">
        <f t="shared" si="5"/>
        <v>8.5000000000000006E-2</v>
      </c>
      <c r="J31" s="77">
        <f t="shared" si="5"/>
        <v>1.7000000000000001E-3</v>
      </c>
      <c r="K31" s="77">
        <f t="shared" si="5"/>
        <v>8.5000000000000006E-3</v>
      </c>
      <c r="L31" s="77">
        <f t="shared" si="5"/>
        <v>3.4000000000000002E-2</v>
      </c>
      <c r="M31" s="77">
        <f t="shared" si="5"/>
        <v>3.8420000000000003E-2</v>
      </c>
      <c r="N31" s="77">
        <f t="shared" si="5"/>
        <v>0</v>
      </c>
      <c r="O31" s="77">
        <f t="shared" si="5"/>
        <v>0</v>
      </c>
      <c r="P31" s="77">
        <f t="shared" si="5"/>
        <v>57.120000000000005</v>
      </c>
      <c r="Q31" s="77">
        <f>(IF(Q$27="%w/w SAR",((Q$28*10)*$B31),IF(Q$27="%w/w DM",(((Q$28*10)*($B$28/100))*$B31),IF(Q$27="kg/t SAR",(Q$28*$B31),IF(Q$27="kg/t DM",((Q$28*($B$28/100))*$B31),IF(Q$27="mg/kg SAR",((Q$28*0.001)*$B31),IF(Q$27="mg/kg DM",(((Q$28*0.001)*($B$28/100))*$B31),0)))))))*2.5</f>
        <v>82.875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170</v>
      </c>
      <c r="C32" s="77">
        <f t="shared" ref="C32:C50" si="6">IF(C$27="%w/w SAR",((C$28*10)*$B32),IF(C$27="%w/w DM",(((C$28*10)*($B$28/100))*$B32),IF(C$27="kg/t SAR",(C$28*$B32),IF(C$27="kg/t DM",((C$28*($B$28/100))*$B32),IF(C$27="mg/kg SAR",((C$28*0.001)*$B32),IF(C$27="mg/kg DM",(((C$28*0.001)*($B$28/100))*$B32),0))))))</f>
        <v>187.00000000000003</v>
      </c>
      <c r="D32" s="77">
        <f t="shared" ref="D32:D50" si="7">(IF(D$27="%w/w SAR",((D$28*10)*$B32),IF(D$27="%w/w DM",(((D$28*10)*($B$28/100))*$B32),IF(D$27="kg/t SAR",(D$28*$B32),IF(D$27="kg/t DM",((D$28*($B$28/100))*$B32),IF(D$27="mg/kg SAR",((D$28*0.001)*$B32),IF(D$27="mg/kg DM",(((D$28*0.001)*($B$28/100))*$B32),"0")))))))*2.291</f>
        <v>64.262550000000005</v>
      </c>
      <c r="E32" s="77">
        <f t="shared" ref="E32:E50" si="8">(IF(E$27="%w/w SAR",((E$28*10)*$B32),IF(E$27="%w/w DM",(((E$28*10)*($B$28/100))*$B32),IF(E$27="kg/t SAR",(E$28*$B32),IF(E$27="kg/t DM",((E$28*($B$28/100))*$B32),IF(E$27="mg/kg SAR",((E$28*0.001)*$B32),IF(E$27="mg/kg DM",(((E$28*0.001)*($B$28/100))*$B32),"0")))))))*1.205</f>
        <v>19.112504999999999</v>
      </c>
      <c r="F32" s="77">
        <f t="shared" ref="F32:F50" si="9">(IF(F$27="%w/w SAR",((F$28*10)*$B32),IF(F$27="%w/w DM",(((F$28*10)*($B$28/100))*$B32),IF(F$27="kg/t SAR",(F$28*$B32),IF(F$27="kg/t DM",((F$28*($B$28/100))*$B32),IF(F$27="mg/kg SAR",((F$28*0.001)*$B32),IF(F$27="mg/kg DM",(((F$28*0.001)*($B$28/100))*$B32),"0")))))))*1.658</f>
        <v>22.520614000000002</v>
      </c>
      <c r="G32" s="77">
        <f t="shared" si="5"/>
        <v>0.11628000000000001</v>
      </c>
      <c r="H32" s="77">
        <f t="shared" si="5"/>
        <v>0.64429999999999998</v>
      </c>
      <c r="I32" s="77">
        <f t="shared" si="5"/>
        <v>8.5000000000000006E-2</v>
      </c>
      <c r="J32" s="77">
        <f t="shared" si="5"/>
        <v>1.7000000000000001E-3</v>
      </c>
      <c r="K32" s="77">
        <f t="shared" si="5"/>
        <v>8.5000000000000006E-3</v>
      </c>
      <c r="L32" s="77">
        <f t="shared" si="5"/>
        <v>3.4000000000000002E-2</v>
      </c>
      <c r="M32" s="77">
        <f t="shared" si="5"/>
        <v>3.8420000000000003E-2</v>
      </c>
      <c r="N32" s="77">
        <f t="shared" si="5"/>
        <v>0</v>
      </c>
      <c r="O32" s="77">
        <f t="shared" si="5"/>
        <v>0</v>
      </c>
      <c r="P32" s="77">
        <f t="shared" si="5"/>
        <v>57.120000000000005</v>
      </c>
      <c r="Q32" s="77">
        <f t="shared" ref="Q32:Q50" si="10">(IF(Q$27="%w/w SAR",((Q$28*10)*$B32),IF(Q$27="%w/w DM",(((Q$28*10)*($B$28/100))*$B32),IF(Q$27="kg/t SAR",(Q$28*$B32),IF(Q$27="kg/t DM",((Q$28*($B$28/100))*$B32),IF(Q$27="mg/kg SAR",((Q$28*0.001)*$B32),IF(Q$27="mg/kg DM",(((Q$28*0.001)*($B$28/100))*$B32),0)))))))*2.5</f>
        <v>82.875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170</v>
      </c>
      <c r="C33" s="77">
        <f t="shared" si="6"/>
        <v>187.00000000000003</v>
      </c>
      <c r="D33" s="77">
        <f t="shared" si="7"/>
        <v>64.262550000000005</v>
      </c>
      <c r="E33" s="77">
        <f t="shared" si="8"/>
        <v>19.112504999999999</v>
      </c>
      <c r="F33" s="77">
        <f t="shared" si="9"/>
        <v>22.520614000000002</v>
      </c>
      <c r="G33" s="77">
        <f t="shared" si="5"/>
        <v>0.11628000000000001</v>
      </c>
      <c r="H33" s="77">
        <f t="shared" si="5"/>
        <v>0.64429999999999998</v>
      </c>
      <c r="I33" s="77">
        <f t="shared" si="5"/>
        <v>8.5000000000000006E-2</v>
      </c>
      <c r="J33" s="77">
        <f t="shared" si="5"/>
        <v>1.7000000000000001E-3</v>
      </c>
      <c r="K33" s="77">
        <f t="shared" si="5"/>
        <v>8.5000000000000006E-3</v>
      </c>
      <c r="L33" s="77">
        <f t="shared" si="5"/>
        <v>3.4000000000000002E-2</v>
      </c>
      <c r="M33" s="77">
        <f t="shared" si="5"/>
        <v>3.8420000000000003E-2</v>
      </c>
      <c r="N33" s="77">
        <f t="shared" si="5"/>
        <v>0</v>
      </c>
      <c r="O33" s="77">
        <f t="shared" si="5"/>
        <v>0</v>
      </c>
      <c r="P33" s="77">
        <f t="shared" si="5"/>
        <v>57.120000000000005</v>
      </c>
      <c r="Q33" s="77">
        <f t="shared" si="10"/>
        <v>82.875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170</v>
      </c>
      <c r="C34" s="77">
        <f t="shared" si="6"/>
        <v>187.00000000000003</v>
      </c>
      <c r="D34" s="77">
        <f t="shared" si="7"/>
        <v>64.262550000000005</v>
      </c>
      <c r="E34" s="77">
        <f t="shared" si="8"/>
        <v>19.112504999999999</v>
      </c>
      <c r="F34" s="77">
        <f t="shared" si="9"/>
        <v>22.520614000000002</v>
      </c>
      <c r="G34" s="77">
        <f t="shared" si="5"/>
        <v>0.11628000000000001</v>
      </c>
      <c r="H34" s="77">
        <f t="shared" si="5"/>
        <v>0.64429999999999998</v>
      </c>
      <c r="I34" s="77">
        <f t="shared" si="5"/>
        <v>8.5000000000000006E-2</v>
      </c>
      <c r="J34" s="77">
        <f t="shared" si="5"/>
        <v>1.7000000000000001E-3</v>
      </c>
      <c r="K34" s="77">
        <f t="shared" si="5"/>
        <v>8.5000000000000006E-3</v>
      </c>
      <c r="L34" s="77">
        <f t="shared" si="5"/>
        <v>3.4000000000000002E-2</v>
      </c>
      <c r="M34" s="77">
        <f t="shared" si="5"/>
        <v>3.8420000000000003E-2</v>
      </c>
      <c r="N34" s="77">
        <f t="shared" si="5"/>
        <v>0</v>
      </c>
      <c r="O34" s="77">
        <f t="shared" si="5"/>
        <v>0</v>
      </c>
      <c r="P34" s="77">
        <f t="shared" si="5"/>
        <v>57.120000000000005</v>
      </c>
      <c r="Q34" s="77">
        <f t="shared" si="10"/>
        <v>82.875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90</v>
      </c>
      <c r="C35" s="77">
        <f t="shared" si="6"/>
        <v>99.000000000000014</v>
      </c>
      <c r="D35" s="77">
        <f t="shared" si="7"/>
        <v>34.021350000000005</v>
      </c>
      <c r="E35" s="77">
        <f t="shared" si="8"/>
        <v>10.118385000000002</v>
      </c>
      <c r="F35" s="77">
        <f t="shared" si="9"/>
        <v>11.922678000000001</v>
      </c>
      <c r="G35" s="77">
        <f t="shared" si="5"/>
        <v>6.1560000000000004E-2</v>
      </c>
      <c r="H35" s="77">
        <f t="shared" si="5"/>
        <v>0.34110000000000001</v>
      </c>
      <c r="I35" s="77">
        <f t="shared" si="5"/>
        <v>4.4999999999999998E-2</v>
      </c>
      <c r="J35" s="77">
        <f t="shared" si="5"/>
        <v>9.0000000000000008E-4</v>
      </c>
      <c r="K35" s="77">
        <f t="shared" si="5"/>
        <v>4.5000000000000005E-3</v>
      </c>
      <c r="L35" s="77">
        <f t="shared" si="5"/>
        <v>1.8000000000000002E-2</v>
      </c>
      <c r="M35" s="77">
        <f t="shared" si="5"/>
        <v>2.034E-2</v>
      </c>
      <c r="N35" s="77">
        <f t="shared" si="5"/>
        <v>0</v>
      </c>
      <c r="O35" s="77">
        <f t="shared" si="5"/>
        <v>0</v>
      </c>
      <c r="P35" s="77">
        <f t="shared" si="5"/>
        <v>30.240000000000002</v>
      </c>
      <c r="Q35" s="77">
        <f t="shared" si="10"/>
        <v>43.875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170</v>
      </c>
      <c r="C36" s="77">
        <f t="shared" si="6"/>
        <v>187.00000000000003</v>
      </c>
      <c r="D36" s="77">
        <f t="shared" si="7"/>
        <v>64.262550000000005</v>
      </c>
      <c r="E36" s="77">
        <f t="shared" si="8"/>
        <v>19.112504999999999</v>
      </c>
      <c r="F36" s="77">
        <f t="shared" si="9"/>
        <v>22.520614000000002</v>
      </c>
      <c r="G36" s="77">
        <f t="shared" si="5"/>
        <v>0.11628000000000001</v>
      </c>
      <c r="H36" s="77">
        <f t="shared" si="5"/>
        <v>0.64429999999999998</v>
      </c>
      <c r="I36" s="77">
        <f t="shared" si="5"/>
        <v>8.5000000000000006E-2</v>
      </c>
      <c r="J36" s="77">
        <f t="shared" si="5"/>
        <v>1.7000000000000001E-3</v>
      </c>
      <c r="K36" s="77">
        <f t="shared" si="5"/>
        <v>8.5000000000000006E-3</v>
      </c>
      <c r="L36" s="77">
        <f t="shared" si="5"/>
        <v>3.4000000000000002E-2</v>
      </c>
      <c r="M36" s="77">
        <f t="shared" si="5"/>
        <v>3.8420000000000003E-2</v>
      </c>
      <c r="N36" s="77">
        <f t="shared" si="5"/>
        <v>0</v>
      </c>
      <c r="O36" s="77">
        <f t="shared" si="5"/>
        <v>0</v>
      </c>
      <c r="P36" s="77">
        <f t="shared" si="5"/>
        <v>57.120000000000005</v>
      </c>
      <c r="Q36" s="77">
        <f t="shared" si="10"/>
        <v>82.875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90</v>
      </c>
      <c r="C37" s="77">
        <f t="shared" si="6"/>
        <v>99.000000000000014</v>
      </c>
      <c r="D37" s="77">
        <f t="shared" si="7"/>
        <v>34.021350000000005</v>
      </c>
      <c r="E37" s="77">
        <f t="shared" si="8"/>
        <v>10.118385000000002</v>
      </c>
      <c r="F37" s="77">
        <f t="shared" si="9"/>
        <v>11.922678000000001</v>
      </c>
      <c r="G37" s="77">
        <f t="shared" si="5"/>
        <v>6.1560000000000004E-2</v>
      </c>
      <c r="H37" s="77">
        <f t="shared" si="5"/>
        <v>0.34110000000000001</v>
      </c>
      <c r="I37" s="77">
        <f t="shared" si="5"/>
        <v>4.4999999999999998E-2</v>
      </c>
      <c r="J37" s="77">
        <f t="shared" si="5"/>
        <v>9.0000000000000008E-4</v>
      </c>
      <c r="K37" s="77">
        <f t="shared" si="5"/>
        <v>4.5000000000000005E-3</v>
      </c>
      <c r="L37" s="77">
        <f t="shared" si="5"/>
        <v>1.8000000000000002E-2</v>
      </c>
      <c r="M37" s="77">
        <f t="shared" si="5"/>
        <v>2.034E-2</v>
      </c>
      <c r="N37" s="77">
        <f t="shared" si="5"/>
        <v>0</v>
      </c>
      <c r="O37" s="77">
        <f t="shared" si="5"/>
        <v>0</v>
      </c>
      <c r="P37" s="77">
        <f t="shared" si="5"/>
        <v>30.240000000000002</v>
      </c>
      <c r="Q37" s="77">
        <f t="shared" si="10"/>
        <v>43.875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90</v>
      </c>
      <c r="C38" s="77">
        <f t="shared" si="6"/>
        <v>99.000000000000014</v>
      </c>
      <c r="D38" s="77">
        <f t="shared" si="7"/>
        <v>34.021350000000005</v>
      </c>
      <c r="E38" s="77">
        <f t="shared" si="8"/>
        <v>10.118385000000002</v>
      </c>
      <c r="F38" s="77">
        <f t="shared" si="9"/>
        <v>11.922678000000001</v>
      </c>
      <c r="G38" s="77">
        <f t="shared" si="5"/>
        <v>6.1560000000000004E-2</v>
      </c>
      <c r="H38" s="77">
        <f t="shared" si="5"/>
        <v>0.34110000000000001</v>
      </c>
      <c r="I38" s="77">
        <f t="shared" si="5"/>
        <v>4.4999999999999998E-2</v>
      </c>
      <c r="J38" s="77">
        <f t="shared" si="5"/>
        <v>9.0000000000000008E-4</v>
      </c>
      <c r="K38" s="77">
        <f t="shared" si="5"/>
        <v>4.5000000000000005E-3</v>
      </c>
      <c r="L38" s="77">
        <f t="shared" si="5"/>
        <v>1.8000000000000002E-2</v>
      </c>
      <c r="M38" s="77">
        <f t="shared" si="5"/>
        <v>2.034E-2</v>
      </c>
      <c r="N38" s="77">
        <f t="shared" si="5"/>
        <v>0</v>
      </c>
      <c r="O38" s="77">
        <f t="shared" si="5"/>
        <v>0</v>
      </c>
      <c r="P38" s="77">
        <f t="shared" si="5"/>
        <v>30.240000000000002</v>
      </c>
      <c r="Q38" s="77">
        <f t="shared" si="10"/>
        <v>43.875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170</v>
      </c>
      <c r="C39" s="77">
        <f t="shared" si="6"/>
        <v>187.00000000000003</v>
      </c>
      <c r="D39" s="77">
        <f t="shared" si="7"/>
        <v>64.262550000000005</v>
      </c>
      <c r="E39" s="77">
        <f t="shared" si="8"/>
        <v>19.112504999999999</v>
      </c>
      <c r="F39" s="77">
        <f t="shared" si="9"/>
        <v>22.520614000000002</v>
      </c>
      <c r="G39" s="77">
        <f t="shared" si="5"/>
        <v>0.11628000000000001</v>
      </c>
      <c r="H39" s="77">
        <f t="shared" si="5"/>
        <v>0.64429999999999998</v>
      </c>
      <c r="I39" s="77">
        <f t="shared" si="5"/>
        <v>8.5000000000000006E-2</v>
      </c>
      <c r="J39" s="77">
        <f t="shared" si="5"/>
        <v>1.7000000000000001E-3</v>
      </c>
      <c r="K39" s="77">
        <f t="shared" si="5"/>
        <v>8.5000000000000006E-3</v>
      </c>
      <c r="L39" s="77">
        <f t="shared" si="5"/>
        <v>3.4000000000000002E-2</v>
      </c>
      <c r="M39" s="77">
        <f t="shared" si="5"/>
        <v>3.8420000000000003E-2</v>
      </c>
      <c r="N39" s="77">
        <f t="shared" si="5"/>
        <v>0</v>
      </c>
      <c r="O39" s="77">
        <f t="shared" si="5"/>
        <v>0</v>
      </c>
      <c r="P39" s="77">
        <f t="shared" si="5"/>
        <v>57.120000000000005</v>
      </c>
      <c r="Q39" s="77">
        <f t="shared" si="10"/>
        <v>82.875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170</v>
      </c>
      <c r="C40" s="77">
        <f t="shared" si="6"/>
        <v>187.00000000000003</v>
      </c>
      <c r="D40" s="77">
        <f t="shared" si="7"/>
        <v>64.262550000000005</v>
      </c>
      <c r="E40" s="77">
        <f t="shared" si="8"/>
        <v>19.112504999999999</v>
      </c>
      <c r="F40" s="77">
        <f t="shared" si="9"/>
        <v>22.520614000000002</v>
      </c>
      <c r="G40" s="77">
        <f t="shared" si="5"/>
        <v>0.11628000000000001</v>
      </c>
      <c r="H40" s="77">
        <f t="shared" si="5"/>
        <v>0.64429999999999998</v>
      </c>
      <c r="I40" s="77">
        <f t="shared" si="5"/>
        <v>8.5000000000000006E-2</v>
      </c>
      <c r="J40" s="77">
        <f t="shared" si="5"/>
        <v>1.7000000000000001E-3</v>
      </c>
      <c r="K40" s="77">
        <f t="shared" si="5"/>
        <v>8.5000000000000006E-3</v>
      </c>
      <c r="L40" s="77">
        <f t="shared" si="5"/>
        <v>3.4000000000000002E-2</v>
      </c>
      <c r="M40" s="77">
        <f t="shared" si="5"/>
        <v>3.8420000000000003E-2</v>
      </c>
      <c r="N40" s="77">
        <f t="shared" si="5"/>
        <v>0</v>
      </c>
      <c r="O40" s="77">
        <f t="shared" si="5"/>
        <v>0</v>
      </c>
      <c r="P40" s="77">
        <f t="shared" si="5"/>
        <v>57.120000000000005</v>
      </c>
      <c r="Q40" s="77">
        <f t="shared" si="10"/>
        <v>82.875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170</v>
      </c>
      <c r="C41" s="77">
        <f t="shared" si="6"/>
        <v>187.00000000000003</v>
      </c>
      <c r="D41" s="77">
        <f t="shared" si="7"/>
        <v>64.262550000000005</v>
      </c>
      <c r="E41" s="77">
        <f t="shared" si="8"/>
        <v>19.112504999999999</v>
      </c>
      <c r="F41" s="77">
        <f t="shared" si="9"/>
        <v>22.520614000000002</v>
      </c>
      <c r="G41" s="77">
        <f t="shared" si="5"/>
        <v>0.11628000000000001</v>
      </c>
      <c r="H41" s="77">
        <f t="shared" si="5"/>
        <v>0.64429999999999998</v>
      </c>
      <c r="I41" s="77">
        <f t="shared" si="5"/>
        <v>8.5000000000000006E-2</v>
      </c>
      <c r="J41" s="77">
        <f t="shared" si="5"/>
        <v>1.7000000000000001E-3</v>
      </c>
      <c r="K41" s="77">
        <f t="shared" si="5"/>
        <v>8.5000000000000006E-3</v>
      </c>
      <c r="L41" s="77">
        <f t="shared" si="5"/>
        <v>3.4000000000000002E-2</v>
      </c>
      <c r="M41" s="77">
        <f t="shared" si="5"/>
        <v>3.8420000000000003E-2</v>
      </c>
      <c r="N41" s="77">
        <f t="shared" si="5"/>
        <v>0</v>
      </c>
      <c r="O41" s="77">
        <f t="shared" si="5"/>
        <v>0</v>
      </c>
      <c r="P41" s="77">
        <f t="shared" si="5"/>
        <v>57.120000000000005</v>
      </c>
      <c r="Q41" s="77">
        <f t="shared" si="10"/>
        <v>82.875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170</v>
      </c>
      <c r="C42" s="77">
        <f t="shared" si="6"/>
        <v>187.00000000000003</v>
      </c>
      <c r="D42" s="77">
        <f t="shared" si="7"/>
        <v>64.262550000000005</v>
      </c>
      <c r="E42" s="77">
        <f t="shared" si="8"/>
        <v>19.112504999999999</v>
      </c>
      <c r="F42" s="77">
        <f t="shared" si="9"/>
        <v>22.520614000000002</v>
      </c>
      <c r="G42" s="77">
        <f t="shared" si="5"/>
        <v>0.11628000000000001</v>
      </c>
      <c r="H42" s="77">
        <f t="shared" si="5"/>
        <v>0.64429999999999998</v>
      </c>
      <c r="I42" s="77">
        <f t="shared" si="5"/>
        <v>8.5000000000000006E-2</v>
      </c>
      <c r="J42" s="77">
        <f t="shared" si="5"/>
        <v>1.7000000000000001E-3</v>
      </c>
      <c r="K42" s="77">
        <f t="shared" si="5"/>
        <v>8.5000000000000006E-3</v>
      </c>
      <c r="L42" s="77">
        <f t="shared" si="5"/>
        <v>3.4000000000000002E-2</v>
      </c>
      <c r="M42" s="77">
        <f t="shared" si="5"/>
        <v>3.8420000000000003E-2</v>
      </c>
      <c r="N42" s="77">
        <f t="shared" si="5"/>
        <v>0</v>
      </c>
      <c r="O42" s="77">
        <f t="shared" si="5"/>
        <v>0</v>
      </c>
      <c r="P42" s="77">
        <f t="shared" si="5"/>
        <v>57.120000000000005</v>
      </c>
      <c r="Q42" s="77">
        <f t="shared" si="10"/>
        <v>82.875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170</v>
      </c>
      <c r="C43" s="77">
        <f t="shared" si="6"/>
        <v>187.00000000000003</v>
      </c>
      <c r="D43" s="77">
        <f t="shared" si="7"/>
        <v>64.262550000000005</v>
      </c>
      <c r="E43" s="77">
        <f t="shared" si="8"/>
        <v>19.112504999999999</v>
      </c>
      <c r="F43" s="77">
        <f t="shared" si="9"/>
        <v>22.520614000000002</v>
      </c>
      <c r="G43" s="77">
        <f t="shared" si="5"/>
        <v>0.11628000000000001</v>
      </c>
      <c r="H43" s="77">
        <f t="shared" si="5"/>
        <v>0.64429999999999998</v>
      </c>
      <c r="I43" s="77">
        <f t="shared" si="5"/>
        <v>8.5000000000000006E-2</v>
      </c>
      <c r="J43" s="77">
        <f t="shared" si="5"/>
        <v>1.7000000000000001E-3</v>
      </c>
      <c r="K43" s="77">
        <f t="shared" si="5"/>
        <v>8.5000000000000006E-3</v>
      </c>
      <c r="L43" s="77">
        <f t="shared" si="5"/>
        <v>3.4000000000000002E-2</v>
      </c>
      <c r="M43" s="77">
        <f t="shared" si="5"/>
        <v>3.8420000000000003E-2</v>
      </c>
      <c r="N43" s="77">
        <f t="shared" si="5"/>
        <v>0</v>
      </c>
      <c r="O43" s="77">
        <f t="shared" si="5"/>
        <v>0</v>
      </c>
      <c r="P43" s="77">
        <f t="shared" si="5"/>
        <v>57.120000000000005</v>
      </c>
      <c r="Q43" s="77">
        <f t="shared" si="10"/>
        <v>82.875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170</v>
      </c>
      <c r="C44" s="77">
        <f t="shared" si="6"/>
        <v>187.00000000000003</v>
      </c>
      <c r="D44" s="77">
        <f t="shared" si="7"/>
        <v>64.262550000000005</v>
      </c>
      <c r="E44" s="77">
        <f t="shared" si="8"/>
        <v>19.112504999999999</v>
      </c>
      <c r="F44" s="77">
        <f t="shared" si="9"/>
        <v>22.520614000000002</v>
      </c>
      <c r="G44" s="77">
        <f t="shared" si="5"/>
        <v>0.11628000000000001</v>
      </c>
      <c r="H44" s="77">
        <f t="shared" si="5"/>
        <v>0.64429999999999998</v>
      </c>
      <c r="I44" s="77">
        <f t="shared" si="5"/>
        <v>8.5000000000000006E-2</v>
      </c>
      <c r="J44" s="77">
        <f t="shared" si="5"/>
        <v>1.7000000000000001E-3</v>
      </c>
      <c r="K44" s="77">
        <f t="shared" si="5"/>
        <v>8.5000000000000006E-3</v>
      </c>
      <c r="L44" s="77">
        <f t="shared" si="5"/>
        <v>3.4000000000000002E-2</v>
      </c>
      <c r="M44" s="77">
        <f t="shared" si="5"/>
        <v>3.8420000000000003E-2</v>
      </c>
      <c r="N44" s="77">
        <f t="shared" si="5"/>
        <v>0</v>
      </c>
      <c r="O44" s="77">
        <f t="shared" si="5"/>
        <v>0</v>
      </c>
      <c r="P44" s="77">
        <f t="shared" si="5"/>
        <v>57.120000000000005</v>
      </c>
      <c r="Q44" s="77">
        <f t="shared" si="10"/>
        <v>82.875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170</v>
      </c>
      <c r="C45" s="77">
        <f t="shared" si="6"/>
        <v>187.00000000000003</v>
      </c>
      <c r="D45" s="77">
        <f t="shared" si="7"/>
        <v>64.262550000000005</v>
      </c>
      <c r="E45" s="77">
        <f t="shared" si="8"/>
        <v>19.112504999999999</v>
      </c>
      <c r="F45" s="77">
        <f t="shared" si="9"/>
        <v>22.520614000000002</v>
      </c>
      <c r="G45" s="77">
        <f t="shared" si="5"/>
        <v>0.11628000000000001</v>
      </c>
      <c r="H45" s="77">
        <f t="shared" si="5"/>
        <v>0.64429999999999998</v>
      </c>
      <c r="I45" s="77">
        <f t="shared" si="5"/>
        <v>8.5000000000000006E-2</v>
      </c>
      <c r="J45" s="77">
        <f t="shared" si="5"/>
        <v>1.7000000000000001E-3</v>
      </c>
      <c r="K45" s="77">
        <f t="shared" si="5"/>
        <v>8.5000000000000006E-3</v>
      </c>
      <c r="L45" s="77">
        <f t="shared" si="5"/>
        <v>3.4000000000000002E-2</v>
      </c>
      <c r="M45" s="77">
        <f t="shared" si="5"/>
        <v>3.8420000000000003E-2</v>
      </c>
      <c r="N45" s="77">
        <f t="shared" si="5"/>
        <v>0</v>
      </c>
      <c r="O45" s="77">
        <f t="shared" si="5"/>
        <v>0</v>
      </c>
      <c r="P45" s="77">
        <f t="shared" si="5"/>
        <v>57.120000000000005</v>
      </c>
      <c r="Q45" s="77">
        <f t="shared" si="10"/>
        <v>82.875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170</v>
      </c>
      <c r="C46" s="77">
        <f t="shared" si="6"/>
        <v>187.00000000000003</v>
      </c>
      <c r="D46" s="77">
        <f t="shared" si="7"/>
        <v>64.262550000000005</v>
      </c>
      <c r="E46" s="77">
        <f t="shared" si="8"/>
        <v>19.112504999999999</v>
      </c>
      <c r="F46" s="77">
        <f t="shared" si="9"/>
        <v>22.520614000000002</v>
      </c>
      <c r="G46" s="77">
        <f t="shared" si="5"/>
        <v>0.11628000000000001</v>
      </c>
      <c r="H46" s="77">
        <f t="shared" si="5"/>
        <v>0.64429999999999998</v>
      </c>
      <c r="I46" s="77">
        <f t="shared" si="5"/>
        <v>8.5000000000000006E-2</v>
      </c>
      <c r="J46" s="77">
        <f t="shared" si="5"/>
        <v>1.7000000000000001E-3</v>
      </c>
      <c r="K46" s="77">
        <f t="shared" si="5"/>
        <v>8.5000000000000006E-3</v>
      </c>
      <c r="L46" s="77">
        <f t="shared" si="5"/>
        <v>3.4000000000000002E-2</v>
      </c>
      <c r="M46" s="77">
        <f t="shared" si="5"/>
        <v>3.8420000000000003E-2</v>
      </c>
      <c r="N46" s="77">
        <f t="shared" si="5"/>
        <v>0</v>
      </c>
      <c r="O46" s="77">
        <f t="shared" si="5"/>
        <v>0</v>
      </c>
      <c r="P46" s="77">
        <f t="shared" si="5"/>
        <v>57.120000000000005</v>
      </c>
      <c r="Q46" s="77">
        <f t="shared" si="10"/>
        <v>82.875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170</v>
      </c>
      <c r="C47" s="77">
        <f t="shared" si="6"/>
        <v>187.00000000000003</v>
      </c>
      <c r="D47" s="77">
        <f t="shared" si="7"/>
        <v>64.262550000000005</v>
      </c>
      <c r="E47" s="77">
        <f t="shared" si="8"/>
        <v>19.112504999999999</v>
      </c>
      <c r="F47" s="77">
        <f t="shared" si="9"/>
        <v>22.520614000000002</v>
      </c>
      <c r="G47" s="77">
        <f t="shared" ref="G47:P50" si="12">IF(G$27="%w/w SAR",((G$28*10)*$B47),IF(G$27="%w/w DM",(((G$28*10)*($B$28/100))*$B47),IF(G$27="kg/t SAR",(G$28*$B47),IF(G$27="kg/t DM",((G$28*($B$28/100))*$B47),IF(G$27="mg/kg SAR",((G$28*0.001)*$B47),IF(G$27="mg/kg DM",(((G$28*0.001)*($B$28/100))*$B47),0))))))</f>
        <v>0.11628000000000001</v>
      </c>
      <c r="H47" s="77">
        <f t="shared" si="12"/>
        <v>0.64429999999999998</v>
      </c>
      <c r="I47" s="77">
        <f t="shared" si="12"/>
        <v>8.5000000000000006E-2</v>
      </c>
      <c r="J47" s="77">
        <f t="shared" si="12"/>
        <v>1.7000000000000001E-3</v>
      </c>
      <c r="K47" s="77">
        <f t="shared" si="12"/>
        <v>8.5000000000000006E-3</v>
      </c>
      <c r="L47" s="77">
        <f t="shared" si="12"/>
        <v>3.4000000000000002E-2</v>
      </c>
      <c r="M47" s="77">
        <f t="shared" si="12"/>
        <v>3.8420000000000003E-2</v>
      </c>
      <c r="N47" s="77">
        <f t="shared" si="12"/>
        <v>0</v>
      </c>
      <c r="O47" s="77">
        <f t="shared" si="12"/>
        <v>0</v>
      </c>
      <c r="P47" s="77">
        <f t="shared" si="12"/>
        <v>57.120000000000005</v>
      </c>
      <c r="Q47" s="77">
        <f t="shared" si="10"/>
        <v>82.875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170</v>
      </c>
      <c r="C48" s="77">
        <f t="shared" si="6"/>
        <v>187.00000000000003</v>
      </c>
      <c r="D48" s="77">
        <f t="shared" si="7"/>
        <v>64.262550000000005</v>
      </c>
      <c r="E48" s="77">
        <f t="shared" si="8"/>
        <v>19.112504999999999</v>
      </c>
      <c r="F48" s="77">
        <f t="shared" si="9"/>
        <v>22.520614000000002</v>
      </c>
      <c r="G48" s="77">
        <f t="shared" si="12"/>
        <v>0.11628000000000001</v>
      </c>
      <c r="H48" s="77">
        <f t="shared" si="12"/>
        <v>0.64429999999999998</v>
      </c>
      <c r="I48" s="77">
        <f t="shared" si="12"/>
        <v>8.5000000000000006E-2</v>
      </c>
      <c r="J48" s="77">
        <f t="shared" si="12"/>
        <v>1.7000000000000001E-3</v>
      </c>
      <c r="K48" s="77">
        <f t="shared" si="12"/>
        <v>8.5000000000000006E-3</v>
      </c>
      <c r="L48" s="77">
        <f t="shared" si="12"/>
        <v>3.4000000000000002E-2</v>
      </c>
      <c r="M48" s="77">
        <f t="shared" si="12"/>
        <v>3.8420000000000003E-2</v>
      </c>
      <c r="N48" s="77">
        <f t="shared" si="12"/>
        <v>0</v>
      </c>
      <c r="O48" s="77">
        <f t="shared" si="12"/>
        <v>0</v>
      </c>
      <c r="P48" s="77">
        <f t="shared" si="12"/>
        <v>57.120000000000005</v>
      </c>
      <c r="Q48" s="77">
        <f t="shared" si="10"/>
        <v>82.875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170</v>
      </c>
      <c r="C49" s="77">
        <f t="shared" si="6"/>
        <v>187.00000000000003</v>
      </c>
      <c r="D49" s="77">
        <f t="shared" si="7"/>
        <v>64.262550000000005</v>
      </c>
      <c r="E49" s="77">
        <f t="shared" si="8"/>
        <v>19.112504999999999</v>
      </c>
      <c r="F49" s="77">
        <f t="shared" si="9"/>
        <v>22.520614000000002</v>
      </c>
      <c r="G49" s="77">
        <f t="shared" si="12"/>
        <v>0.11628000000000001</v>
      </c>
      <c r="H49" s="77">
        <f t="shared" si="12"/>
        <v>0.64429999999999998</v>
      </c>
      <c r="I49" s="77">
        <f t="shared" si="12"/>
        <v>8.5000000000000006E-2</v>
      </c>
      <c r="J49" s="77">
        <f t="shared" si="12"/>
        <v>1.7000000000000001E-3</v>
      </c>
      <c r="K49" s="77">
        <f t="shared" si="12"/>
        <v>8.5000000000000006E-3</v>
      </c>
      <c r="L49" s="77">
        <f t="shared" si="12"/>
        <v>3.4000000000000002E-2</v>
      </c>
      <c r="M49" s="77">
        <f t="shared" si="12"/>
        <v>3.8420000000000003E-2</v>
      </c>
      <c r="N49" s="77">
        <f t="shared" si="12"/>
        <v>0</v>
      </c>
      <c r="O49" s="77">
        <f t="shared" si="12"/>
        <v>0</v>
      </c>
      <c r="P49" s="77">
        <f t="shared" si="12"/>
        <v>57.120000000000005</v>
      </c>
      <c r="Q49" s="77">
        <f t="shared" si="10"/>
        <v>82.875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170</v>
      </c>
      <c r="C50" s="98">
        <f t="shared" si="6"/>
        <v>187.00000000000003</v>
      </c>
      <c r="D50" s="98">
        <f t="shared" si="7"/>
        <v>64.262550000000005</v>
      </c>
      <c r="E50" s="98">
        <f t="shared" si="8"/>
        <v>19.112504999999999</v>
      </c>
      <c r="F50" s="98">
        <f t="shared" si="9"/>
        <v>22.520614000000002</v>
      </c>
      <c r="G50" s="98">
        <f t="shared" si="12"/>
        <v>0.11628000000000001</v>
      </c>
      <c r="H50" s="98">
        <f t="shared" si="12"/>
        <v>0.64429999999999998</v>
      </c>
      <c r="I50" s="98">
        <f t="shared" si="12"/>
        <v>8.5000000000000006E-2</v>
      </c>
      <c r="J50" s="98">
        <f t="shared" si="12"/>
        <v>1.7000000000000001E-3</v>
      </c>
      <c r="K50" s="98">
        <f t="shared" si="12"/>
        <v>8.5000000000000006E-3</v>
      </c>
      <c r="L50" s="98">
        <f t="shared" si="12"/>
        <v>3.4000000000000002E-2</v>
      </c>
      <c r="M50" s="98">
        <f t="shared" si="12"/>
        <v>3.8420000000000003E-2</v>
      </c>
      <c r="N50" s="98">
        <f t="shared" si="12"/>
        <v>0</v>
      </c>
      <c r="O50" s="98">
        <f t="shared" si="12"/>
        <v>0</v>
      </c>
      <c r="P50" s="98">
        <f t="shared" si="12"/>
        <v>57.120000000000005</v>
      </c>
      <c r="Q50" s="98">
        <f t="shared" si="10"/>
        <v>82.875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Grass</v>
      </c>
      <c r="H58" s="13" t="str">
        <f>I16&amp;" I "&amp;(VLOOKUP(I14,Table245811[],6,FALSE))</f>
        <v>Medium/Clay I Arable</v>
      </c>
      <c r="I58" s="13" t="str">
        <f>J16&amp;" I "&amp;(VLOOKUP(J14,Table245811[],6,FALSE))</f>
        <v>Medium/Clay I Arable</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x14ac:dyDescent="0.2">
      <c r="A59" s="111" t="s">
        <v>132</v>
      </c>
      <c r="B59" s="76">
        <f>VLOOKUP(C$14,Table245811[],5,FALSE)</f>
        <v>6.2</v>
      </c>
      <c r="C59" s="76">
        <f>VLOOKUP(D$14,Table245811[],5,FALSE)</f>
        <v>6.2</v>
      </c>
      <c r="D59" s="76">
        <f>VLOOKUP(E$14,Table245811[],5,FALSE)</f>
        <v>6.2</v>
      </c>
      <c r="E59" s="76">
        <f>VLOOKUP(F$14,Table245811[],5,FALSE)</f>
        <v>6.2</v>
      </c>
      <c r="F59" s="76">
        <f>VLOOKUP(G$14,Table245811[],5,FALSE)</f>
        <v>6.7</v>
      </c>
      <c r="G59" s="76">
        <f>VLOOKUP(H$14,Table245811[],5,FALSE)</f>
        <v>6.2</v>
      </c>
      <c r="H59" s="76">
        <f>VLOOKUP(I$14,Table245811[],5,FALSE)</f>
        <v>6.7</v>
      </c>
      <c r="I59" s="76">
        <f>VLOOKUP(J$14,Table245811[],5,FALSE)</f>
        <v>6.7</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170</v>
      </c>
      <c r="C62" s="77">
        <f>B32</f>
        <v>170</v>
      </c>
      <c r="D62" s="77">
        <f>B33</f>
        <v>170</v>
      </c>
      <c r="E62" s="77">
        <f>B34</f>
        <v>170</v>
      </c>
      <c r="F62" s="77">
        <f>B35</f>
        <v>90</v>
      </c>
      <c r="G62" s="77">
        <f>B36</f>
        <v>170</v>
      </c>
      <c r="H62" s="77">
        <f>B37</f>
        <v>90</v>
      </c>
      <c r="I62" s="77">
        <f>B38</f>
        <v>90</v>
      </c>
      <c r="J62" s="77">
        <f>B39</f>
        <v>170</v>
      </c>
      <c r="K62" s="77">
        <f>B40</f>
        <v>170</v>
      </c>
      <c r="L62" s="77">
        <f>B41</f>
        <v>170</v>
      </c>
      <c r="M62" s="77">
        <f>B42</f>
        <v>170</v>
      </c>
      <c r="N62" s="77">
        <f>B43</f>
        <v>170</v>
      </c>
      <c r="O62" s="77">
        <f>B44</f>
        <v>170</v>
      </c>
      <c r="P62" s="77">
        <f>B45</f>
        <v>170</v>
      </c>
      <c r="Q62" s="77">
        <f>B46</f>
        <v>170</v>
      </c>
      <c r="R62" s="77">
        <f>B47</f>
        <v>170</v>
      </c>
      <c r="S62" s="77">
        <f>B48</f>
        <v>170</v>
      </c>
      <c r="T62" s="77">
        <f>B49</f>
        <v>170</v>
      </c>
      <c r="U62" s="77">
        <f>B50</f>
        <v>170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41" priority="38" operator="equal">
      <formula>"DECREASE"</formula>
    </cfRule>
    <cfRule type="cellIs" dxfId="340" priority="39" operator="equal">
      <formula>"INCREASE"</formula>
    </cfRule>
  </conditionalFormatting>
  <conditionalFormatting sqref="B62:U66">
    <cfRule type="cellIs" dxfId="339" priority="37" operator="greaterThan">
      <formula>$B$51</formula>
    </cfRule>
  </conditionalFormatting>
  <conditionalFormatting sqref="C31:C50">
    <cfRule type="cellIs" dxfId="338" priority="36" operator="greaterThan">
      <formula>$C$51</formula>
    </cfRule>
  </conditionalFormatting>
  <conditionalFormatting sqref="C18:V18">
    <cfRule type="cellIs" dxfId="337" priority="35" operator="equal">
      <formula>0</formula>
    </cfRule>
  </conditionalFormatting>
  <conditionalFormatting sqref="C17:V17">
    <cfRule type="cellIs" dxfId="336" priority="34" operator="equal">
      <formula>0</formula>
    </cfRule>
  </conditionalFormatting>
  <conditionalFormatting sqref="C19:V19">
    <cfRule type="cellIs" dxfId="335" priority="33" operator="equal">
      <formula>0</formula>
    </cfRule>
  </conditionalFormatting>
  <conditionalFormatting sqref="G31:G50">
    <cfRule type="cellIs" dxfId="334" priority="32" operator="greaterThan">
      <formula>$G$51</formula>
    </cfRule>
  </conditionalFormatting>
  <conditionalFormatting sqref="H31:H50">
    <cfRule type="cellIs" dxfId="333" priority="31" operator="greaterThan">
      <formula>$H$51</formula>
    </cfRule>
  </conditionalFormatting>
  <conditionalFormatting sqref="I31:I50">
    <cfRule type="cellIs" dxfId="332" priority="30" operator="greaterThan">
      <formula>$I$51</formula>
    </cfRule>
  </conditionalFormatting>
  <conditionalFormatting sqref="K31:K50">
    <cfRule type="cellIs" dxfId="331" priority="29" operator="greaterThan">
      <formula>$K$51</formula>
    </cfRule>
  </conditionalFormatting>
  <conditionalFormatting sqref="L31:L50">
    <cfRule type="cellIs" dxfId="330" priority="28" operator="greaterThan">
      <formula>$L$51</formula>
    </cfRule>
  </conditionalFormatting>
  <conditionalFormatting sqref="M31:M50">
    <cfRule type="cellIs" dxfId="329" priority="27" operator="greaterThan">
      <formula>$M$51</formula>
    </cfRule>
  </conditionalFormatting>
  <conditionalFormatting sqref="P31:P50">
    <cfRule type="cellIs" dxfId="328" priority="26" operator="greaterThan">
      <formula>$P$51</formula>
    </cfRule>
  </conditionalFormatting>
  <conditionalFormatting sqref="R31:R50">
    <cfRule type="cellIs" dxfId="327" priority="25" operator="greaterThan">
      <formula>$R$51</formula>
    </cfRule>
  </conditionalFormatting>
  <conditionalFormatting sqref="S31:S50">
    <cfRule type="cellIs" dxfId="326" priority="24" operator="greaterThan">
      <formula>$S$51</formula>
    </cfRule>
  </conditionalFormatting>
  <conditionalFormatting sqref="T31:T50">
    <cfRule type="cellIs" dxfId="325" priority="23" operator="greaterThan">
      <formula>$T$51</formula>
    </cfRule>
  </conditionalFormatting>
  <conditionalFormatting sqref="U31:U50">
    <cfRule type="cellIs" dxfId="324" priority="22" operator="greaterThan">
      <formula>$U$51</formula>
    </cfRule>
  </conditionalFormatting>
  <conditionalFormatting sqref="C22:V22">
    <cfRule type="cellIs" dxfId="323" priority="21" operator="equal">
      <formula>0</formula>
    </cfRule>
  </conditionalFormatting>
  <conditionalFormatting sqref="C24:V24">
    <cfRule type="cellIs" dxfId="322" priority="19" operator="equal">
      <formula>"DECREASE"</formula>
    </cfRule>
    <cfRule type="cellIs" dxfId="321" priority="20" operator="equal">
      <formula>"INCREASE"</formula>
    </cfRule>
  </conditionalFormatting>
  <conditionalFormatting sqref="C23:V23">
    <cfRule type="cellIs" dxfId="320" priority="18" operator="equal">
      <formula>0</formula>
    </cfRule>
  </conditionalFormatting>
  <conditionalFormatting sqref="C21:V21">
    <cfRule type="cellIs" dxfId="319" priority="14" operator="equal">
      <formula>0</formula>
    </cfRule>
  </conditionalFormatting>
  <conditionalFormatting sqref="B66:U66">
    <cfRule type="cellIs" dxfId="318" priority="12" operator="equal">
      <formula>"UNDER"</formula>
    </cfRule>
    <cfRule type="cellIs" dxfId="317" priority="13" operator="equal">
      <formula>"OVER"</formula>
    </cfRule>
  </conditionalFormatting>
  <conditionalFormatting sqref="J31:J50">
    <cfRule type="cellIs" dxfId="316" priority="9" operator="greaterThan">
      <formula>$J$51</formula>
    </cfRule>
  </conditionalFormatting>
  <conditionalFormatting sqref="L3">
    <cfRule type="cellIs" dxfId="315" priority="5" operator="lessThan">
      <formula>30</formula>
    </cfRule>
    <cfRule type="cellIs" dxfId="314" priority="6" operator="greaterThanOrEqual">
      <formula>30</formula>
    </cfRule>
  </conditionalFormatting>
  <conditionalFormatting sqref="I1">
    <cfRule type="cellIs" dxfId="313" priority="4" operator="between">
      <formula>0.1</formula>
      <formula>5</formula>
    </cfRule>
  </conditionalFormatting>
  <conditionalFormatting sqref="I2">
    <cfRule type="cellIs" dxfId="312" priority="3" operator="greaterThan">
      <formula>5000.1</formula>
    </cfRule>
  </conditionalFormatting>
  <conditionalFormatting sqref="I3">
    <cfRule type="cellIs" dxfId="311" priority="2" operator="greaterThan">
      <formula>40000.01</formula>
    </cfRule>
  </conditionalFormatting>
  <conditionalFormatting sqref="B31:B50">
    <cfRule type="cellIs" dxfId="310" priority="1" operator="greaterThan">
      <formula>$B$51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41" sqref="E4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v>7.06</v>
      </c>
      <c r="J1" s="129" t="s">
        <v>153</v>
      </c>
      <c r="K1" s="129"/>
      <c r="L1" s="97">
        <v>1008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165</v>
      </c>
      <c r="G2" s="127" t="s">
        <v>110</v>
      </c>
      <c r="H2" s="128"/>
      <c r="I2" s="118">
        <v>1902</v>
      </c>
      <c r="J2" s="129" t="s">
        <v>158</v>
      </c>
      <c r="K2" s="129"/>
      <c r="L2" s="97">
        <v>0.34</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c r="J3" s="125" t="s">
        <v>154</v>
      </c>
      <c r="K3" s="126"/>
      <c r="L3" s="97">
        <f>(L1/(L2*10000))*100</f>
        <v>29.647058823529409</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t="s">
        <v>171</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63.705836999999995</v>
      </c>
      <c r="D18" s="16">
        <f>$D32</f>
        <v>63.705836999999995</v>
      </c>
      <c r="E18" s="16">
        <f>$D33</f>
        <v>63.705836999999995</v>
      </c>
      <c r="F18" s="16">
        <f>$D34</f>
        <v>63.705836999999995</v>
      </c>
      <c r="G18" s="16">
        <f>$D35</f>
        <v>55.53842199999999</v>
      </c>
      <c r="H18" s="16">
        <f>$D36</f>
        <v>63.705836999999995</v>
      </c>
      <c r="I18" s="16">
        <f>$D37</f>
        <v>55.53842199999999</v>
      </c>
      <c r="J18" s="16">
        <f>$D38</f>
        <v>55.53842199999999</v>
      </c>
      <c r="K18" s="16">
        <f>$D39</f>
        <v>63.705836999999995</v>
      </c>
      <c r="L18" s="16">
        <f>$D40</f>
        <v>63.705836999999995</v>
      </c>
      <c r="M18" s="16">
        <f>$D41</f>
        <v>63.705836999999995</v>
      </c>
      <c r="N18" s="16">
        <f>$D42</f>
        <v>63.705836999999995</v>
      </c>
      <c r="O18" s="16">
        <f>$D43</f>
        <v>63.705836999999995</v>
      </c>
      <c r="P18" s="16">
        <f>$D44</f>
        <v>63.705836999999995</v>
      </c>
      <c r="Q18" s="16">
        <f>$D45</f>
        <v>63.705836999999995</v>
      </c>
      <c r="R18" s="16">
        <f>$D46</f>
        <v>63.705836999999995</v>
      </c>
      <c r="S18" s="16">
        <f>$D47</f>
        <v>94.742013999999998</v>
      </c>
      <c r="T18" s="16">
        <f>$D48</f>
        <v>63.705836999999995</v>
      </c>
      <c r="U18" s="16">
        <f>$D49</f>
        <v>63.705836999999995</v>
      </c>
      <c r="V18" s="25">
        <f>$D50</f>
        <v>63.705836999999995</v>
      </c>
      <c r="AD18" s="52" t="s">
        <v>147</v>
      </c>
      <c r="AE18" s="30">
        <v>16</v>
      </c>
      <c r="AI18" s="48" t="s">
        <v>106</v>
      </c>
      <c r="AJ18" s="49">
        <v>5.9</v>
      </c>
      <c r="AK18" s="50">
        <v>18</v>
      </c>
      <c r="AL18" s="51">
        <v>16</v>
      </c>
      <c r="AM18" s="11">
        <v>6.2</v>
      </c>
      <c r="AN18" s="11" t="s">
        <v>112</v>
      </c>
    </row>
    <row r="19" spans="1:40" x14ac:dyDescent="0.2">
      <c r="A19" s="133" t="s">
        <v>90</v>
      </c>
      <c r="B19" s="134"/>
      <c r="C19" s="16">
        <f>C18-C17</f>
        <v>-0.89416299999999893</v>
      </c>
      <c r="D19" s="16">
        <f t="shared" ref="D19:V19" si="1">D18-D17</f>
        <v>-0.89416299999999893</v>
      </c>
      <c r="E19" s="16">
        <f t="shared" si="1"/>
        <v>-0.89416299999999893</v>
      </c>
      <c r="F19" s="16">
        <f t="shared" si="1"/>
        <v>-0.89416299999999893</v>
      </c>
      <c r="G19" s="16">
        <f t="shared" si="1"/>
        <v>-0.46157800000001004</v>
      </c>
      <c r="H19" s="16">
        <f t="shared" si="1"/>
        <v>-0.89416299999999893</v>
      </c>
      <c r="I19" s="16">
        <f t="shared" si="1"/>
        <v>-0.46157800000001004</v>
      </c>
      <c r="J19" s="16">
        <f t="shared" si="1"/>
        <v>-0.46157800000001004</v>
      </c>
      <c r="K19" s="16">
        <f t="shared" si="1"/>
        <v>-0.89416299999999893</v>
      </c>
      <c r="L19" s="16">
        <f t="shared" si="1"/>
        <v>-0.89416299999999893</v>
      </c>
      <c r="M19" s="16">
        <f t="shared" si="1"/>
        <v>-0.89416299999999893</v>
      </c>
      <c r="N19" s="16">
        <f t="shared" si="1"/>
        <v>-0.89416299999999893</v>
      </c>
      <c r="O19" s="16">
        <f t="shared" si="1"/>
        <v>-0.89416299999999893</v>
      </c>
      <c r="P19" s="16">
        <f t="shared" si="1"/>
        <v>-0.89416299999999893</v>
      </c>
      <c r="Q19" s="16">
        <f t="shared" si="1"/>
        <v>-0.89416299999999893</v>
      </c>
      <c r="R19" s="16">
        <f t="shared" si="1"/>
        <v>-0.89416299999999893</v>
      </c>
      <c r="S19" s="16">
        <f t="shared" si="1"/>
        <v>30.142014000000003</v>
      </c>
      <c r="T19" s="16">
        <f t="shared" si="1"/>
        <v>-0.89416299999999893</v>
      </c>
      <c r="U19" s="16">
        <f t="shared" si="1"/>
        <v>-0.89416299999999893</v>
      </c>
      <c r="V19" s="25">
        <f t="shared" si="1"/>
        <v>-0.89416299999999893</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INCREASE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8.0361450000000012</v>
      </c>
      <c r="D22" s="16">
        <f>$E32</f>
        <v>8.0361450000000012</v>
      </c>
      <c r="E22" s="16">
        <f>$E33</f>
        <v>8.0361450000000012</v>
      </c>
      <c r="F22" s="16">
        <f>$E34</f>
        <v>8.0361450000000012</v>
      </c>
      <c r="G22" s="16">
        <f>$E35</f>
        <v>7.0058700000000007</v>
      </c>
      <c r="H22" s="16">
        <f>$E36</f>
        <v>8.0361450000000012</v>
      </c>
      <c r="I22" s="16">
        <f>$E37</f>
        <v>7.0058700000000007</v>
      </c>
      <c r="J22" s="16">
        <f>$E38</f>
        <v>7.0058700000000007</v>
      </c>
      <c r="K22" s="16">
        <f>$E39</f>
        <v>8.0361450000000012</v>
      </c>
      <c r="L22" s="16">
        <f>$E40</f>
        <v>8.0361450000000012</v>
      </c>
      <c r="M22" s="16">
        <f>$E41</f>
        <v>8.0361450000000012</v>
      </c>
      <c r="N22" s="16">
        <f>$E42</f>
        <v>8.0361450000000012</v>
      </c>
      <c r="O22" s="16">
        <f>$E43</f>
        <v>8.0361450000000012</v>
      </c>
      <c r="P22" s="16">
        <f>$E44</f>
        <v>8.0361450000000012</v>
      </c>
      <c r="Q22" s="16">
        <f>$E45</f>
        <v>8.0361450000000012</v>
      </c>
      <c r="R22" s="16">
        <f>$E46</f>
        <v>8.0361450000000012</v>
      </c>
      <c r="S22" s="16">
        <f>$E47</f>
        <v>11.951190000000002</v>
      </c>
      <c r="T22" s="16">
        <f>$E48</f>
        <v>8.0361450000000012</v>
      </c>
      <c r="U22" s="16">
        <f>$E49</f>
        <v>8.0361450000000012</v>
      </c>
      <c r="V22" s="16">
        <f>$E50</f>
        <v>8.0361450000000012</v>
      </c>
      <c r="AI22" s="63" t="s">
        <v>102</v>
      </c>
      <c r="AJ22" s="64">
        <v>1.2</v>
      </c>
      <c r="AK22" s="65">
        <v>5</v>
      </c>
      <c r="AL22" s="29">
        <v>20</v>
      </c>
      <c r="AM22" s="11">
        <v>6.7</v>
      </c>
      <c r="AN22" s="11" t="s">
        <v>135</v>
      </c>
    </row>
    <row r="23" spans="1:40" x14ac:dyDescent="0.2">
      <c r="A23" s="133" t="s">
        <v>92</v>
      </c>
      <c r="B23" s="134"/>
      <c r="C23" s="16">
        <f>C22-C21</f>
        <v>-219.963855</v>
      </c>
      <c r="D23" s="16">
        <f t="shared" ref="D23:V23" si="3">D22-D21</f>
        <v>-219.963855</v>
      </c>
      <c r="E23" s="16">
        <f t="shared" si="3"/>
        <v>-219.963855</v>
      </c>
      <c r="F23" s="16">
        <f t="shared" si="3"/>
        <v>-219.963855</v>
      </c>
      <c r="G23" s="16">
        <f t="shared" si="3"/>
        <v>-168.99413000000001</v>
      </c>
      <c r="H23" s="16">
        <f t="shared" si="3"/>
        <v>-219.963855</v>
      </c>
      <c r="I23" s="16">
        <f t="shared" si="3"/>
        <v>-168.99413000000001</v>
      </c>
      <c r="J23" s="16">
        <f t="shared" si="3"/>
        <v>-168.99413000000001</v>
      </c>
      <c r="K23" s="16">
        <f t="shared" si="3"/>
        <v>-219.963855</v>
      </c>
      <c r="L23" s="16">
        <f t="shared" si="3"/>
        <v>-219.963855</v>
      </c>
      <c r="M23" s="16">
        <f t="shared" si="3"/>
        <v>-219.963855</v>
      </c>
      <c r="N23" s="16">
        <f t="shared" si="3"/>
        <v>-219.963855</v>
      </c>
      <c r="O23" s="16">
        <f t="shared" si="3"/>
        <v>-219.963855</v>
      </c>
      <c r="P23" s="16">
        <f t="shared" si="3"/>
        <v>-219.963855</v>
      </c>
      <c r="Q23" s="16">
        <f t="shared" si="3"/>
        <v>-219.963855</v>
      </c>
      <c r="R23" s="16">
        <f t="shared" si="3"/>
        <v>-219.963855</v>
      </c>
      <c r="S23" s="16">
        <f t="shared" si="3"/>
        <v>-216.04881</v>
      </c>
      <c r="T23" s="16">
        <f t="shared" si="3"/>
        <v>-219.963855</v>
      </c>
      <c r="U23" s="16">
        <f t="shared" si="3"/>
        <v>-219.963855</v>
      </c>
      <c r="V23" s="16">
        <f t="shared" si="3"/>
        <v>-219.963855</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5.19</v>
      </c>
      <c r="C28" s="15">
        <v>0.34</v>
      </c>
      <c r="D28" s="15">
        <v>713</v>
      </c>
      <c r="E28" s="15">
        <v>171</v>
      </c>
      <c r="F28" s="15">
        <v>172</v>
      </c>
      <c r="G28" s="15">
        <v>3.31</v>
      </c>
      <c r="H28" s="15">
        <v>18.399999999999999</v>
      </c>
      <c r="I28" s="15">
        <v>0.5</v>
      </c>
      <c r="J28" s="15">
        <v>1.2E-2</v>
      </c>
      <c r="K28" s="23">
        <v>0.05</v>
      </c>
      <c r="L28" s="15">
        <v>1.34</v>
      </c>
      <c r="M28" s="15">
        <v>0.90300000000000002</v>
      </c>
      <c r="N28" s="15"/>
      <c r="O28" s="15"/>
      <c r="P28" s="15">
        <v>859</v>
      </c>
      <c r="Q28" s="15">
        <v>527</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39</v>
      </c>
      <c r="C31" s="77">
        <f>IF(C$27="%w/w SAR",((C$28*10)*$B31),IF(C$27="%w/w DM",(((C$28*10)*($B$28/100))*$B31),IF(C$27="kg/t SAR",(C$28*$B31),IF(C$27="kg/t DM",((C$28*($B$28/100))*$B31),IF(C$27="mg/kg SAR",((C$28*0.001)*$B31),IF(C$27="mg/kg DM",(((C$28*0.001)*($B$28/100))*$B31),0))))))</f>
        <v>132.60000000000002</v>
      </c>
      <c r="D31" s="77">
        <f>(IF(D$27="%w/w SAR",((D$28*10)*$B31),IF(D$27="%w/w DM",(((D$28*10)*($B$28/100))*$B31),IF(D$27="kg/t SAR",(D$28*$B31),IF(D$27="kg/t DM",((D$28*($B$28/100))*$B31),IF(D$27="mg/kg SAR",((D$28*0.001)*$B31),IF(D$27="mg/kg DM",(((D$28*0.001)*($B$28/100))*$B31),"0")))))))*2.291</f>
        <v>63.705836999999995</v>
      </c>
      <c r="E31" s="77">
        <f>(IF(E$27="%w/w SAR",((E$28*10)*$B31),IF(E$27="%w/w DM",(((E$28*10)*($B$28/100))*$B31),IF(E$27="kg/t SAR",(E$28*$B31),IF(E$27="kg/t DM",((E$28*($B$28/100))*$B31),IF(E$27="mg/kg SAR",((E$28*0.001)*$B31),IF(E$27="mg/kg DM",(((E$28*0.001)*($B$28/100))*$B31),"0")))))))*1.205</f>
        <v>8.0361450000000012</v>
      </c>
      <c r="F31" s="77">
        <f>(IF(F$27="%w/w SAR",((F$28*10)*$B31),IF(F$27="%w/w DM",(((F$28*10)*($B$28/100))*$B31),IF(F$27="kg/t SAR",(F$28*$B31),IF(F$27="kg/t DM",((F$28*($B$28/100))*$B31),IF(F$27="mg/kg SAR",((F$28*0.001)*$B31),IF(F$27="mg/kg DM",(((F$28*0.001)*($B$28/100))*$B31),"0")))))))*1.658</f>
        <v>11.121864</v>
      </c>
      <c r="G31" s="77">
        <f t="shared" ref="G31:P46" si="5">IF(G$27="%w/w SAR",((G$28*10)*$B31),IF(G$27="%w/w DM",(((G$28*10)*($B$28/100))*$B31),IF(G$27="kg/t SAR",(G$28*$B31),IF(G$27="kg/t DM",((G$28*($B$28/100))*$B31),IF(G$27="mg/kg SAR",((G$28*0.001)*$B31),IF(G$27="mg/kg DM",(((G$28*0.001)*($B$28/100))*$B31),0))))))</f>
        <v>0.12909000000000001</v>
      </c>
      <c r="H31" s="77">
        <f t="shared" si="5"/>
        <v>0.71760000000000002</v>
      </c>
      <c r="I31" s="77">
        <f t="shared" si="5"/>
        <v>1.95E-2</v>
      </c>
      <c r="J31" s="77">
        <f t="shared" si="5"/>
        <v>4.6799999999999999E-4</v>
      </c>
      <c r="K31" s="77">
        <f t="shared" si="5"/>
        <v>1.9500000000000001E-3</v>
      </c>
      <c r="L31" s="77">
        <f t="shared" si="5"/>
        <v>5.2260000000000001E-2</v>
      </c>
      <c r="M31" s="77">
        <f t="shared" si="5"/>
        <v>3.5217000000000005E-2</v>
      </c>
      <c r="N31" s="77">
        <f t="shared" si="5"/>
        <v>0</v>
      </c>
      <c r="O31" s="77">
        <f t="shared" si="5"/>
        <v>0</v>
      </c>
      <c r="P31" s="77">
        <f t="shared" si="5"/>
        <v>33.500999999999998</v>
      </c>
      <c r="Q31" s="77">
        <f>(IF(Q$27="%w/w SAR",((Q$28*10)*$B31),IF(Q$27="%w/w DM",(((Q$28*10)*($B$28/100))*$B31),IF(Q$27="kg/t SAR",(Q$28*$B31),IF(Q$27="kg/t DM",((Q$28*($B$28/100))*$B31),IF(Q$27="mg/kg SAR",((Q$28*0.001)*$B31),IF(Q$27="mg/kg DM",(((Q$28*0.001)*($B$28/100))*$B31),0)))))))*2.5</f>
        <v>51.3825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39</v>
      </c>
      <c r="C32" s="77">
        <f t="shared" ref="C32:C50" si="6">IF(C$27="%w/w SAR",((C$28*10)*$B32),IF(C$27="%w/w DM",(((C$28*10)*($B$28/100))*$B32),IF(C$27="kg/t SAR",(C$28*$B32),IF(C$27="kg/t DM",((C$28*($B$28/100))*$B32),IF(C$27="mg/kg SAR",((C$28*0.001)*$B32),IF(C$27="mg/kg DM",(((C$28*0.001)*($B$28/100))*$B32),0))))))</f>
        <v>132.60000000000002</v>
      </c>
      <c r="D32" s="77">
        <f t="shared" ref="D32:D50" si="7">(IF(D$27="%w/w SAR",((D$28*10)*$B32),IF(D$27="%w/w DM",(((D$28*10)*($B$28/100))*$B32),IF(D$27="kg/t SAR",(D$28*$B32),IF(D$27="kg/t DM",((D$28*($B$28/100))*$B32),IF(D$27="mg/kg SAR",((D$28*0.001)*$B32),IF(D$27="mg/kg DM",(((D$28*0.001)*($B$28/100))*$B32),"0")))))))*2.291</f>
        <v>63.705836999999995</v>
      </c>
      <c r="E32" s="77">
        <f t="shared" ref="E32:E50" si="8">(IF(E$27="%w/w SAR",((E$28*10)*$B32),IF(E$27="%w/w DM",(((E$28*10)*($B$28/100))*$B32),IF(E$27="kg/t SAR",(E$28*$B32),IF(E$27="kg/t DM",((E$28*($B$28/100))*$B32),IF(E$27="mg/kg SAR",((E$28*0.001)*$B32),IF(E$27="mg/kg DM",(((E$28*0.001)*($B$28/100))*$B32),"0")))))))*1.205</f>
        <v>8.0361450000000012</v>
      </c>
      <c r="F32" s="77">
        <f t="shared" ref="F32:F50" si="9">(IF(F$27="%w/w SAR",((F$28*10)*$B32),IF(F$27="%w/w DM",(((F$28*10)*($B$28/100))*$B32),IF(F$27="kg/t SAR",(F$28*$B32),IF(F$27="kg/t DM",((F$28*($B$28/100))*$B32),IF(F$27="mg/kg SAR",((F$28*0.001)*$B32),IF(F$27="mg/kg DM",(((F$28*0.001)*($B$28/100))*$B32),"0")))))))*1.658</f>
        <v>11.121864</v>
      </c>
      <c r="G32" s="77">
        <f t="shared" si="5"/>
        <v>0.12909000000000001</v>
      </c>
      <c r="H32" s="77">
        <f t="shared" si="5"/>
        <v>0.71760000000000002</v>
      </c>
      <c r="I32" s="77">
        <f t="shared" si="5"/>
        <v>1.95E-2</v>
      </c>
      <c r="J32" s="77">
        <f t="shared" si="5"/>
        <v>4.6799999999999999E-4</v>
      </c>
      <c r="K32" s="77">
        <f t="shared" si="5"/>
        <v>1.9500000000000001E-3</v>
      </c>
      <c r="L32" s="77">
        <f t="shared" si="5"/>
        <v>5.2260000000000001E-2</v>
      </c>
      <c r="M32" s="77">
        <f t="shared" si="5"/>
        <v>3.5217000000000005E-2</v>
      </c>
      <c r="N32" s="77">
        <f t="shared" si="5"/>
        <v>0</v>
      </c>
      <c r="O32" s="77">
        <f t="shared" si="5"/>
        <v>0</v>
      </c>
      <c r="P32" s="77">
        <f t="shared" si="5"/>
        <v>33.500999999999998</v>
      </c>
      <c r="Q32" s="77">
        <f t="shared" ref="Q32:Q50" si="10">(IF(Q$27="%w/w SAR",((Q$28*10)*$B32),IF(Q$27="%w/w DM",(((Q$28*10)*($B$28/100))*$B32),IF(Q$27="kg/t SAR",(Q$28*$B32),IF(Q$27="kg/t DM",((Q$28*($B$28/100))*$B32),IF(Q$27="mg/kg SAR",((Q$28*0.001)*$B32),IF(Q$27="mg/kg DM",(((Q$28*0.001)*($B$28/100))*$B32),0)))))))*2.5</f>
        <v>51.3825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39</v>
      </c>
      <c r="C33" s="77">
        <f t="shared" si="6"/>
        <v>132.60000000000002</v>
      </c>
      <c r="D33" s="77">
        <f t="shared" si="7"/>
        <v>63.705836999999995</v>
      </c>
      <c r="E33" s="77">
        <f t="shared" si="8"/>
        <v>8.0361450000000012</v>
      </c>
      <c r="F33" s="77">
        <f t="shared" si="9"/>
        <v>11.121864</v>
      </c>
      <c r="G33" s="77">
        <f t="shared" si="5"/>
        <v>0.12909000000000001</v>
      </c>
      <c r="H33" s="77">
        <f t="shared" si="5"/>
        <v>0.71760000000000002</v>
      </c>
      <c r="I33" s="77">
        <f t="shared" si="5"/>
        <v>1.95E-2</v>
      </c>
      <c r="J33" s="77">
        <f t="shared" si="5"/>
        <v>4.6799999999999999E-4</v>
      </c>
      <c r="K33" s="77">
        <f t="shared" si="5"/>
        <v>1.9500000000000001E-3</v>
      </c>
      <c r="L33" s="77">
        <f t="shared" si="5"/>
        <v>5.2260000000000001E-2</v>
      </c>
      <c r="M33" s="77">
        <f t="shared" si="5"/>
        <v>3.5217000000000005E-2</v>
      </c>
      <c r="N33" s="77">
        <f t="shared" si="5"/>
        <v>0</v>
      </c>
      <c r="O33" s="77">
        <f t="shared" si="5"/>
        <v>0</v>
      </c>
      <c r="P33" s="77">
        <f t="shared" si="5"/>
        <v>33.500999999999998</v>
      </c>
      <c r="Q33" s="77">
        <f t="shared" si="10"/>
        <v>51.3825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39</v>
      </c>
      <c r="C34" s="77">
        <f t="shared" si="6"/>
        <v>132.60000000000002</v>
      </c>
      <c r="D34" s="77">
        <f t="shared" si="7"/>
        <v>63.705836999999995</v>
      </c>
      <c r="E34" s="77">
        <f t="shared" si="8"/>
        <v>8.0361450000000012</v>
      </c>
      <c r="F34" s="77">
        <f t="shared" si="9"/>
        <v>11.121864</v>
      </c>
      <c r="G34" s="77">
        <f t="shared" si="5"/>
        <v>0.12909000000000001</v>
      </c>
      <c r="H34" s="77">
        <f t="shared" si="5"/>
        <v>0.71760000000000002</v>
      </c>
      <c r="I34" s="77">
        <f t="shared" si="5"/>
        <v>1.95E-2</v>
      </c>
      <c r="J34" s="77">
        <f t="shared" si="5"/>
        <v>4.6799999999999999E-4</v>
      </c>
      <c r="K34" s="77">
        <f t="shared" si="5"/>
        <v>1.9500000000000001E-3</v>
      </c>
      <c r="L34" s="77">
        <f t="shared" si="5"/>
        <v>5.2260000000000001E-2</v>
      </c>
      <c r="M34" s="77">
        <f t="shared" si="5"/>
        <v>3.5217000000000005E-2</v>
      </c>
      <c r="N34" s="77">
        <f t="shared" si="5"/>
        <v>0</v>
      </c>
      <c r="O34" s="77">
        <f t="shared" si="5"/>
        <v>0</v>
      </c>
      <c r="P34" s="77">
        <f t="shared" si="5"/>
        <v>33.500999999999998</v>
      </c>
      <c r="Q34" s="77">
        <f t="shared" si="10"/>
        <v>51.3825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34</v>
      </c>
      <c r="C35" s="77">
        <f t="shared" si="6"/>
        <v>115.60000000000001</v>
      </c>
      <c r="D35" s="77">
        <f t="shared" si="7"/>
        <v>55.53842199999999</v>
      </c>
      <c r="E35" s="77">
        <f t="shared" si="8"/>
        <v>7.0058700000000007</v>
      </c>
      <c r="F35" s="77">
        <f t="shared" si="9"/>
        <v>9.695984000000001</v>
      </c>
      <c r="G35" s="77">
        <f t="shared" si="5"/>
        <v>0.11254</v>
      </c>
      <c r="H35" s="77">
        <f t="shared" si="5"/>
        <v>0.62559999999999993</v>
      </c>
      <c r="I35" s="77">
        <f t="shared" si="5"/>
        <v>1.7000000000000001E-2</v>
      </c>
      <c r="J35" s="77">
        <f t="shared" si="5"/>
        <v>4.08E-4</v>
      </c>
      <c r="K35" s="77">
        <f t="shared" si="5"/>
        <v>1.7000000000000001E-3</v>
      </c>
      <c r="L35" s="77">
        <f t="shared" si="5"/>
        <v>4.5560000000000003E-2</v>
      </c>
      <c r="M35" s="77">
        <f t="shared" si="5"/>
        <v>3.0702E-2</v>
      </c>
      <c r="N35" s="77">
        <f t="shared" si="5"/>
        <v>0</v>
      </c>
      <c r="O35" s="77">
        <f t="shared" si="5"/>
        <v>0</v>
      </c>
      <c r="P35" s="77">
        <f t="shared" si="5"/>
        <v>29.206</v>
      </c>
      <c r="Q35" s="77">
        <f t="shared" si="10"/>
        <v>44.795000000000002</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39</v>
      </c>
      <c r="C36" s="77">
        <f t="shared" si="6"/>
        <v>132.60000000000002</v>
      </c>
      <c r="D36" s="77">
        <f t="shared" si="7"/>
        <v>63.705836999999995</v>
      </c>
      <c r="E36" s="77">
        <f t="shared" si="8"/>
        <v>8.0361450000000012</v>
      </c>
      <c r="F36" s="77">
        <f t="shared" si="9"/>
        <v>11.121864</v>
      </c>
      <c r="G36" s="77">
        <f t="shared" si="5"/>
        <v>0.12909000000000001</v>
      </c>
      <c r="H36" s="77">
        <f t="shared" si="5"/>
        <v>0.71760000000000002</v>
      </c>
      <c r="I36" s="77">
        <f t="shared" si="5"/>
        <v>1.95E-2</v>
      </c>
      <c r="J36" s="77">
        <f t="shared" si="5"/>
        <v>4.6799999999999999E-4</v>
      </c>
      <c r="K36" s="77">
        <f t="shared" si="5"/>
        <v>1.9500000000000001E-3</v>
      </c>
      <c r="L36" s="77">
        <f t="shared" si="5"/>
        <v>5.2260000000000001E-2</v>
      </c>
      <c r="M36" s="77">
        <f t="shared" si="5"/>
        <v>3.5217000000000005E-2</v>
      </c>
      <c r="N36" s="77">
        <f t="shared" si="5"/>
        <v>0</v>
      </c>
      <c r="O36" s="77">
        <f t="shared" si="5"/>
        <v>0</v>
      </c>
      <c r="P36" s="77">
        <f t="shared" si="5"/>
        <v>33.500999999999998</v>
      </c>
      <c r="Q36" s="77">
        <f t="shared" si="10"/>
        <v>51.3825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34</v>
      </c>
      <c r="C37" s="77">
        <f t="shared" si="6"/>
        <v>115.60000000000001</v>
      </c>
      <c r="D37" s="77">
        <f t="shared" si="7"/>
        <v>55.53842199999999</v>
      </c>
      <c r="E37" s="77">
        <f t="shared" si="8"/>
        <v>7.0058700000000007</v>
      </c>
      <c r="F37" s="77">
        <f t="shared" si="9"/>
        <v>9.695984000000001</v>
      </c>
      <c r="G37" s="77">
        <f t="shared" si="5"/>
        <v>0.11254</v>
      </c>
      <c r="H37" s="77">
        <f t="shared" si="5"/>
        <v>0.62559999999999993</v>
      </c>
      <c r="I37" s="77">
        <f t="shared" si="5"/>
        <v>1.7000000000000001E-2</v>
      </c>
      <c r="J37" s="77">
        <f t="shared" si="5"/>
        <v>4.08E-4</v>
      </c>
      <c r="K37" s="77">
        <f t="shared" si="5"/>
        <v>1.7000000000000001E-3</v>
      </c>
      <c r="L37" s="77">
        <f t="shared" si="5"/>
        <v>4.5560000000000003E-2</v>
      </c>
      <c r="M37" s="77">
        <f t="shared" si="5"/>
        <v>3.0702E-2</v>
      </c>
      <c r="N37" s="77">
        <f t="shared" si="5"/>
        <v>0</v>
      </c>
      <c r="O37" s="77">
        <f t="shared" si="5"/>
        <v>0</v>
      </c>
      <c r="P37" s="77">
        <f t="shared" si="5"/>
        <v>29.206</v>
      </c>
      <c r="Q37" s="77">
        <f t="shared" si="10"/>
        <v>44.795000000000002</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34</v>
      </c>
      <c r="C38" s="77">
        <f t="shared" si="6"/>
        <v>115.60000000000001</v>
      </c>
      <c r="D38" s="77">
        <f t="shared" si="7"/>
        <v>55.53842199999999</v>
      </c>
      <c r="E38" s="77">
        <f t="shared" si="8"/>
        <v>7.0058700000000007</v>
      </c>
      <c r="F38" s="77">
        <f t="shared" si="9"/>
        <v>9.695984000000001</v>
      </c>
      <c r="G38" s="77">
        <f t="shared" si="5"/>
        <v>0.11254</v>
      </c>
      <c r="H38" s="77">
        <f t="shared" si="5"/>
        <v>0.62559999999999993</v>
      </c>
      <c r="I38" s="77">
        <f t="shared" si="5"/>
        <v>1.7000000000000001E-2</v>
      </c>
      <c r="J38" s="77">
        <f t="shared" si="5"/>
        <v>4.08E-4</v>
      </c>
      <c r="K38" s="77">
        <f t="shared" si="5"/>
        <v>1.7000000000000001E-3</v>
      </c>
      <c r="L38" s="77">
        <f t="shared" si="5"/>
        <v>4.5560000000000003E-2</v>
      </c>
      <c r="M38" s="77">
        <f t="shared" si="5"/>
        <v>3.0702E-2</v>
      </c>
      <c r="N38" s="77">
        <f t="shared" si="5"/>
        <v>0</v>
      </c>
      <c r="O38" s="77">
        <f t="shared" si="5"/>
        <v>0</v>
      </c>
      <c r="P38" s="77">
        <f t="shared" si="5"/>
        <v>29.206</v>
      </c>
      <c r="Q38" s="77">
        <f t="shared" si="10"/>
        <v>44.795000000000002</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39</v>
      </c>
      <c r="C39" s="77">
        <f t="shared" si="6"/>
        <v>132.60000000000002</v>
      </c>
      <c r="D39" s="77">
        <f t="shared" si="7"/>
        <v>63.705836999999995</v>
      </c>
      <c r="E39" s="77">
        <f t="shared" si="8"/>
        <v>8.0361450000000012</v>
      </c>
      <c r="F39" s="77">
        <f t="shared" si="9"/>
        <v>11.121864</v>
      </c>
      <c r="G39" s="77">
        <f t="shared" si="5"/>
        <v>0.12909000000000001</v>
      </c>
      <c r="H39" s="77">
        <f t="shared" si="5"/>
        <v>0.71760000000000002</v>
      </c>
      <c r="I39" s="77">
        <f t="shared" si="5"/>
        <v>1.95E-2</v>
      </c>
      <c r="J39" s="77">
        <f t="shared" si="5"/>
        <v>4.6799999999999999E-4</v>
      </c>
      <c r="K39" s="77">
        <f t="shared" si="5"/>
        <v>1.9500000000000001E-3</v>
      </c>
      <c r="L39" s="77">
        <f t="shared" si="5"/>
        <v>5.2260000000000001E-2</v>
      </c>
      <c r="M39" s="77">
        <f t="shared" si="5"/>
        <v>3.5217000000000005E-2</v>
      </c>
      <c r="N39" s="77">
        <f t="shared" si="5"/>
        <v>0</v>
      </c>
      <c r="O39" s="77">
        <f t="shared" si="5"/>
        <v>0</v>
      </c>
      <c r="P39" s="77">
        <f t="shared" si="5"/>
        <v>33.500999999999998</v>
      </c>
      <c r="Q39" s="77">
        <f t="shared" si="10"/>
        <v>51.3825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39</v>
      </c>
      <c r="C40" s="77">
        <f t="shared" si="6"/>
        <v>132.60000000000002</v>
      </c>
      <c r="D40" s="77">
        <f t="shared" si="7"/>
        <v>63.705836999999995</v>
      </c>
      <c r="E40" s="77">
        <f t="shared" si="8"/>
        <v>8.0361450000000012</v>
      </c>
      <c r="F40" s="77">
        <f t="shared" si="9"/>
        <v>11.121864</v>
      </c>
      <c r="G40" s="77">
        <f t="shared" si="5"/>
        <v>0.12909000000000001</v>
      </c>
      <c r="H40" s="77">
        <f t="shared" si="5"/>
        <v>0.71760000000000002</v>
      </c>
      <c r="I40" s="77">
        <f t="shared" si="5"/>
        <v>1.95E-2</v>
      </c>
      <c r="J40" s="77">
        <f t="shared" si="5"/>
        <v>4.6799999999999999E-4</v>
      </c>
      <c r="K40" s="77">
        <f t="shared" si="5"/>
        <v>1.9500000000000001E-3</v>
      </c>
      <c r="L40" s="77">
        <f t="shared" si="5"/>
        <v>5.2260000000000001E-2</v>
      </c>
      <c r="M40" s="77">
        <f t="shared" si="5"/>
        <v>3.5217000000000005E-2</v>
      </c>
      <c r="N40" s="77">
        <f t="shared" si="5"/>
        <v>0</v>
      </c>
      <c r="O40" s="77">
        <f t="shared" si="5"/>
        <v>0</v>
      </c>
      <c r="P40" s="77">
        <f t="shared" si="5"/>
        <v>33.500999999999998</v>
      </c>
      <c r="Q40" s="77">
        <f t="shared" si="10"/>
        <v>51.3825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39</v>
      </c>
      <c r="C41" s="77">
        <f t="shared" si="6"/>
        <v>132.60000000000002</v>
      </c>
      <c r="D41" s="77">
        <f t="shared" si="7"/>
        <v>63.705836999999995</v>
      </c>
      <c r="E41" s="77">
        <f t="shared" si="8"/>
        <v>8.0361450000000012</v>
      </c>
      <c r="F41" s="77">
        <f t="shared" si="9"/>
        <v>11.121864</v>
      </c>
      <c r="G41" s="77">
        <f t="shared" si="5"/>
        <v>0.12909000000000001</v>
      </c>
      <c r="H41" s="77">
        <f t="shared" si="5"/>
        <v>0.71760000000000002</v>
      </c>
      <c r="I41" s="77">
        <f t="shared" si="5"/>
        <v>1.95E-2</v>
      </c>
      <c r="J41" s="77">
        <f t="shared" si="5"/>
        <v>4.6799999999999999E-4</v>
      </c>
      <c r="K41" s="77">
        <f t="shared" si="5"/>
        <v>1.9500000000000001E-3</v>
      </c>
      <c r="L41" s="77">
        <f t="shared" si="5"/>
        <v>5.2260000000000001E-2</v>
      </c>
      <c r="M41" s="77">
        <f t="shared" si="5"/>
        <v>3.5217000000000005E-2</v>
      </c>
      <c r="N41" s="77">
        <f t="shared" si="5"/>
        <v>0</v>
      </c>
      <c r="O41" s="77">
        <f t="shared" si="5"/>
        <v>0</v>
      </c>
      <c r="P41" s="77">
        <f t="shared" si="5"/>
        <v>33.500999999999998</v>
      </c>
      <c r="Q41" s="77">
        <f t="shared" si="10"/>
        <v>51.3825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39</v>
      </c>
      <c r="C42" s="77">
        <f t="shared" si="6"/>
        <v>132.60000000000002</v>
      </c>
      <c r="D42" s="77">
        <f t="shared" si="7"/>
        <v>63.705836999999995</v>
      </c>
      <c r="E42" s="77">
        <f t="shared" si="8"/>
        <v>8.0361450000000012</v>
      </c>
      <c r="F42" s="77">
        <f t="shared" si="9"/>
        <v>11.121864</v>
      </c>
      <c r="G42" s="77">
        <f t="shared" si="5"/>
        <v>0.12909000000000001</v>
      </c>
      <c r="H42" s="77">
        <f t="shared" si="5"/>
        <v>0.71760000000000002</v>
      </c>
      <c r="I42" s="77">
        <f t="shared" si="5"/>
        <v>1.95E-2</v>
      </c>
      <c r="J42" s="77">
        <f t="shared" si="5"/>
        <v>4.6799999999999999E-4</v>
      </c>
      <c r="K42" s="77">
        <f t="shared" si="5"/>
        <v>1.9500000000000001E-3</v>
      </c>
      <c r="L42" s="77">
        <f t="shared" si="5"/>
        <v>5.2260000000000001E-2</v>
      </c>
      <c r="M42" s="77">
        <f t="shared" si="5"/>
        <v>3.5217000000000005E-2</v>
      </c>
      <c r="N42" s="77">
        <f t="shared" si="5"/>
        <v>0</v>
      </c>
      <c r="O42" s="77">
        <f t="shared" si="5"/>
        <v>0</v>
      </c>
      <c r="P42" s="77">
        <f t="shared" si="5"/>
        <v>33.500999999999998</v>
      </c>
      <c r="Q42" s="77">
        <f t="shared" si="10"/>
        <v>51.3825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39</v>
      </c>
      <c r="C43" s="77">
        <f t="shared" si="6"/>
        <v>132.60000000000002</v>
      </c>
      <c r="D43" s="77">
        <f t="shared" si="7"/>
        <v>63.705836999999995</v>
      </c>
      <c r="E43" s="77">
        <f t="shared" si="8"/>
        <v>8.0361450000000012</v>
      </c>
      <c r="F43" s="77">
        <f t="shared" si="9"/>
        <v>11.121864</v>
      </c>
      <c r="G43" s="77">
        <f t="shared" si="5"/>
        <v>0.12909000000000001</v>
      </c>
      <c r="H43" s="77">
        <f t="shared" si="5"/>
        <v>0.71760000000000002</v>
      </c>
      <c r="I43" s="77">
        <f t="shared" si="5"/>
        <v>1.95E-2</v>
      </c>
      <c r="J43" s="77">
        <f t="shared" si="5"/>
        <v>4.6799999999999999E-4</v>
      </c>
      <c r="K43" s="77">
        <f t="shared" si="5"/>
        <v>1.9500000000000001E-3</v>
      </c>
      <c r="L43" s="77">
        <f t="shared" si="5"/>
        <v>5.2260000000000001E-2</v>
      </c>
      <c r="M43" s="77">
        <f t="shared" si="5"/>
        <v>3.5217000000000005E-2</v>
      </c>
      <c r="N43" s="77">
        <f t="shared" si="5"/>
        <v>0</v>
      </c>
      <c r="O43" s="77">
        <f t="shared" si="5"/>
        <v>0</v>
      </c>
      <c r="P43" s="77">
        <f t="shared" si="5"/>
        <v>33.500999999999998</v>
      </c>
      <c r="Q43" s="77">
        <f t="shared" si="10"/>
        <v>51.3825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39</v>
      </c>
      <c r="C44" s="77">
        <f t="shared" si="6"/>
        <v>132.60000000000002</v>
      </c>
      <c r="D44" s="77">
        <f t="shared" si="7"/>
        <v>63.705836999999995</v>
      </c>
      <c r="E44" s="77">
        <f t="shared" si="8"/>
        <v>8.0361450000000012</v>
      </c>
      <c r="F44" s="77">
        <f t="shared" si="9"/>
        <v>11.121864</v>
      </c>
      <c r="G44" s="77">
        <f t="shared" si="5"/>
        <v>0.12909000000000001</v>
      </c>
      <c r="H44" s="77">
        <f t="shared" si="5"/>
        <v>0.71760000000000002</v>
      </c>
      <c r="I44" s="77">
        <f t="shared" si="5"/>
        <v>1.95E-2</v>
      </c>
      <c r="J44" s="77">
        <f t="shared" si="5"/>
        <v>4.6799999999999999E-4</v>
      </c>
      <c r="K44" s="77">
        <f t="shared" si="5"/>
        <v>1.9500000000000001E-3</v>
      </c>
      <c r="L44" s="77">
        <f t="shared" si="5"/>
        <v>5.2260000000000001E-2</v>
      </c>
      <c r="M44" s="77">
        <f t="shared" si="5"/>
        <v>3.5217000000000005E-2</v>
      </c>
      <c r="N44" s="77">
        <f t="shared" si="5"/>
        <v>0</v>
      </c>
      <c r="O44" s="77">
        <f t="shared" si="5"/>
        <v>0</v>
      </c>
      <c r="P44" s="77">
        <f t="shared" si="5"/>
        <v>33.500999999999998</v>
      </c>
      <c r="Q44" s="77">
        <f t="shared" si="10"/>
        <v>51.3825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39</v>
      </c>
      <c r="C45" s="77">
        <f t="shared" si="6"/>
        <v>132.60000000000002</v>
      </c>
      <c r="D45" s="77">
        <f t="shared" si="7"/>
        <v>63.705836999999995</v>
      </c>
      <c r="E45" s="77">
        <f t="shared" si="8"/>
        <v>8.0361450000000012</v>
      </c>
      <c r="F45" s="77">
        <f t="shared" si="9"/>
        <v>11.121864</v>
      </c>
      <c r="G45" s="77">
        <f t="shared" si="5"/>
        <v>0.12909000000000001</v>
      </c>
      <c r="H45" s="77">
        <f t="shared" si="5"/>
        <v>0.71760000000000002</v>
      </c>
      <c r="I45" s="77">
        <f t="shared" si="5"/>
        <v>1.95E-2</v>
      </c>
      <c r="J45" s="77">
        <f t="shared" si="5"/>
        <v>4.6799999999999999E-4</v>
      </c>
      <c r="K45" s="77">
        <f t="shared" si="5"/>
        <v>1.9500000000000001E-3</v>
      </c>
      <c r="L45" s="77">
        <f t="shared" si="5"/>
        <v>5.2260000000000001E-2</v>
      </c>
      <c r="M45" s="77">
        <f t="shared" si="5"/>
        <v>3.5217000000000005E-2</v>
      </c>
      <c r="N45" s="77">
        <f t="shared" si="5"/>
        <v>0</v>
      </c>
      <c r="O45" s="77">
        <f t="shared" si="5"/>
        <v>0</v>
      </c>
      <c r="P45" s="77">
        <f t="shared" si="5"/>
        <v>33.500999999999998</v>
      </c>
      <c r="Q45" s="77">
        <f t="shared" si="10"/>
        <v>51.3825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39</v>
      </c>
      <c r="C46" s="77">
        <f t="shared" si="6"/>
        <v>132.60000000000002</v>
      </c>
      <c r="D46" s="77">
        <f t="shared" si="7"/>
        <v>63.705836999999995</v>
      </c>
      <c r="E46" s="77">
        <f t="shared" si="8"/>
        <v>8.0361450000000012</v>
      </c>
      <c r="F46" s="77">
        <f t="shared" si="9"/>
        <v>11.121864</v>
      </c>
      <c r="G46" s="77">
        <f t="shared" si="5"/>
        <v>0.12909000000000001</v>
      </c>
      <c r="H46" s="77">
        <f t="shared" si="5"/>
        <v>0.71760000000000002</v>
      </c>
      <c r="I46" s="77">
        <f t="shared" si="5"/>
        <v>1.95E-2</v>
      </c>
      <c r="J46" s="77">
        <f t="shared" si="5"/>
        <v>4.6799999999999999E-4</v>
      </c>
      <c r="K46" s="77">
        <f t="shared" si="5"/>
        <v>1.9500000000000001E-3</v>
      </c>
      <c r="L46" s="77">
        <f t="shared" si="5"/>
        <v>5.2260000000000001E-2</v>
      </c>
      <c r="M46" s="77">
        <f t="shared" si="5"/>
        <v>3.5217000000000005E-2</v>
      </c>
      <c r="N46" s="77">
        <f t="shared" si="5"/>
        <v>0</v>
      </c>
      <c r="O46" s="77">
        <f t="shared" si="5"/>
        <v>0</v>
      </c>
      <c r="P46" s="77">
        <f t="shared" si="5"/>
        <v>33.500999999999998</v>
      </c>
      <c r="Q46" s="77">
        <f t="shared" si="10"/>
        <v>51.3825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58</v>
      </c>
      <c r="C47" s="77">
        <f t="shared" si="6"/>
        <v>197.20000000000002</v>
      </c>
      <c r="D47" s="77">
        <f t="shared" si="7"/>
        <v>94.742013999999998</v>
      </c>
      <c r="E47" s="77">
        <f t="shared" si="8"/>
        <v>11.951190000000002</v>
      </c>
      <c r="F47" s="77">
        <f t="shared" si="9"/>
        <v>16.540208</v>
      </c>
      <c r="G47" s="77">
        <f t="shared" ref="G47:P50" si="12">IF(G$27="%w/w SAR",((G$28*10)*$B47),IF(G$27="%w/w DM",(((G$28*10)*($B$28/100))*$B47),IF(G$27="kg/t SAR",(G$28*$B47),IF(G$27="kg/t DM",((G$28*($B$28/100))*$B47),IF(G$27="mg/kg SAR",((G$28*0.001)*$B47),IF(G$27="mg/kg DM",(((G$28*0.001)*($B$28/100))*$B47),0))))))</f>
        <v>0.19198000000000001</v>
      </c>
      <c r="H47" s="77">
        <f t="shared" si="12"/>
        <v>1.0671999999999999</v>
      </c>
      <c r="I47" s="77">
        <f t="shared" si="12"/>
        <v>2.9000000000000001E-2</v>
      </c>
      <c r="J47" s="77">
        <f t="shared" si="12"/>
        <v>6.96E-4</v>
      </c>
      <c r="K47" s="77">
        <f t="shared" si="12"/>
        <v>2.9000000000000002E-3</v>
      </c>
      <c r="L47" s="77">
        <f t="shared" si="12"/>
        <v>7.7719999999999997E-2</v>
      </c>
      <c r="M47" s="77">
        <f t="shared" si="12"/>
        <v>5.2374000000000004E-2</v>
      </c>
      <c r="N47" s="77">
        <f t="shared" si="12"/>
        <v>0</v>
      </c>
      <c r="O47" s="77">
        <f t="shared" si="12"/>
        <v>0</v>
      </c>
      <c r="P47" s="77">
        <f t="shared" si="12"/>
        <v>49.822000000000003</v>
      </c>
      <c r="Q47" s="77">
        <f t="shared" si="10"/>
        <v>76.415000000000006</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39</v>
      </c>
      <c r="C48" s="77">
        <f t="shared" si="6"/>
        <v>132.60000000000002</v>
      </c>
      <c r="D48" s="77">
        <f t="shared" si="7"/>
        <v>63.705836999999995</v>
      </c>
      <c r="E48" s="77">
        <f t="shared" si="8"/>
        <v>8.0361450000000012</v>
      </c>
      <c r="F48" s="77">
        <f t="shared" si="9"/>
        <v>11.121864</v>
      </c>
      <c r="G48" s="77">
        <f t="shared" si="12"/>
        <v>0.12909000000000001</v>
      </c>
      <c r="H48" s="77">
        <f t="shared" si="12"/>
        <v>0.71760000000000002</v>
      </c>
      <c r="I48" s="77">
        <f t="shared" si="12"/>
        <v>1.95E-2</v>
      </c>
      <c r="J48" s="77">
        <f t="shared" si="12"/>
        <v>4.6799999999999999E-4</v>
      </c>
      <c r="K48" s="77">
        <f t="shared" si="12"/>
        <v>1.9500000000000001E-3</v>
      </c>
      <c r="L48" s="77">
        <f t="shared" si="12"/>
        <v>5.2260000000000001E-2</v>
      </c>
      <c r="M48" s="77">
        <f t="shared" si="12"/>
        <v>3.5217000000000005E-2</v>
      </c>
      <c r="N48" s="77">
        <f t="shared" si="12"/>
        <v>0</v>
      </c>
      <c r="O48" s="77">
        <f t="shared" si="12"/>
        <v>0</v>
      </c>
      <c r="P48" s="77">
        <f t="shared" si="12"/>
        <v>33.500999999999998</v>
      </c>
      <c r="Q48" s="77">
        <f t="shared" si="10"/>
        <v>51.3825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39</v>
      </c>
      <c r="C49" s="77">
        <f t="shared" si="6"/>
        <v>132.60000000000002</v>
      </c>
      <c r="D49" s="77">
        <f t="shared" si="7"/>
        <v>63.705836999999995</v>
      </c>
      <c r="E49" s="77">
        <f t="shared" si="8"/>
        <v>8.0361450000000012</v>
      </c>
      <c r="F49" s="77">
        <f t="shared" si="9"/>
        <v>11.121864</v>
      </c>
      <c r="G49" s="77">
        <f t="shared" si="12"/>
        <v>0.12909000000000001</v>
      </c>
      <c r="H49" s="77">
        <f t="shared" si="12"/>
        <v>0.71760000000000002</v>
      </c>
      <c r="I49" s="77">
        <f t="shared" si="12"/>
        <v>1.95E-2</v>
      </c>
      <c r="J49" s="77">
        <f t="shared" si="12"/>
        <v>4.6799999999999999E-4</v>
      </c>
      <c r="K49" s="77">
        <f t="shared" si="12"/>
        <v>1.9500000000000001E-3</v>
      </c>
      <c r="L49" s="77">
        <f t="shared" si="12"/>
        <v>5.2260000000000001E-2</v>
      </c>
      <c r="M49" s="77">
        <f t="shared" si="12"/>
        <v>3.5217000000000005E-2</v>
      </c>
      <c r="N49" s="77">
        <f t="shared" si="12"/>
        <v>0</v>
      </c>
      <c r="O49" s="77">
        <f t="shared" si="12"/>
        <v>0</v>
      </c>
      <c r="P49" s="77">
        <f t="shared" si="12"/>
        <v>33.500999999999998</v>
      </c>
      <c r="Q49" s="77">
        <f t="shared" si="10"/>
        <v>51.3825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39</v>
      </c>
      <c r="C50" s="98">
        <f t="shared" si="6"/>
        <v>132.60000000000002</v>
      </c>
      <c r="D50" s="98">
        <f t="shared" si="7"/>
        <v>63.705836999999995</v>
      </c>
      <c r="E50" s="98">
        <f t="shared" si="8"/>
        <v>8.0361450000000012</v>
      </c>
      <c r="F50" s="98">
        <f t="shared" si="9"/>
        <v>11.121864</v>
      </c>
      <c r="G50" s="98">
        <f t="shared" si="12"/>
        <v>0.12909000000000001</v>
      </c>
      <c r="H50" s="98">
        <f t="shared" si="12"/>
        <v>0.71760000000000002</v>
      </c>
      <c r="I50" s="98">
        <f t="shared" si="12"/>
        <v>1.95E-2</v>
      </c>
      <c r="J50" s="98">
        <f t="shared" si="12"/>
        <v>4.6799999999999999E-4</v>
      </c>
      <c r="K50" s="98">
        <f t="shared" si="12"/>
        <v>1.9500000000000001E-3</v>
      </c>
      <c r="L50" s="98">
        <f t="shared" si="12"/>
        <v>5.2260000000000001E-2</v>
      </c>
      <c r="M50" s="98">
        <f t="shared" si="12"/>
        <v>3.5217000000000005E-2</v>
      </c>
      <c r="N50" s="98">
        <f t="shared" si="12"/>
        <v>0</v>
      </c>
      <c r="O50" s="98">
        <f t="shared" si="12"/>
        <v>0</v>
      </c>
      <c r="P50" s="98">
        <f t="shared" si="12"/>
        <v>33.500999999999998</v>
      </c>
      <c r="Q50" s="98">
        <f t="shared" si="10"/>
        <v>51.3825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Grass</v>
      </c>
      <c r="H58" s="13" t="str">
        <f>I16&amp;" I "&amp;(VLOOKUP(I14,Table24581112[],6,FALSE))</f>
        <v>Medium/Clay I Arable</v>
      </c>
      <c r="I58" s="13" t="str">
        <f>J16&amp;" I "&amp;(VLOOKUP(J14,Table24581112[],6,FALSE))</f>
        <v>Medium/Clay I Arable</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x14ac:dyDescent="0.2">
      <c r="A59" s="111" t="s">
        <v>132</v>
      </c>
      <c r="B59" s="76">
        <f>VLOOKUP(C$14,Table24581112[],5,FALSE)</f>
        <v>6.2</v>
      </c>
      <c r="C59" s="76">
        <f>VLOOKUP(D$14,Table24581112[],5,FALSE)</f>
        <v>6.2</v>
      </c>
      <c r="D59" s="76">
        <f>VLOOKUP(E$14,Table24581112[],5,FALSE)</f>
        <v>6.2</v>
      </c>
      <c r="E59" s="76">
        <f>VLOOKUP(F$14,Table24581112[],5,FALSE)</f>
        <v>6.2</v>
      </c>
      <c r="F59" s="76">
        <f>VLOOKUP(G$14,Table24581112[],5,FALSE)</f>
        <v>6.7</v>
      </c>
      <c r="G59" s="76">
        <f>VLOOKUP(H$14,Table24581112[],5,FALSE)</f>
        <v>6.2</v>
      </c>
      <c r="H59" s="76">
        <f>VLOOKUP(I$14,Table24581112[],5,FALSE)</f>
        <v>6.7</v>
      </c>
      <c r="I59" s="76">
        <f>VLOOKUP(J$14,Table24581112[],5,FALSE)</f>
        <v>6.7</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39</v>
      </c>
      <c r="C62" s="77">
        <f>B32</f>
        <v>39</v>
      </c>
      <c r="D62" s="77">
        <f>B33</f>
        <v>39</v>
      </c>
      <c r="E62" s="77">
        <f>B34</f>
        <v>39</v>
      </c>
      <c r="F62" s="77">
        <f>B35</f>
        <v>34</v>
      </c>
      <c r="G62" s="77">
        <f>B36</f>
        <v>39</v>
      </c>
      <c r="H62" s="77">
        <f>B37</f>
        <v>34</v>
      </c>
      <c r="I62" s="77">
        <f>B38</f>
        <v>34</v>
      </c>
      <c r="J62" s="77">
        <f>B39</f>
        <v>39</v>
      </c>
      <c r="K62" s="77">
        <f>B40</f>
        <v>39</v>
      </c>
      <c r="L62" s="77">
        <f>B41</f>
        <v>39</v>
      </c>
      <c r="M62" s="77">
        <f>B42</f>
        <v>39</v>
      </c>
      <c r="N62" s="77">
        <f>B43</f>
        <v>39</v>
      </c>
      <c r="O62" s="77">
        <f>B44</f>
        <v>39</v>
      </c>
      <c r="P62" s="77">
        <f>B45</f>
        <v>39</v>
      </c>
      <c r="Q62" s="77">
        <f>B46</f>
        <v>39</v>
      </c>
      <c r="R62" s="77">
        <f>B47</f>
        <v>58</v>
      </c>
      <c r="S62" s="77">
        <f>B48</f>
        <v>39</v>
      </c>
      <c r="T62" s="77">
        <f>B49</f>
        <v>39</v>
      </c>
      <c r="U62" s="77">
        <f>B50</f>
        <v>39</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8" priority="38" operator="equal">
      <formula>"DECREASE"</formula>
    </cfRule>
    <cfRule type="cellIs" dxfId="297" priority="39" operator="equal">
      <formula>"INCREASE"</formula>
    </cfRule>
  </conditionalFormatting>
  <conditionalFormatting sqref="B62:U66">
    <cfRule type="cellIs" dxfId="296" priority="37" operator="greaterThan">
      <formula>$B$51</formula>
    </cfRule>
  </conditionalFormatting>
  <conditionalFormatting sqref="C31:C50">
    <cfRule type="cellIs" dxfId="295" priority="36" operator="greaterThan">
      <formula>$C$51</formula>
    </cfRule>
  </conditionalFormatting>
  <conditionalFormatting sqref="C18:V18">
    <cfRule type="cellIs" dxfId="294" priority="35" operator="equal">
      <formula>0</formula>
    </cfRule>
  </conditionalFormatting>
  <conditionalFormatting sqref="C17:V17">
    <cfRule type="cellIs" dxfId="293" priority="34" operator="equal">
      <formula>0</formula>
    </cfRule>
  </conditionalFormatting>
  <conditionalFormatting sqref="C19:V19">
    <cfRule type="cellIs" dxfId="292" priority="33" operator="equal">
      <formula>0</formula>
    </cfRule>
  </conditionalFormatting>
  <conditionalFormatting sqref="G31:G50">
    <cfRule type="cellIs" dxfId="291" priority="32" operator="greaterThan">
      <formula>$G$51</formula>
    </cfRule>
  </conditionalFormatting>
  <conditionalFormatting sqref="H31:H50">
    <cfRule type="cellIs" dxfId="290" priority="31" operator="greaterThan">
      <formula>$H$51</formula>
    </cfRule>
  </conditionalFormatting>
  <conditionalFormatting sqref="I31:I50">
    <cfRule type="cellIs" dxfId="289" priority="30" operator="greaterThan">
      <formula>$I$51</formula>
    </cfRule>
  </conditionalFormatting>
  <conditionalFormatting sqref="K31:K50">
    <cfRule type="cellIs" dxfId="288" priority="29" operator="greaterThan">
      <formula>$K$51</formula>
    </cfRule>
  </conditionalFormatting>
  <conditionalFormatting sqref="L31:L50">
    <cfRule type="cellIs" dxfId="287" priority="28" operator="greaterThan">
      <formula>$L$51</formula>
    </cfRule>
  </conditionalFormatting>
  <conditionalFormatting sqref="M31:M50">
    <cfRule type="cellIs" dxfId="286" priority="27" operator="greaterThan">
      <formula>$M$51</formula>
    </cfRule>
  </conditionalFormatting>
  <conditionalFormatting sqref="P31:P50">
    <cfRule type="cellIs" dxfId="285" priority="26" operator="greaterThan">
      <formula>$P$51</formula>
    </cfRule>
  </conditionalFormatting>
  <conditionalFormatting sqref="R31:R50">
    <cfRule type="cellIs" dxfId="284" priority="25" operator="greaterThan">
      <formula>$R$51</formula>
    </cfRule>
  </conditionalFormatting>
  <conditionalFormatting sqref="S31:S50">
    <cfRule type="cellIs" dxfId="283" priority="24" operator="greaterThan">
      <formula>$S$51</formula>
    </cfRule>
  </conditionalFormatting>
  <conditionalFormatting sqref="T31:T50">
    <cfRule type="cellIs" dxfId="282" priority="23" operator="greaterThan">
      <formula>$T$51</formula>
    </cfRule>
  </conditionalFormatting>
  <conditionalFormatting sqref="U31:U50">
    <cfRule type="cellIs" dxfId="281" priority="22" operator="greaterThan">
      <formula>$U$51</formula>
    </cfRule>
  </conditionalFormatting>
  <conditionalFormatting sqref="C22:V22">
    <cfRule type="cellIs" dxfId="280" priority="21" operator="equal">
      <formula>0</formula>
    </cfRule>
  </conditionalFormatting>
  <conditionalFormatting sqref="C24:V24">
    <cfRule type="cellIs" dxfId="279" priority="19" operator="equal">
      <formula>"DECREASE"</formula>
    </cfRule>
    <cfRule type="cellIs" dxfId="278" priority="20" operator="equal">
      <formula>"INCREASE"</formula>
    </cfRule>
  </conditionalFormatting>
  <conditionalFormatting sqref="C23:V23">
    <cfRule type="cellIs" dxfId="277" priority="18" operator="equal">
      <formula>0</formula>
    </cfRule>
  </conditionalFormatting>
  <conditionalFormatting sqref="C21:V21">
    <cfRule type="cellIs" dxfId="276" priority="14" operator="equal">
      <formula>0</formula>
    </cfRule>
  </conditionalFormatting>
  <conditionalFormatting sqref="B66:U66">
    <cfRule type="cellIs" dxfId="275" priority="12" operator="equal">
      <formula>"UNDER"</formula>
    </cfRule>
    <cfRule type="cellIs" dxfId="274" priority="13" operator="equal">
      <formula>"OVER"</formula>
    </cfRule>
  </conditionalFormatting>
  <conditionalFormatting sqref="J31:J50">
    <cfRule type="cellIs" dxfId="273" priority="9" operator="greaterThan">
      <formula>$J$51</formula>
    </cfRule>
  </conditionalFormatting>
  <conditionalFormatting sqref="L3">
    <cfRule type="cellIs" dxfId="272" priority="5" operator="lessThan">
      <formula>30</formula>
    </cfRule>
    <cfRule type="cellIs" dxfId="271" priority="6" operator="greaterThanOrEqual">
      <formula>30</formula>
    </cfRule>
  </conditionalFormatting>
  <conditionalFormatting sqref="I1">
    <cfRule type="cellIs" dxfId="270" priority="4" operator="between">
      <formula>0.1</formula>
      <formula>5</formula>
    </cfRule>
  </conditionalFormatting>
  <conditionalFormatting sqref="I2">
    <cfRule type="cellIs" dxfId="269" priority="3" operator="greaterThan">
      <formula>5000.1</formula>
    </cfRule>
  </conditionalFormatting>
  <conditionalFormatting sqref="I3">
    <cfRule type="cellIs" dxfId="268" priority="2" operator="greaterThan">
      <formula>40000.01</formula>
    </cfRule>
  </conditionalFormatting>
  <conditionalFormatting sqref="B31:B50">
    <cfRule type="cellIs" dxfId="267" priority="1" operator="greaterThan">
      <formula>$B$51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J3" sqref="J3:K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9" t="s">
        <v>41</v>
      </c>
      <c r="B1" s="129"/>
      <c r="C1" s="142" t="str">
        <f>Secanim!C1:D1</f>
        <v>PAN-022524</v>
      </c>
      <c r="D1" s="143"/>
      <c r="E1" s="93" t="s">
        <v>45</v>
      </c>
      <c r="F1" s="39">
        <f>Secanim!F1</f>
        <v>48.6</v>
      </c>
      <c r="G1" s="125" t="s">
        <v>43</v>
      </c>
      <c r="H1" s="126"/>
      <c r="I1" s="118">
        <v>7.01</v>
      </c>
      <c r="J1" s="129" t="s">
        <v>153</v>
      </c>
      <c r="K1" s="129"/>
      <c r="L1" s="97">
        <v>3165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173</v>
      </c>
      <c r="G2" s="127" t="s">
        <v>110</v>
      </c>
      <c r="H2" s="128"/>
      <c r="I2" s="118">
        <v>508</v>
      </c>
      <c r="J2" s="129" t="s">
        <v>158</v>
      </c>
      <c r="K2" s="129"/>
      <c r="L2" s="97">
        <v>7.45</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c r="J3" s="125" t="s">
        <v>154</v>
      </c>
      <c r="K3" s="126"/>
      <c r="L3" s="97">
        <f>(L1/(L2*10000))*100</f>
        <v>4.2483221476510069</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t="s">
        <v>172</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61.550354231999989</v>
      </c>
      <c r="D18" s="16">
        <f>$D32</f>
        <v>61.550354231999989</v>
      </c>
      <c r="E18" s="16">
        <f>$D33</f>
        <v>61.550354231999989</v>
      </c>
      <c r="F18" s="16">
        <f>$D34</f>
        <v>61.550354231999989</v>
      </c>
      <c r="G18" s="16">
        <f>$D35</f>
        <v>51.831877247999991</v>
      </c>
      <c r="H18" s="16">
        <f>$D36</f>
        <v>61.550354231999989</v>
      </c>
      <c r="I18" s="16">
        <f>$D37</f>
        <v>51.831877247999991</v>
      </c>
      <c r="J18" s="16">
        <f>$D38</f>
        <v>51.831877247999991</v>
      </c>
      <c r="K18" s="16">
        <f>$D39</f>
        <v>61.550354231999989</v>
      </c>
      <c r="L18" s="16">
        <f>$D40</f>
        <v>61.550354231999989</v>
      </c>
      <c r="M18" s="16">
        <f>$D41</f>
        <v>61.550354231999989</v>
      </c>
      <c r="N18" s="16">
        <f>$D42</f>
        <v>61.550354231999989</v>
      </c>
      <c r="O18" s="16">
        <f>$D43</f>
        <v>61.550354231999989</v>
      </c>
      <c r="P18" s="16">
        <f>$D44</f>
        <v>61.550354231999989</v>
      </c>
      <c r="Q18" s="16">
        <f>$D45</f>
        <v>61.550354231999989</v>
      </c>
      <c r="R18" s="16">
        <f>$D46</f>
        <v>61.550354231999989</v>
      </c>
      <c r="S18" s="16">
        <f>$D47</f>
        <v>93.945277511999976</v>
      </c>
      <c r="T18" s="16">
        <f>$D48</f>
        <v>61.550354231999989</v>
      </c>
      <c r="U18" s="16">
        <f>$D49</f>
        <v>61.550354231999989</v>
      </c>
      <c r="V18" s="25">
        <f>$D50</f>
        <v>61.550354231999989</v>
      </c>
      <c r="AD18" s="52" t="s">
        <v>147</v>
      </c>
      <c r="AE18" s="30">
        <v>16</v>
      </c>
      <c r="AI18" s="48" t="s">
        <v>106</v>
      </c>
      <c r="AJ18" s="49">
        <v>5.9</v>
      </c>
      <c r="AK18" s="50">
        <v>18</v>
      </c>
      <c r="AL18" s="51">
        <v>16</v>
      </c>
      <c r="AM18" s="11">
        <v>6.2</v>
      </c>
      <c r="AN18" s="11" t="s">
        <v>112</v>
      </c>
    </row>
    <row r="19" spans="1:40" x14ac:dyDescent="0.2">
      <c r="A19" s="133" t="s">
        <v>90</v>
      </c>
      <c r="B19" s="134"/>
      <c r="C19" s="16">
        <f>C18-C17</f>
        <v>-3.0496457680000049</v>
      </c>
      <c r="D19" s="16">
        <f t="shared" ref="D19:V19" si="1">D18-D17</f>
        <v>-3.0496457680000049</v>
      </c>
      <c r="E19" s="16">
        <f t="shared" si="1"/>
        <v>-3.0496457680000049</v>
      </c>
      <c r="F19" s="16">
        <f t="shared" si="1"/>
        <v>-3.0496457680000049</v>
      </c>
      <c r="G19" s="16">
        <f t="shared" si="1"/>
        <v>-4.1681227520000093</v>
      </c>
      <c r="H19" s="16">
        <f t="shared" si="1"/>
        <v>-3.0496457680000049</v>
      </c>
      <c r="I19" s="16">
        <f t="shared" si="1"/>
        <v>-4.1681227520000093</v>
      </c>
      <c r="J19" s="16">
        <f t="shared" si="1"/>
        <v>-4.1681227520000093</v>
      </c>
      <c r="K19" s="16">
        <f t="shared" si="1"/>
        <v>-3.0496457680000049</v>
      </c>
      <c r="L19" s="16">
        <f t="shared" si="1"/>
        <v>-3.0496457680000049</v>
      </c>
      <c r="M19" s="16">
        <f t="shared" si="1"/>
        <v>-3.0496457680000049</v>
      </c>
      <c r="N19" s="16">
        <f t="shared" si="1"/>
        <v>-3.0496457680000049</v>
      </c>
      <c r="O19" s="16">
        <f t="shared" si="1"/>
        <v>-3.0496457680000049</v>
      </c>
      <c r="P19" s="16">
        <f t="shared" si="1"/>
        <v>-3.0496457680000049</v>
      </c>
      <c r="Q19" s="16">
        <f t="shared" si="1"/>
        <v>-3.0496457680000049</v>
      </c>
      <c r="R19" s="16">
        <f t="shared" si="1"/>
        <v>-3.0496457680000049</v>
      </c>
      <c r="S19" s="16">
        <f t="shared" si="1"/>
        <v>29.345277511999981</v>
      </c>
      <c r="T19" s="16">
        <f t="shared" si="1"/>
        <v>-3.0496457680000049</v>
      </c>
      <c r="U19" s="16">
        <f t="shared" si="1"/>
        <v>-3.0496457680000049</v>
      </c>
      <c r="V19" s="25">
        <f t="shared" si="1"/>
        <v>-3.0496457680000049</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INCREASE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14.057896320000001</v>
      </c>
      <c r="D22" s="16">
        <f>$E32</f>
        <v>14.057896320000001</v>
      </c>
      <c r="E22" s="16">
        <f>$E33</f>
        <v>14.057896320000001</v>
      </c>
      <c r="F22" s="16">
        <f>$E34</f>
        <v>14.057896320000001</v>
      </c>
      <c r="G22" s="16">
        <f>$E35</f>
        <v>11.838228480000001</v>
      </c>
      <c r="H22" s="16">
        <f>$E36</f>
        <v>14.057896320000001</v>
      </c>
      <c r="I22" s="16">
        <f>$E37</f>
        <v>11.838228480000001</v>
      </c>
      <c r="J22" s="16">
        <f>$E38</f>
        <v>11.838228480000001</v>
      </c>
      <c r="K22" s="16">
        <f>$E39</f>
        <v>14.057896320000001</v>
      </c>
      <c r="L22" s="16">
        <f>$E40</f>
        <v>14.057896320000001</v>
      </c>
      <c r="M22" s="16">
        <f>$E41</f>
        <v>14.057896320000001</v>
      </c>
      <c r="N22" s="16">
        <f>$E42</f>
        <v>14.057896320000001</v>
      </c>
      <c r="O22" s="16">
        <f>$E43</f>
        <v>14.057896320000001</v>
      </c>
      <c r="P22" s="16">
        <f>$E44</f>
        <v>14.057896320000001</v>
      </c>
      <c r="Q22" s="16">
        <f>$E45</f>
        <v>14.057896320000001</v>
      </c>
      <c r="R22" s="16">
        <f>$E46</f>
        <v>14.057896320000001</v>
      </c>
      <c r="S22" s="16">
        <f>$E47</f>
        <v>21.456789120000003</v>
      </c>
      <c r="T22" s="16">
        <f>$E48</f>
        <v>14.057896320000001</v>
      </c>
      <c r="U22" s="16">
        <f>$E49</f>
        <v>14.057896320000001</v>
      </c>
      <c r="V22" s="16">
        <f>$E50</f>
        <v>14.057896320000001</v>
      </c>
      <c r="AI22" s="63" t="s">
        <v>102</v>
      </c>
      <c r="AJ22" s="64">
        <v>1.2</v>
      </c>
      <c r="AK22" s="65">
        <v>5</v>
      </c>
      <c r="AL22" s="29">
        <v>20</v>
      </c>
      <c r="AM22" s="11">
        <v>6.7</v>
      </c>
      <c r="AN22" s="11" t="s">
        <v>135</v>
      </c>
    </row>
    <row r="23" spans="1:40" x14ac:dyDescent="0.2">
      <c r="A23" s="133" t="s">
        <v>92</v>
      </c>
      <c r="B23" s="134"/>
      <c r="C23" s="16">
        <f>C22-C21</f>
        <v>-213.94210368</v>
      </c>
      <c r="D23" s="16">
        <f t="shared" ref="D23:V23" si="3">D22-D21</f>
        <v>-213.94210368</v>
      </c>
      <c r="E23" s="16">
        <f t="shared" si="3"/>
        <v>-213.94210368</v>
      </c>
      <c r="F23" s="16">
        <f t="shared" si="3"/>
        <v>-213.94210368</v>
      </c>
      <c r="G23" s="16">
        <f t="shared" si="3"/>
        <v>-164.16177152</v>
      </c>
      <c r="H23" s="16">
        <f t="shared" si="3"/>
        <v>-213.94210368</v>
      </c>
      <c r="I23" s="16">
        <f t="shared" si="3"/>
        <v>-164.16177152</v>
      </c>
      <c r="J23" s="16">
        <f t="shared" si="3"/>
        <v>-164.16177152</v>
      </c>
      <c r="K23" s="16">
        <f t="shared" si="3"/>
        <v>-213.94210368</v>
      </c>
      <c r="L23" s="16">
        <f t="shared" si="3"/>
        <v>-213.94210368</v>
      </c>
      <c r="M23" s="16">
        <f t="shared" si="3"/>
        <v>-213.94210368</v>
      </c>
      <c r="N23" s="16">
        <f t="shared" si="3"/>
        <v>-213.94210368</v>
      </c>
      <c r="O23" s="16">
        <f t="shared" si="3"/>
        <v>-213.94210368</v>
      </c>
      <c r="P23" s="16">
        <f t="shared" si="3"/>
        <v>-213.94210368</v>
      </c>
      <c r="Q23" s="16">
        <f t="shared" si="3"/>
        <v>-213.94210368</v>
      </c>
      <c r="R23" s="16">
        <f t="shared" si="3"/>
        <v>-213.94210368</v>
      </c>
      <c r="S23" s="16">
        <f t="shared" si="3"/>
        <v>-206.54321088</v>
      </c>
      <c r="T23" s="16">
        <f t="shared" si="3"/>
        <v>-213.94210368</v>
      </c>
      <c r="U23" s="16">
        <f t="shared" si="3"/>
        <v>-213.94210368</v>
      </c>
      <c r="V23" s="16">
        <f t="shared" si="3"/>
        <v>-213.94210368</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57</v>
      </c>
      <c r="D27" s="107" t="s">
        <v>55</v>
      </c>
      <c r="E27" s="107" t="s">
        <v>55</v>
      </c>
      <c r="F27" s="107" t="s">
        <v>55</v>
      </c>
      <c r="G27" s="107" t="s">
        <v>55</v>
      </c>
      <c r="H27" s="107" t="s">
        <v>55</v>
      </c>
      <c r="I27" s="107" t="s">
        <v>55</v>
      </c>
      <c r="J27" s="107" t="s">
        <v>55</v>
      </c>
      <c r="K27" s="107" t="s">
        <v>55</v>
      </c>
      <c r="L27" s="107" t="s">
        <v>55</v>
      </c>
      <c r="M27" s="107" t="s">
        <v>55</v>
      </c>
      <c r="N27" s="107"/>
      <c r="O27" s="107"/>
      <c r="P27" s="107" t="s">
        <v>55</v>
      </c>
      <c r="Q27" s="107" t="s">
        <v>55</v>
      </c>
      <c r="R27" s="107"/>
      <c r="S27" s="107"/>
      <c r="T27" s="107"/>
      <c r="U27" s="107"/>
    </row>
    <row r="28" spans="1:40" s="57" customFormat="1" x14ac:dyDescent="0.25">
      <c r="A28" s="108"/>
      <c r="B28" s="24">
        <v>8.1999999999999993</v>
      </c>
      <c r="C28" s="15">
        <v>7.45</v>
      </c>
      <c r="D28" s="15">
        <v>17244</v>
      </c>
      <c r="E28" s="15">
        <v>7488</v>
      </c>
      <c r="F28" s="15">
        <v>2520</v>
      </c>
      <c r="G28" s="15">
        <v>23.9</v>
      </c>
      <c r="H28" s="15">
        <v>177</v>
      </c>
      <c r="I28" s="15">
        <v>2.33</v>
      </c>
      <c r="J28" s="15">
        <v>0.1</v>
      </c>
      <c r="K28" s="23">
        <v>0.1</v>
      </c>
      <c r="L28" s="15">
        <v>16.3</v>
      </c>
      <c r="M28" s="15">
        <v>42.4</v>
      </c>
      <c r="N28" s="15"/>
      <c r="O28" s="15"/>
      <c r="P28" s="15">
        <v>10617</v>
      </c>
      <c r="Q28" s="15">
        <v>18593</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19</v>
      </c>
      <c r="C31" s="77">
        <f>IF(C$27="%w/w SAR",((C$28*10)*$B31),IF(C$27="%w/w DM",(((C$28*10)*($B$28/100))*$B31),IF(C$27="kg/t SAR",(C$28*$B31),IF(C$27="kg/t DM",((C$28*($B$28/100))*$B31),IF(C$27="mg/kg SAR",((C$28*0.001)*$B31),IF(C$27="mg/kg DM",(((C$28*0.001)*($B$28/100))*$B31),0))))))</f>
        <v>116.07099999999998</v>
      </c>
      <c r="D31" s="77">
        <f>(IF(D$27="%w/w SAR",((D$28*10)*$B31),IF(D$27="%w/w DM",(((D$28*10)*($B$28/100))*$B31),IF(D$27="kg/t SAR",(D$28*$B31),IF(D$27="kg/t DM",((D$28*($B$28/100))*$B31),IF(D$27="mg/kg SAR",((D$28*0.001)*$B31),IF(D$27="mg/kg DM",(((D$28*0.001)*($B$28/100))*$B31),"0")))))))*2.291</f>
        <v>61.550354231999989</v>
      </c>
      <c r="E31" s="77">
        <f>(IF(E$27="%w/w SAR",((E$28*10)*$B31),IF(E$27="%w/w DM",(((E$28*10)*($B$28/100))*$B31),IF(E$27="kg/t SAR",(E$28*$B31),IF(E$27="kg/t DM",((E$28*($B$28/100))*$B31),IF(E$27="mg/kg SAR",((E$28*0.001)*$B31),IF(E$27="mg/kg DM",(((E$28*0.001)*($B$28/100))*$B31),"0")))))))*1.205</f>
        <v>14.057896320000001</v>
      </c>
      <c r="F31" s="77">
        <f>(IF(F$27="%w/w SAR",((F$28*10)*$B31),IF(F$27="%w/w DM",(((F$28*10)*($B$28/100))*$B31),IF(F$27="kg/t SAR",(F$28*$B31),IF(F$27="kg/t DM",((F$28*($B$28/100))*$B31),IF(F$27="mg/kg SAR",((F$28*0.001)*$B31),IF(F$27="mg/kg DM",(((F$28*0.001)*($B$28/100))*$B31),"0")))))))*1.658</f>
        <v>6.5095732799999988</v>
      </c>
      <c r="G31" s="77">
        <f t="shared" ref="G31:P46" si="5">IF(G$27="%w/w SAR",((G$28*10)*$B31),IF(G$27="%w/w DM",(((G$28*10)*($B$28/100))*$B31),IF(G$27="kg/t SAR",(G$28*$B31),IF(G$27="kg/t DM",((G$28*($B$28/100))*$B31),IF(G$27="mg/kg SAR",((G$28*0.001)*$B31),IF(G$27="mg/kg DM",(((G$28*0.001)*($B$28/100))*$B31),0))))))</f>
        <v>3.723619999999999E-2</v>
      </c>
      <c r="H31" s="77">
        <f t="shared" si="5"/>
        <v>0.27576599999999996</v>
      </c>
      <c r="I31" s="77">
        <f t="shared" si="5"/>
        <v>3.6301399999999996E-3</v>
      </c>
      <c r="J31" s="77">
        <f t="shared" si="5"/>
        <v>1.5579999999999999E-4</v>
      </c>
      <c r="K31" s="77">
        <f t="shared" si="5"/>
        <v>1.5579999999999999E-4</v>
      </c>
      <c r="L31" s="77">
        <f t="shared" si="5"/>
        <v>2.5395400000000002E-2</v>
      </c>
      <c r="M31" s="77">
        <f t="shared" si="5"/>
        <v>6.6059199999999985E-2</v>
      </c>
      <c r="N31" s="77">
        <f t="shared" si="5"/>
        <v>0</v>
      </c>
      <c r="O31" s="77">
        <f t="shared" si="5"/>
        <v>0</v>
      </c>
      <c r="P31" s="77">
        <f t="shared" si="5"/>
        <v>16.541285999999999</v>
      </c>
      <c r="Q31" s="77">
        <f>(IF(Q$27="%w/w SAR",((Q$28*10)*$B31),IF(Q$27="%w/w DM",(((Q$28*10)*($B$28/100))*$B31),IF(Q$27="kg/t SAR",(Q$28*$B31),IF(Q$27="kg/t DM",((Q$28*($B$28/100))*$B31),IF(Q$27="mg/kg SAR",((Q$28*0.001)*$B31),IF(Q$27="mg/kg DM",(((Q$28*0.001)*($B$28/100))*$B31),0)))))))*2.5</f>
        <v>72.419734999999989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19</v>
      </c>
      <c r="C32" s="77">
        <f t="shared" ref="C32:C50" si="6">IF(C$27="%w/w SAR",((C$28*10)*$B32),IF(C$27="%w/w DM",(((C$28*10)*($B$28/100))*$B32),IF(C$27="kg/t SAR",(C$28*$B32),IF(C$27="kg/t DM",((C$28*($B$28/100))*$B32),IF(C$27="mg/kg SAR",((C$28*0.001)*$B32),IF(C$27="mg/kg DM",(((C$28*0.001)*($B$28/100))*$B32),0))))))</f>
        <v>116.07099999999998</v>
      </c>
      <c r="D32" s="77">
        <f t="shared" ref="D32:D50" si="7">(IF(D$27="%w/w SAR",((D$28*10)*$B32),IF(D$27="%w/w DM",(((D$28*10)*($B$28/100))*$B32),IF(D$27="kg/t SAR",(D$28*$B32),IF(D$27="kg/t DM",((D$28*($B$28/100))*$B32),IF(D$27="mg/kg SAR",((D$28*0.001)*$B32),IF(D$27="mg/kg DM",(((D$28*0.001)*($B$28/100))*$B32),"0")))))))*2.291</f>
        <v>61.550354231999989</v>
      </c>
      <c r="E32" s="77">
        <f t="shared" ref="E32:E50" si="8">(IF(E$27="%w/w SAR",((E$28*10)*$B32),IF(E$27="%w/w DM",(((E$28*10)*($B$28/100))*$B32),IF(E$27="kg/t SAR",(E$28*$B32),IF(E$27="kg/t DM",((E$28*($B$28/100))*$B32),IF(E$27="mg/kg SAR",((E$28*0.001)*$B32),IF(E$27="mg/kg DM",(((E$28*0.001)*($B$28/100))*$B32),"0")))))))*1.205</f>
        <v>14.057896320000001</v>
      </c>
      <c r="F32" s="77">
        <f t="shared" ref="F32:F50" si="9">(IF(F$27="%w/w SAR",((F$28*10)*$B32),IF(F$27="%w/w DM",(((F$28*10)*($B$28/100))*$B32),IF(F$27="kg/t SAR",(F$28*$B32),IF(F$27="kg/t DM",((F$28*($B$28/100))*$B32),IF(F$27="mg/kg SAR",((F$28*0.001)*$B32),IF(F$27="mg/kg DM",(((F$28*0.001)*($B$28/100))*$B32),"0")))))))*1.658</f>
        <v>6.5095732799999988</v>
      </c>
      <c r="G32" s="77">
        <f t="shared" si="5"/>
        <v>3.723619999999999E-2</v>
      </c>
      <c r="H32" s="77">
        <f t="shared" si="5"/>
        <v>0.27576599999999996</v>
      </c>
      <c r="I32" s="77">
        <f t="shared" si="5"/>
        <v>3.6301399999999996E-3</v>
      </c>
      <c r="J32" s="77">
        <f t="shared" si="5"/>
        <v>1.5579999999999999E-4</v>
      </c>
      <c r="K32" s="77">
        <f t="shared" si="5"/>
        <v>1.5579999999999999E-4</v>
      </c>
      <c r="L32" s="77">
        <f t="shared" si="5"/>
        <v>2.5395400000000002E-2</v>
      </c>
      <c r="M32" s="77">
        <f t="shared" si="5"/>
        <v>6.6059199999999985E-2</v>
      </c>
      <c r="N32" s="77">
        <f t="shared" si="5"/>
        <v>0</v>
      </c>
      <c r="O32" s="77">
        <f t="shared" si="5"/>
        <v>0</v>
      </c>
      <c r="P32" s="77">
        <f t="shared" si="5"/>
        <v>16.541285999999999</v>
      </c>
      <c r="Q32" s="77">
        <f t="shared" ref="Q32:Q50" si="10">(IF(Q$27="%w/w SAR",((Q$28*10)*$B32),IF(Q$27="%w/w DM",(((Q$28*10)*($B$28/100))*$B32),IF(Q$27="kg/t SAR",(Q$28*$B32),IF(Q$27="kg/t DM",((Q$28*($B$28/100))*$B32),IF(Q$27="mg/kg SAR",((Q$28*0.001)*$B32),IF(Q$27="mg/kg DM",(((Q$28*0.001)*($B$28/100))*$B32),0)))))))*2.5</f>
        <v>72.419734999999989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19</v>
      </c>
      <c r="C33" s="77">
        <f t="shared" si="6"/>
        <v>116.07099999999998</v>
      </c>
      <c r="D33" s="77">
        <f t="shared" si="7"/>
        <v>61.550354231999989</v>
      </c>
      <c r="E33" s="77">
        <f t="shared" si="8"/>
        <v>14.057896320000001</v>
      </c>
      <c r="F33" s="77">
        <f t="shared" si="9"/>
        <v>6.5095732799999988</v>
      </c>
      <c r="G33" s="77">
        <f t="shared" si="5"/>
        <v>3.723619999999999E-2</v>
      </c>
      <c r="H33" s="77">
        <f t="shared" si="5"/>
        <v>0.27576599999999996</v>
      </c>
      <c r="I33" s="77">
        <f t="shared" si="5"/>
        <v>3.6301399999999996E-3</v>
      </c>
      <c r="J33" s="77">
        <f t="shared" si="5"/>
        <v>1.5579999999999999E-4</v>
      </c>
      <c r="K33" s="77">
        <f t="shared" si="5"/>
        <v>1.5579999999999999E-4</v>
      </c>
      <c r="L33" s="77">
        <f t="shared" si="5"/>
        <v>2.5395400000000002E-2</v>
      </c>
      <c r="M33" s="77">
        <f t="shared" si="5"/>
        <v>6.6059199999999985E-2</v>
      </c>
      <c r="N33" s="77">
        <f t="shared" si="5"/>
        <v>0</v>
      </c>
      <c r="O33" s="77">
        <f t="shared" si="5"/>
        <v>0</v>
      </c>
      <c r="P33" s="77">
        <f t="shared" si="5"/>
        <v>16.541285999999999</v>
      </c>
      <c r="Q33" s="77">
        <f t="shared" si="10"/>
        <v>72.419734999999989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19</v>
      </c>
      <c r="C34" s="77">
        <f t="shared" si="6"/>
        <v>116.07099999999998</v>
      </c>
      <c r="D34" s="77">
        <f t="shared" si="7"/>
        <v>61.550354231999989</v>
      </c>
      <c r="E34" s="77">
        <f t="shared" si="8"/>
        <v>14.057896320000001</v>
      </c>
      <c r="F34" s="77">
        <f t="shared" si="9"/>
        <v>6.5095732799999988</v>
      </c>
      <c r="G34" s="77">
        <f t="shared" si="5"/>
        <v>3.723619999999999E-2</v>
      </c>
      <c r="H34" s="77">
        <f t="shared" si="5"/>
        <v>0.27576599999999996</v>
      </c>
      <c r="I34" s="77">
        <f t="shared" si="5"/>
        <v>3.6301399999999996E-3</v>
      </c>
      <c r="J34" s="77">
        <f t="shared" si="5"/>
        <v>1.5579999999999999E-4</v>
      </c>
      <c r="K34" s="77">
        <f t="shared" si="5"/>
        <v>1.5579999999999999E-4</v>
      </c>
      <c r="L34" s="77">
        <f t="shared" si="5"/>
        <v>2.5395400000000002E-2</v>
      </c>
      <c r="M34" s="77">
        <f t="shared" si="5"/>
        <v>6.6059199999999985E-2</v>
      </c>
      <c r="N34" s="77">
        <f t="shared" si="5"/>
        <v>0</v>
      </c>
      <c r="O34" s="77">
        <f t="shared" si="5"/>
        <v>0</v>
      </c>
      <c r="P34" s="77">
        <f t="shared" si="5"/>
        <v>16.541285999999999</v>
      </c>
      <c r="Q34" s="77">
        <f t="shared" si="10"/>
        <v>72.419734999999989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16</v>
      </c>
      <c r="C35" s="77">
        <f t="shared" si="6"/>
        <v>97.743999999999986</v>
      </c>
      <c r="D35" s="77">
        <f t="shared" si="7"/>
        <v>51.831877247999991</v>
      </c>
      <c r="E35" s="77">
        <f t="shared" si="8"/>
        <v>11.838228480000001</v>
      </c>
      <c r="F35" s="77">
        <f t="shared" si="9"/>
        <v>5.4817459199999989</v>
      </c>
      <c r="G35" s="77">
        <f t="shared" si="5"/>
        <v>3.135679999999999E-2</v>
      </c>
      <c r="H35" s="77">
        <f t="shared" si="5"/>
        <v>0.23222399999999996</v>
      </c>
      <c r="I35" s="77">
        <f t="shared" si="5"/>
        <v>3.0569599999999996E-3</v>
      </c>
      <c r="J35" s="77">
        <f t="shared" si="5"/>
        <v>1.3119999999999999E-4</v>
      </c>
      <c r="K35" s="77">
        <f t="shared" si="5"/>
        <v>1.3119999999999999E-4</v>
      </c>
      <c r="L35" s="77">
        <f t="shared" si="5"/>
        <v>2.1385600000000001E-2</v>
      </c>
      <c r="M35" s="77">
        <f t="shared" si="5"/>
        <v>5.5628799999999992E-2</v>
      </c>
      <c r="N35" s="77">
        <f t="shared" si="5"/>
        <v>0</v>
      </c>
      <c r="O35" s="77">
        <f t="shared" si="5"/>
        <v>0</v>
      </c>
      <c r="P35" s="77">
        <f t="shared" si="5"/>
        <v>13.929504</v>
      </c>
      <c r="Q35" s="77">
        <f t="shared" si="10"/>
        <v>60.985039999999991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19</v>
      </c>
      <c r="C36" s="77">
        <f t="shared" si="6"/>
        <v>116.07099999999998</v>
      </c>
      <c r="D36" s="77">
        <f t="shared" si="7"/>
        <v>61.550354231999989</v>
      </c>
      <c r="E36" s="77">
        <f t="shared" si="8"/>
        <v>14.057896320000001</v>
      </c>
      <c r="F36" s="77">
        <f t="shared" si="9"/>
        <v>6.5095732799999988</v>
      </c>
      <c r="G36" s="77">
        <f t="shared" si="5"/>
        <v>3.723619999999999E-2</v>
      </c>
      <c r="H36" s="77">
        <f t="shared" si="5"/>
        <v>0.27576599999999996</v>
      </c>
      <c r="I36" s="77">
        <f t="shared" si="5"/>
        <v>3.6301399999999996E-3</v>
      </c>
      <c r="J36" s="77">
        <f t="shared" si="5"/>
        <v>1.5579999999999999E-4</v>
      </c>
      <c r="K36" s="77">
        <f t="shared" si="5"/>
        <v>1.5579999999999999E-4</v>
      </c>
      <c r="L36" s="77">
        <f t="shared" si="5"/>
        <v>2.5395400000000002E-2</v>
      </c>
      <c r="M36" s="77">
        <f t="shared" si="5"/>
        <v>6.6059199999999985E-2</v>
      </c>
      <c r="N36" s="77">
        <f t="shared" si="5"/>
        <v>0</v>
      </c>
      <c r="O36" s="77">
        <f t="shared" si="5"/>
        <v>0</v>
      </c>
      <c r="P36" s="77">
        <f t="shared" si="5"/>
        <v>16.541285999999999</v>
      </c>
      <c r="Q36" s="77">
        <f t="shared" si="10"/>
        <v>72.419734999999989</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16</v>
      </c>
      <c r="C37" s="77">
        <f t="shared" si="6"/>
        <v>97.743999999999986</v>
      </c>
      <c r="D37" s="77">
        <f t="shared" si="7"/>
        <v>51.831877247999991</v>
      </c>
      <c r="E37" s="77">
        <f t="shared" si="8"/>
        <v>11.838228480000001</v>
      </c>
      <c r="F37" s="77">
        <f t="shared" si="9"/>
        <v>5.4817459199999989</v>
      </c>
      <c r="G37" s="77">
        <f t="shared" si="5"/>
        <v>3.135679999999999E-2</v>
      </c>
      <c r="H37" s="77">
        <f t="shared" si="5"/>
        <v>0.23222399999999996</v>
      </c>
      <c r="I37" s="77">
        <f t="shared" si="5"/>
        <v>3.0569599999999996E-3</v>
      </c>
      <c r="J37" s="77">
        <f t="shared" si="5"/>
        <v>1.3119999999999999E-4</v>
      </c>
      <c r="K37" s="77">
        <f t="shared" si="5"/>
        <v>1.3119999999999999E-4</v>
      </c>
      <c r="L37" s="77">
        <f t="shared" si="5"/>
        <v>2.1385600000000001E-2</v>
      </c>
      <c r="M37" s="77">
        <f t="shared" si="5"/>
        <v>5.5628799999999992E-2</v>
      </c>
      <c r="N37" s="77">
        <f t="shared" si="5"/>
        <v>0</v>
      </c>
      <c r="O37" s="77">
        <f t="shared" si="5"/>
        <v>0</v>
      </c>
      <c r="P37" s="77">
        <f t="shared" si="5"/>
        <v>13.929504</v>
      </c>
      <c r="Q37" s="77">
        <f t="shared" si="10"/>
        <v>60.985039999999991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16</v>
      </c>
      <c r="C38" s="77">
        <f t="shared" si="6"/>
        <v>97.743999999999986</v>
      </c>
      <c r="D38" s="77">
        <f t="shared" si="7"/>
        <v>51.831877247999991</v>
      </c>
      <c r="E38" s="77">
        <f t="shared" si="8"/>
        <v>11.838228480000001</v>
      </c>
      <c r="F38" s="77">
        <f t="shared" si="9"/>
        <v>5.4817459199999989</v>
      </c>
      <c r="G38" s="77">
        <f t="shared" si="5"/>
        <v>3.135679999999999E-2</v>
      </c>
      <c r="H38" s="77">
        <f t="shared" si="5"/>
        <v>0.23222399999999996</v>
      </c>
      <c r="I38" s="77">
        <f t="shared" si="5"/>
        <v>3.0569599999999996E-3</v>
      </c>
      <c r="J38" s="77">
        <f t="shared" si="5"/>
        <v>1.3119999999999999E-4</v>
      </c>
      <c r="K38" s="77">
        <f t="shared" si="5"/>
        <v>1.3119999999999999E-4</v>
      </c>
      <c r="L38" s="77">
        <f t="shared" si="5"/>
        <v>2.1385600000000001E-2</v>
      </c>
      <c r="M38" s="77">
        <f t="shared" si="5"/>
        <v>5.5628799999999992E-2</v>
      </c>
      <c r="N38" s="77">
        <f t="shared" si="5"/>
        <v>0</v>
      </c>
      <c r="O38" s="77">
        <f t="shared" si="5"/>
        <v>0</v>
      </c>
      <c r="P38" s="77">
        <f t="shared" si="5"/>
        <v>13.929504</v>
      </c>
      <c r="Q38" s="77">
        <f t="shared" si="10"/>
        <v>60.985039999999991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19</v>
      </c>
      <c r="C39" s="77">
        <f t="shared" si="6"/>
        <v>116.07099999999998</v>
      </c>
      <c r="D39" s="77">
        <f t="shared" si="7"/>
        <v>61.550354231999989</v>
      </c>
      <c r="E39" s="77">
        <f t="shared" si="8"/>
        <v>14.057896320000001</v>
      </c>
      <c r="F39" s="77">
        <f t="shared" si="9"/>
        <v>6.5095732799999988</v>
      </c>
      <c r="G39" s="77">
        <f t="shared" si="5"/>
        <v>3.723619999999999E-2</v>
      </c>
      <c r="H39" s="77">
        <f t="shared" si="5"/>
        <v>0.27576599999999996</v>
      </c>
      <c r="I39" s="77">
        <f t="shared" si="5"/>
        <v>3.6301399999999996E-3</v>
      </c>
      <c r="J39" s="77">
        <f t="shared" si="5"/>
        <v>1.5579999999999999E-4</v>
      </c>
      <c r="K39" s="77">
        <f t="shared" si="5"/>
        <v>1.5579999999999999E-4</v>
      </c>
      <c r="L39" s="77">
        <f t="shared" si="5"/>
        <v>2.5395400000000002E-2</v>
      </c>
      <c r="M39" s="77">
        <f t="shared" si="5"/>
        <v>6.6059199999999985E-2</v>
      </c>
      <c r="N39" s="77">
        <f t="shared" si="5"/>
        <v>0</v>
      </c>
      <c r="O39" s="77">
        <f t="shared" si="5"/>
        <v>0</v>
      </c>
      <c r="P39" s="77">
        <f t="shared" si="5"/>
        <v>16.541285999999999</v>
      </c>
      <c r="Q39" s="77">
        <f t="shared" si="10"/>
        <v>72.419734999999989</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19</v>
      </c>
      <c r="C40" s="77">
        <f t="shared" si="6"/>
        <v>116.07099999999998</v>
      </c>
      <c r="D40" s="77">
        <f t="shared" si="7"/>
        <v>61.550354231999989</v>
      </c>
      <c r="E40" s="77">
        <f t="shared" si="8"/>
        <v>14.057896320000001</v>
      </c>
      <c r="F40" s="77">
        <f t="shared" si="9"/>
        <v>6.5095732799999988</v>
      </c>
      <c r="G40" s="77">
        <f t="shared" si="5"/>
        <v>3.723619999999999E-2</v>
      </c>
      <c r="H40" s="77">
        <f t="shared" si="5"/>
        <v>0.27576599999999996</v>
      </c>
      <c r="I40" s="77">
        <f t="shared" si="5"/>
        <v>3.6301399999999996E-3</v>
      </c>
      <c r="J40" s="77">
        <f t="shared" si="5"/>
        <v>1.5579999999999999E-4</v>
      </c>
      <c r="K40" s="77">
        <f t="shared" si="5"/>
        <v>1.5579999999999999E-4</v>
      </c>
      <c r="L40" s="77">
        <f t="shared" si="5"/>
        <v>2.5395400000000002E-2</v>
      </c>
      <c r="M40" s="77">
        <f t="shared" si="5"/>
        <v>6.6059199999999985E-2</v>
      </c>
      <c r="N40" s="77">
        <f t="shared" si="5"/>
        <v>0</v>
      </c>
      <c r="O40" s="77">
        <f t="shared" si="5"/>
        <v>0</v>
      </c>
      <c r="P40" s="77">
        <f t="shared" si="5"/>
        <v>16.541285999999999</v>
      </c>
      <c r="Q40" s="77">
        <f t="shared" si="10"/>
        <v>72.419734999999989</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19</v>
      </c>
      <c r="C41" s="77">
        <f t="shared" si="6"/>
        <v>116.07099999999998</v>
      </c>
      <c r="D41" s="77">
        <f t="shared" si="7"/>
        <v>61.550354231999989</v>
      </c>
      <c r="E41" s="77">
        <f t="shared" si="8"/>
        <v>14.057896320000001</v>
      </c>
      <c r="F41" s="77">
        <f t="shared" si="9"/>
        <v>6.5095732799999988</v>
      </c>
      <c r="G41" s="77">
        <f t="shared" si="5"/>
        <v>3.723619999999999E-2</v>
      </c>
      <c r="H41" s="77">
        <f t="shared" si="5"/>
        <v>0.27576599999999996</v>
      </c>
      <c r="I41" s="77">
        <f t="shared" si="5"/>
        <v>3.6301399999999996E-3</v>
      </c>
      <c r="J41" s="77">
        <f t="shared" si="5"/>
        <v>1.5579999999999999E-4</v>
      </c>
      <c r="K41" s="77">
        <f t="shared" si="5"/>
        <v>1.5579999999999999E-4</v>
      </c>
      <c r="L41" s="77">
        <f t="shared" si="5"/>
        <v>2.5395400000000002E-2</v>
      </c>
      <c r="M41" s="77">
        <f t="shared" si="5"/>
        <v>6.6059199999999985E-2</v>
      </c>
      <c r="N41" s="77">
        <f t="shared" si="5"/>
        <v>0</v>
      </c>
      <c r="O41" s="77">
        <f t="shared" si="5"/>
        <v>0</v>
      </c>
      <c r="P41" s="77">
        <f t="shared" si="5"/>
        <v>16.541285999999999</v>
      </c>
      <c r="Q41" s="77">
        <f t="shared" si="10"/>
        <v>72.419734999999989</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19</v>
      </c>
      <c r="C42" s="77">
        <f t="shared" si="6"/>
        <v>116.07099999999998</v>
      </c>
      <c r="D42" s="77">
        <f t="shared" si="7"/>
        <v>61.550354231999989</v>
      </c>
      <c r="E42" s="77">
        <f t="shared" si="8"/>
        <v>14.057896320000001</v>
      </c>
      <c r="F42" s="77">
        <f t="shared" si="9"/>
        <v>6.5095732799999988</v>
      </c>
      <c r="G42" s="77">
        <f t="shared" si="5"/>
        <v>3.723619999999999E-2</v>
      </c>
      <c r="H42" s="77">
        <f t="shared" si="5"/>
        <v>0.27576599999999996</v>
      </c>
      <c r="I42" s="77">
        <f t="shared" si="5"/>
        <v>3.6301399999999996E-3</v>
      </c>
      <c r="J42" s="77">
        <f t="shared" si="5"/>
        <v>1.5579999999999999E-4</v>
      </c>
      <c r="K42" s="77">
        <f t="shared" si="5"/>
        <v>1.5579999999999999E-4</v>
      </c>
      <c r="L42" s="77">
        <f t="shared" si="5"/>
        <v>2.5395400000000002E-2</v>
      </c>
      <c r="M42" s="77">
        <f t="shared" si="5"/>
        <v>6.6059199999999985E-2</v>
      </c>
      <c r="N42" s="77">
        <f t="shared" si="5"/>
        <v>0</v>
      </c>
      <c r="O42" s="77">
        <f t="shared" si="5"/>
        <v>0</v>
      </c>
      <c r="P42" s="77">
        <f t="shared" si="5"/>
        <v>16.541285999999999</v>
      </c>
      <c r="Q42" s="77">
        <f t="shared" si="10"/>
        <v>72.419734999999989</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19</v>
      </c>
      <c r="C43" s="77">
        <f t="shared" si="6"/>
        <v>116.07099999999998</v>
      </c>
      <c r="D43" s="77">
        <f t="shared" si="7"/>
        <v>61.550354231999989</v>
      </c>
      <c r="E43" s="77">
        <f t="shared" si="8"/>
        <v>14.057896320000001</v>
      </c>
      <c r="F43" s="77">
        <f t="shared" si="9"/>
        <v>6.5095732799999988</v>
      </c>
      <c r="G43" s="77">
        <f t="shared" si="5"/>
        <v>3.723619999999999E-2</v>
      </c>
      <c r="H43" s="77">
        <f t="shared" si="5"/>
        <v>0.27576599999999996</v>
      </c>
      <c r="I43" s="77">
        <f t="shared" si="5"/>
        <v>3.6301399999999996E-3</v>
      </c>
      <c r="J43" s="77">
        <f t="shared" si="5"/>
        <v>1.5579999999999999E-4</v>
      </c>
      <c r="K43" s="77">
        <f t="shared" si="5"/>
        <v>1.5579999999999999E-4</v>
      </c>
      <c r="L43" s="77">
        <f t="shared" si="5"/>
        <v>2.5395400000000002E-2</v>
      </c>
      <c r="M43" s="77">
        <f t="shared" si="5"/>
        <v>6.6059199999999985E-2</v>
      </c>
      <c r="N43" s="77">
        <f t="shared" si="5"/>
        <v>0</v>
      </c>
      <c r="O43" s="77">
        <f t="shared" si="5"/>
        <v>0</v>
      </c>
      <c r="P43" s="77">
        <f t="shared" si="5"/>
        <v>16.541285999999999</v>
      </c>
      <c r="Q43" s="77">
        <f t="shared" si="10"/>
        <v>72.419734999999989</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19</v>
      </c>
      <c r="C44" s="77">
        <f t="shared" si="6"/>
        <v>116.07099999999998</v>
      </c>
      <c r="D44" s="77">
        <f t="shared" si="7"/>
        <v>61.550354231999989</v>
      </c>
      <c r="E44" s="77">
        <f t="shared" si="8"/>
        <v>14.057896320000001</v>
      </c>
      <c r="F44" s="77">
        <f t="shared" si="9"/>
        <v>6.5095732799999988</v>
      </c>
      <c r="G44" s="77">
        <f t="shared" si="5"/>
        <v>3.723619999999999E-2</v>
      </c>
      <c r="H44" s="77">
        <f t="shared" si="5"/>
        <v>0.27576599999999996</v>
      </c>
      <c r="I44" s="77">
        <f t="shared" si="5"/>
        <v>3.6301399999999996E-3</v>
      </c>
      <c r="J44" s="77">
        <f t="shared" si="5"/>
        <v>1.5579999999999999E-4</v>
      </c>
      <c r="K44" s="77">
        <f t="shared" si="5"/>
        <v>1.5579999999999999E-4</v>
      </c>
      <c r="L44" s="77">
        <f t="shared" si="5"/>
        <v>2.5395400000000002E-2</v>
      </c>
      <c r="M44" s="77">
        <f t="shared" si="5"/>
        <v>6.6059199999999985E-2</v>
      </c>
      <c r="N44" s="77">
        <f t="shared" si="5"/>
        <v>0</v>
      </c>
      <c r="O44" s="77">
        <f t="shared" si="5"/>
        <v>0</v>
      </c>
      <c r="P44" s="77">
        <f t="shared" si="5"/>
        <v>16.541285999999999</v>
      </c>
      <c r="Q44" s="77">
        <f t="shared" si="10"/>
        <v>72.419734999999989</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19</v>
      </c>
      <c r="C45" s="77">
        <f t="shared" si="6"/>
        <v>116.07099999999998</v>
      </c>
      <c r="D45" s="77">
        <f t="shared" si="7"/>
        <v>61.550354231999989</v>
      </c>
      <c r="E45" s="77">
        <f t="shared" si="8"/>
        <v>14.057896320000001</v>
      </c>
      <c r="F45" s="77">
        <f t="shared" si="9"/>
        <v>6.5095732799999988</v>
      </c>
      <c r="G45" s="77">
        <f t="shared" si="5"/>
        <v>3.723619999999999E-2</v>
      </c>
      <c r="H45" s="77">
        <f t="shared" si="5"/>
        <v>0.27576599999999996</v>
      </c>
      <c r="I45" s="77">
        <f t="shared" si="5"/>
        <v>3.6301399999999996E-3</v>
      </c>
      <c r="J45" s="77">
        <f t="shared" si="5"/>
        <v>1.5579999999999999E-4</v>
      </c>
      <c r="K45" s="77">
        <f t="shared" si="5"/>
        <v>1.5579999999999999E-4</v>
      </c>
      <c r="L45" s="77">
        <f t="shared" si="5"/>
        <v>2.5395400000000002E-2</v>
      </c>
      <c r="M45" s="77">
        <f t="shared" si="5"/>
        <v>6.6059199999999985E-2</v>
      </c>
      <c r="N45" s="77">
        <f t="shared" si="5"/>
        <v>0</v>
      </c>
      <c r="O45" s="77">
        <f t="shared" si="5"/>
        <v>0</v>
      </c>
      <c r="P45" s="77">
        <f t="shared" si="5"/>
        <v>16.541285999999999</v>
      </c>
      <c r="Q45" s="77">
        <f t="shared" si="10"/>
        <v>72.419734999999989</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19</v>
      </c>
      <c r="C46" s="77">
        <f t="shared" si="6"/>
        <v>116.07099999999998</v>
      </c>
      <c r="D46" s="77">
        <f t="shared" si="7"/>
        <v>61.550354231999989</v>
      </c>
      <c r="E46" s="77">
        <f t="shared" si="8"/>
        <v>14.057896320000001</v>
      </c>
      <c r="F46" s="77">
        <f t="shared" si="9"/>
        <v>6.5095732799999988</v>
      </c>
      <c r="G46" s="77">
        <f t="shared" si="5"/>
        <v>3.723619999999999E-2</v>
      </c>
      <c r="H46" s="77">
        <f t="shared" si="5"/>
        <v>0.27576599999999996</v>
      </c>
      <c r="I46" s="77">
        <f t="shared" si="5"/>
        <v>3.6301399999999996E-3</v>
      </c>
      <c r="J46" s="77">
        <f t="shared" si="5"/>
        <v>1.5579999999999999E-4</v>
      </c>
      <c r="K46" s="77">
        <f t="shared" si="5"/>
        <v>1.5579999999999999E-4</v>
      </c>
      <c r="L46" s="77">
        <f t="shared" si="5"/>
        <v>2.5395400000000002E-2</v>
      </c>
      <c r="M46" s="77">
        <f t="shared" si="5"/>
        <v>6.6059199999999985E-2</v>
      </c>
      <c r="N46" s="77">
        <f t="shared" si="5"/>
        <v>0</v>
      </c>
      <c r="O46" s="77">
        <f t="shared" si="5"/>
        <v>0</v>
      </c>
      <c r="P46" s="77">
        <f t="shared" si="5"/>
        <v>16.541285999999999</v>
      </c>
      <c r="Q46" s="77">
        <f t="shared" si="10"/>
        <v>72.419734999999989</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29</v>
      </c>
      <c r="C47" s="77">
        <f t="shared" si="6"/>
        <v>177.16099999999997</v>
      </c>
      <c r="D47" s="77">
        <f t="shared" si="7"/>
        <v>93.945277511999976</v>
      </c>
      <c r="E47" s="77">
        <f t="shared" si="8"/>
        <v>21.456789120000003</v>
      </c>
      <c r="F47" s="77">
        <f t="shared" si="9"/>
        <v>9.935664479999998</v>
      </c>
      <c r="G47" s="77">
        <f t="shared" ref="G47:P50" si="12">IF(G$27="%w/w SAR",((G$28*10)*$B47),IF(G$27="%w/w DM",(((G$28*10)*($B$28/100))*$B47),IF(G$27="kg/t SAR",(G$28*$B47),IF(G$27="kg/t DM",((G$28*($B$28/100))*$B47),IF(G$27="mg/kg SAR",((G$28*0.001)*$B47),IF(G$27="mg/kg DM",(((G$28*0.001)*($B$28/100))*$B47),0))))))</f>
        <v>5.6834199999999981E-2</v>
      </c>
      <c r="H47" s="77">
        <f t="shared" si="12"/>
        <v>0.42090599999999995</v>
      </c>
      <c r="I47" s="77">
        <f t="shared" si="12"/>
        <v>5.5407399999999997E-3</v>
      </c>
      <c r="J47" s="77">
        <f t="shared" si="12"/>
        <v>2.3779999999999998E-4</v>
      </c>
      <c r="K47" s="77">
        <f t="shared" si="12"/>
        <v>2.3779999999999998E-4</v>
      </c>
      <c r="L47" s="77">
        <f t="shared" si="12"/>
        <v>3.8761400000000001E-2</v>
      </c>
      <c r="M47" s="77">
        <f t="shared" si="12"/>
        <v>0.10082719999999999</v>
      </c>
      <c r="N47" s="77">
        <f t="shared" si="12"/>
        <v>0</v>
      </c>
      <c r="O47" s="77">
        <f t="shared" si="12"/>
        <v>0</v>
      </c>
      <c r="P47" s="77">
        <f t="shared" si="12"/>
        <v>25.247225999999998</v>
      </c>
      <c r="Q47" s="77">
        <f t="shared" si="10"/>
        <v>110.53538499999999</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19</v>
      </c>
      <c r="C48" s="77">
        <f t="shared" si="6"/>
        <v>116.07099999999998</v>
      </c>
      <c r="D48" s="77">
        <f t="shared" si="7"/>
        <v>61.550354231999989</v>
      </c>
      <c r="E48" s="77">
        <f t="shared" si="8"/>
        <v>14.057896320000001</v>
      </c>
      <c r="F48" s="77">
        <f t="shared" si="9"/>
        <v>6.5095732799999988</v>
      </c>
      <c r="G48" s="77">
        <f t="shared" si="12"/>
        <v>3.723619999999999E-2</v>
      </c>
      <c r="H48" s="77">
        <f t="shared" si="12"/>
        <v>0.27576599999999996</v>
      </c>
      <c r="I48" s="77">
        <f t="shared" si="12"/>
        <v>3.6301399999999996E-3</v>
      </c>
      <c r="J48" s="77">
        <f t="shared" si="12"/>
        <v>1.5579999999999999E-4</v>
      </c>
      <c r="K48" s="77">
        <f t="shared" si="12"/>
        <v>1.5579999999999999E-4</v>
      </c>
      <c r="L48" s="77">
        <f t="shared" si="12"/>
        <v>2.5395400000000002E-2</v>
      </c>
      <c r="M48" s="77">
        <f t="shared" si="12"/>
        <v>6.6059199999999985E-2</v>
      </c>
      <c r="N48" s="77">
        <f t="shared" si="12"/>
        <v>0</v>
      </c>
      <c r="O48" s="77">
        <f t="shared" si="12"/>
        <v>0</v>
      </c>
      <c r="P48" s="77">
        <f t="shared" si="12"/>
        <v>16.541285999999999</v>
      </c>
      <c r="Q48" s="77">
        <f t="shared" si="10"/>
        <v>72.419734999999989</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19</v>
      </c>
      <c r="C49" s="77">
        <f t="shared" si="6"/>
        <v>116.07099999999998</v>
      </c>
      <c r="D49" s="77">
        <f t="shared" si="7"/>
        <v>61.550354231999989</v>
      </c>
      <c r="E49" s="77">
        <f t="shared" si="8"/>
        <v>14.057896320000001</v>
      </c>
      <c r="F49" s="77">
        <f t="shared" si="9"/>
        <v>6.5095732799999988</v>
      </c>
      <c r="G49" s="77">
        <f t="shared" si="12"/>
        <v>3.723619999999999E-2</v>
      </c>
      <c r="H49" s="77">
        <f t="shared" si="12"/>
        <v>0.27576599999999996</v>
      </c>
      <c r="I49" s="77">
        <f t="shared" si="12"/>
        <v>3.6301399999999996E-3</v>
      </c>
      <c r="J49" s="77">
        <f t="shared" si="12"/>
        <v>1.5579999999999999E-4</v>
      </c>
      <c r="K49" s="77">
        <f t="shared" si="12"/>
        <v>1.5579999999999999E-4</v>
      </c>
      <c r="L49" s="77">
        <f t="shared" si="12"/>
        <v>2.5395400000000002E-2</v>
      </c>
      <c r="M49" s="77">
        <f t="shared" si="12"/>
        <v>6.6059199999999985E-2</v>
      </c>
      <c r="N49" s="77">
        <f t="shared" si="12"/>
        <v>0</v>
      </c>
      <c r="O49" s="77">
        <f t="shared" si="12"/>
        <v>0</v>
      </c>
      <c r="P49" s="77">
        <f t="shared" si="12"/>
        <v>16.541285999999999</v>
      </c>
      <c r="Q49" s="77">
        <f t="shared" si="10"/>
        <v>72.419734999999989</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19</v>
      </c>
      <c r="C50" s="98">
        <f t="shared" si="6"/>
        <v>116.07099999999998</v>
      </c>
      <c r="D50" s="98">
        <f t="shared" si="7"/>
        <v>61.550354231999989</v>
      </c>
      <c r="E50" s="98">
        <f t="shared" si="8"/>
        <v>14.057896320000001</v>
      </c>
      <c r="F50" s="98">
        <f t="shared" si="9"/>
        <v>6.5095732799999988</v>
      </c>
      <c r="G50" s="98">
        <f t="shared" si="12"/>
        <v>3.723619999999999E-2</v>
      </c>
      <c r="H50" s="98">
        <f t="shared" si="12"/>
        <v>0.27576599999999996</v>
      </c>
      <c r="I50" s="98">
        <f t="shared" si="12"/>
        <v>3.6301399999999996E-3</v>
      </c>
      <c r="J50" s="98">
        <f t="shared" si="12"/>
        <v>1.5579999999999999E-4</v>
      </c>
      <c r="K50" s="98">
        <f t="shared" si="12"/>
        <v>1.5579999999999999E-4</v>
      </c>
      <c r="L50" s="98">
        <f t="shared" si="12"/>
        <v>2.5395400000000002E-2</v>
      </c>
      <c r="M50" s="98">
        <f t="shared" si="12"/>
        <v>6.6059199999999985E-2</v>
      </c>
      <c r="N50" s="98">
        <f t="shared" si="12"/>
        <v>0</v>
      </c>
      <c r="O50" s="98">
        <f t="shared" si="12"/>
        <v>0</v>
      </c>
      <c r="P50" s="98">
        <f t="shared" si="12"/>
        <v>16.541285999999999</v>
      </c>
      <c r="Q50" s="98">
        <f t="shared" si="10"/>
        <v>72.419734999999989</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Grass</v>
      </c>
      <c r="H58" s="13" t="str">
        <f>I16&amp;" I "&amp;(VLOOKUP(I14,Table24581114[],6,FALSE))</f>
        <v>Medium/Clay I Arable</v>
      </c>
      <c r="I58" s="13" t="str">
        <f>J16&amp;" I "&amp;(VLOOKUP(J14,Table24581114[],6,FALSE))</f>
        <v>Medium/Clay I Arable</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x14ac:dyDescent="0.2">
      <c r="A59" s="111" t="s">
        <v>132</v>
      </c>
      <c r="B59" s="76">
        <f>VLOOKUP(C$14,Table24581114[],5,FALSE)</f>
        <v>6.2</v>
      </c>
      <c r="C59" s="76">
        <f>VLOOKUP(D$14,Table24581114[],5,FALSE)</f>
        <v>6.2</v>
      </c>
      <c r="D59" s="76">
        <f>VLOOKUP(E$14,Table24581114[],5,FALSE)</f>
        <v>6.2</v>
      </c>
      <c r="E59" s="76">
        <f>VLOOKUP(F$14,Table24581114[],5,FALSE)</f>
        <v>6.2</v>
      </c>
      <c r="F59" s="76">
        <f>VLOOKUP(G$14,Table24581114[],5,FALSE)</f>
        <v>6.7</v>
      </c>
      <c r="G59" s="76">
        <f>VLOOKUP(H$14,Table24581114[],5,FALSE)</f>
        <v>6.2</v>
      </c>
      <c r="H59" s="76">
        <f>VLOOKUP(I$14,Table24581114[],5,FALSE)</f>
        <v>6.7</v>
      </c>
      <c r="I59" s="76">
        <f>VLOOKUP(J$14,Table24581114[],5,FALSE)</f>
        <v>6.7</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19</v>
      </c>
      <c r="C62" s="77">
        <f>B32</f>
        <v>19</v>
      </c>
      <c r="D62" s="77">
        <f>B33</f>
        <v>19</v>
      </c>
      <c r="E62" s="77">
        <f>B34</f>
        <v>19</v>
      </c>
      <c r="F62" s="77">
        <f>B35</f>
        <v>16</v>
      </c>
      <c r="G62" s="77">
        <f>B36</f>
        <v>19</v>
      </c>
      <c r="H62" s="77">
        <f>B37</f>
        <v>16</v>
      </c>
      <c r="I62" s="77">
        <f>B38</f>
        <v>16</v>
      </c>
      <c r="J62" s="77">
        <f>B39</f>
        <v>19</v>
      </c>
      <c r="K62" s="77">
        <f>B40</f>
        <v>19</v>
      </c>
      <c r="L62" s="77">
        <f>B41</f>
        <v>19</v>
      </c>
      <c r="M62" s="77">
        <f>B42</f>
        <v>19</v>
      </c>
      <c r="N62" s="77">
        <f>B43</f>
        <v>19</v>
      </c>
      <c r="O62" s="77">
        <f>B44</f>
        <v>19</v>
      </c>
      <c r="P62" s="77">
        <f>B45</f>
        <v>19</v>
      </c>
      <c r="Q62" s="77">
        <f>B46</f>
        <v>19</v>
      </c>
      <c r="R62" s="77">
        <f>B47</f>
        <v>29</v>
      </c>
      <c r="S62" s="77">
        <f>B48</f>
        <v>19</v>
      </c>
      <c r="T62" s="77">
        <f>B49</f>
        <v>19</v>
      </c>
      <c r="U62" s="77">
        <f>B50</f>
        <v>19</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5" priority="38" operator="equal">
      <formula>"DECREASE"</formula>
    </cfRule>
    <cfRule type="cellIs" dxfId="254" priority="39" operator="equal">
      <formula>"INCREASE"</formula>
    </cfRule>
  </conditionalFormatting>
  <conditionalFormatting sqref="B62:U66">
    <cfRule type="cellIs" dxfId="253" priority="37" operator="greaterThan">
      <formula>$B$51</formula>
    </cfRule>
  </conditionalFormatting>
  <conditionalFormatting sqref="C31:C50">
    <cfRule type="cellIs" dxfId="252" priority="36" operator="greaterThan">
      <formula>$C$51</formula>
    </cfRule>
  </conditionalFormatting>
  <conditionalFormatting sqref="C18:V18">
    <cfRule type="cellIs" dxfId="251" priority="35" operator="equal">
      <formula>0</formula>
    </cfRule>
  </conditionalFormatting>
  <conditionalFormatting sqref="C17:V17">
    <cfRule type="cellIs" dxfId="250" priority="34" operator="equal">
      <formula>0</formula>
    </cfRule>
  </conditionalFormatting>
  <conditionalFormatting sqref="C19:V19">
    <cfRule type="cellIs" dxfId="249" priority="33" operator="equal">
      <formula>0</formula>
    </cfRule>
  </conditionalFormatting>
  <conditionalFormatting sqref="G31:G50">
    <cfRule type="cellIs" dxfId="248" priority="32" operator="greaterThan">
      <formula>$G$51</formula>
    </cfRule>
  </conditionalFormatting>
  <conditionalFormatting sqref="H31:H50">
    <cfRule type="cellIs" dxfId="247" priority="31" operator="greaterThan">
      <formula>$H$51</formula>
    </cfRule>
  </conditionalFormatting>
  <conditionalFormatting sqref="I31:I50">
    <cfRule type="cellIs" dxfId="246" priority="30" operator="greaterThan">
      <formula>$I$51</formula>
    </cfRule>
  </conditionalFormatting>
  <conditionalFormatting sqref="K31:K50">
    <cfRule type="cellIs" dxfId="245" priority="29" operator="greaterThan">
      <formula>$K$51</formula>
    </cfRule>
  </conditionalFormatting>
  <conditionalFormatting sqref="L31:L50">
    <cfRule type="cellIs" dxfId="244" priority="28" operator="greaterThan">
      <formula>$L$51</formula>
    </cfRule>
  </conditionalFormatting>
  <conditionalFormatting sqref="M31:M50">
    <cfRule type="cellIs" dxfId="243" priority="27" operator="greaterThan">
      <formula>$M$51</formula>
    </cfRule>
  </conditionalFormatting>
  <conditionalFormatting sqref="P31:P50">
    <cfRule type="cellIs" dxfId="242" priority="26" operator="greaterThan">
      <formula>$P$51</formula>
    </cfRule>
  </conditionalFormatting>
  <conditionalFormatting sqref="R31:R50">
    <cfRule type="cellIs" dxfId="241" priority="25" operator="greaterThan">
      <formula>$R$51</formula>
    </cfRule>
  </conditionalFormatting>
  <conditionalFormatting sqref="S31:S50">
    <cfRule type="cellIs" dxfId="240" priority="24" operator="greaterThan">
      <formula>$S$51</formula>
    </cfRule>
  </conditionalFormatting>
  <conditionalFormatting sqref="T31:T50">
    <cfRule type="cellIs" dxfId="239" priority="23" operator="greaterThan">
      <formula>$T$51</formula>
    </cfRule>
  </conditionalFormatting>
  <conditionalFormatting sqref="U31:U50">
    <cfRule type="cellIs" dxfId="238" priority="22" operator="greaterThan">
      <formula>$U$51</formula>
    </cfRule>
  </conditionalFormatting>
  <conditionalFormatting sqref="C22:V22">
    <cfRule type="cellIs" dxfId="237" priority="21" operator="equal">
      <formula>0</formula>
    </cfRule>
  </conditionalFormatting>
  <conditionalFormatting sqref="C24:V24">
    <cfRule type="cellIs" dxfId="236" priority="19" operator="equal">
      <formula>"DECREASE"</formula>
    </cfRule>
    <cfRule type="cellIs" dxfId="235" priority="20" operator="equal">
      <formula>"INCREASE"</formula>
    </cfRule>
  </conditionalFormatting>
  <conditionalFormatting sqref="C23:V23">
    <cfRule type="cellIs" dxfId="234" priority="18" operator="equal">
      <formula>0</formula>
    </cfRule>
  </conditionalFormatting>
  <conditionalFormatting sqref="C21:V21">
    <cfRule type="cellIs" dxfId="233" priority="14" operator="equal">
      <formula>0</formula>
    </cfRule>
  </conditionalFormatting>
  <conditionalFormatting sqref="B66:U66">
    <cfRule type="cellIs" dxfId="232" priority="12" operator="equal">
      <formula>"UNDER"</formula>
    </cfRule>
    <cfRule type="cellIs" dxfId="231" priority="13" operator="equal">
      <formula>"OVER"</formula>
    </cfRule>
  </conditionalFormatting>
  <conditionalFormatting sqref="J31:J50">
    <cfRule type="cellIs" dxfId="230" priority="9" operator="greaterThan">
      <formula>$J$51</formula>
    </cfRule>
  </conditionalFormatting>
  <conditionalFormatting sqref="L3">
    <cfRule type="cellIs" dxfId="229" priority="5" operator="lessThan">
      <formula>30</formula>
    </cfRule>
    <cfRule type="cellIs" dxfId="228" priority="6" operator="greaterThanOrEqual">
      <formula>30</formula>
    </cfRule>
  </conditionalFormatting>
  <conditionalFormatting sqref="I1">
    <cfRule type="cellIs" dxfId="227" priority="4" operator="between">
      <formula>0.1</formula>
      <formula>5</formula>
    </cfRule>
  </conditionalFormatting>
  <conditionalFormatting sqref="I2">
    <cfRule type="cellIs" dxfId="226" priority="3" operator="greaterThan">
      <formula>5000.1</formula>
    </cfRule>
  </conditionalFormatting>
  <conditionalFormatting sqref="I3">
    <cfRule type="cellIs" dxfId="225" priority="2" operator="greaterThan">
      <formula>40000.01</formula>
    </cfRule>
  </conditionalFormatting>
  <conditionalFormatting sqref="B31:B50">
    <cfRule type="cellIs" dxfId="224" priority="1" operator="greaterThan">
      <formula>$B$51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38" sqref="B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v>3.74</v>
      </c>
      <c r="J1" s="129" t="s">
        <v>153</v>
      </c>
      <c r="K1" s="129"/>
      <c r="L1" s="97">
        <v>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173</v>
      </c>
      <c r="G2" s="127" t="s">
        <v>110</v>
      </c>
      <c r="H2" s="128"/>
      <c r="I2" s="118">
        <v>471</v>
      </c>
      <c r="J2" s="129" t="s">
        <v>158</v>
      </c>
      <c r="K2" s="129"/>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c r="J3" s="125" t="s">
        <v>154</v>
      </c>
      <c r="K3" s="126"/>
      <c r="L3" s="97">
        <f>(L1/(L2*10000))*100</f>
        <v>4.1428571428571415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t="s">
        <v>174</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63.506520000000002</v>
      </c>
      <c r="D18" s="16">
        <f>$D32</f>
        <v>63.506520000000002</v>
      </c>
      <c r="E18" s="16">
        <f>$D33</f>
        <v>63.506520000000002</v>
      </c>
      <c r="F18" s="16">
        <f>$D34</f>
        <v>63.506520000000002</v>
      </c>
      <c r="G18" s="16">
        <f>$D35</f>
        <v>54.434159999999999</v>
      </c>
      <c r="H18" s="16">
        <f>$D36</f>
        <v>63.506520000000002</v>
      </c>
      <c r="I18" s="16">
        <f>$D37</f>
        <v>54.434159999999999</v>
      </c>
      <c r="J18" s="16">
        <f>$D38</f>
        <v>0</v>
      </c>
      <c r="K18" s="16">
        <f>$D39</f>
        <v>63.506520000000002</v>
      </c>
      <c r="L18" s="16">
        <f>$D40</f>
        <v>63.506520000000002</v>
      </c>
      <c r="M18" s="16">
        <f>$D41</f>
        <v>63.506520000000002</v>
      </c>
      <c r="N18" s="16">
        <f>$D42</f>
        <v>63.506520000000002</v>
      </c>
      <c r="O18" s="16">
        <f>$D43</f>
        <v>63.506520000000002</v>
      </c>
      <c r="P18" s="16">
        <f>$D44</f>
        <v>63.506520000000002</v>
      </c>
      <c r="Q18" s="16">
        <f>$D45</f>
        <v>63.506520000000002</v>
      </c>
      <c r="R18" s="16">
        <f>$D46</f>
        <v>63.506520000000002</v>
      </c>
      <c r="S18" s="16">
        <f>$D47</f>
        <v>63.506520000000002</v>
      </c>
      <c r="T18" s="16">
        <f>$D48</f>
        <v>63.506520000000002</v>
      </c>
      <c r="U18" s="16">
        <f>$D49</f>
        <v>63.506520000000002</v>
      </c>
      <c r="V18" s="25">
        <f>$D50</f>
        <v>63.506520000000002</v>
      </c>
      <c r="AD18" s="52" t="s">
        <v>147</v>
      </c>
      <c r="AE18" s="30">
        <v>16</v>
      </c>
      <c r="AI18" s="48" t="s">
        <v>106</v>
      </c>
      <c r="AJ18" s="49">
        <v>5.9</v>
      </c>
      <c r="AK18" s="50">
        <v>18</v>
      </c>
      <c r="AL18" s="51">
        <v>16</v>
      </c>
      <c r="AM18" s="11">
        <v>6.2</v>
      </c>
      <c r="AN18" s="11" t="s">
        <v>112</v>
      </c>
    </row>
    <row r="19" spans="1:40" x14ac:dyDescent="0.2">
      <c r="A19" s="133" t="s">
        <v>90</v>
      </c>
      <c r="B19" s="134"/>
      <c r="C19" s="16">
        <f>C18-C17</f>
        <v>-1.0934799999999925</v>
      </c>
      <c r="D19" s="16">
        <f t="shared" ref="D19:V19" si="1">D18-D17</f>
        <v>-1.0934799999999925</v>
      </c>
      <c r="E19" s="16">
        <f t="shared" si="1"/>
        <v>-1.0934799999999925</v>
      </c>
      <c r="F19" s="16">
        <f t="shared" si="1"/>
        <v>-1.0934799999999925</v>
      </c>
      <c r="G19" s="16">
        <f t="shared" si="1"/>
        <v>-1.5658400000000015</v>
      </c>
      <c r="H19" s="16">
        <f t="shared" si="1"/>
        <v>-1.0934799999999925</v>
      </c>
      <c r="I19" s="16">
        <f t="shared" si="1"/>
        <v>-1.5658400000000015</v>
      </c>
      <c r="J19" s="16">
        <f t="shared" si="1"/>
        <v>-56</v>
      </c>
      <c r="K19" s="16">
        <f t="shared" si="1"/>
        <v>-1.0934799999999925</v>
      </c>
      <c r="L19" s="16">
        <f t="shared" si="1"/>
        <v>-1.0934799999999925</v>
      </c>
      <c r="M19" s="16">
        <f t="shared" si="1"/>
        <v>-1.0934799999999925</v>
      </c>
      <c r="N19" s="16">
        <f t="shared" si="1"/>
        <v>-1.0934799999999925</v>
      </c>
      <c r="O19" s="16">
        <f t="shared" si="1"/>
        <v>-1.0934799999999925</v>
      </c>
      <c r="P19" s="16">
        <f t="shared" si="1"/>
        <v>-1.0934799999999925</v>
      </c>
      <c r="Q19" s="16">
        <f t="shared" si="1"/>
        <v>-1.0934799999999925</v>
      </c>
      <c r="R19" s="16">
        <f t="shared" si="1"/>
        <v>-1.0934799999999925</v>
      </c>
      <c r="S19" s="16">
        <f t="shared" si="1"/>
        <v>-1.0934799999999925</v>
      </c>
      <c r="T19" s="16">
        <f t="shared" si="1"/>
        <v>-1.0934799999999925</v>
      </c>
      <c r="U19" s="16">
        <f t="shared" si="1"/>
        <v>-1.0934799999999925</v>
      </c>
      <c r="V19" s="25">
        <f t="shared" si="1"/>
        <v>-1.0934799999999925</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84.51870000000001</v>
      </c>
      <c r="D22" s="16">
        <f>$E32</f>
        <v>84.51870000000001</v>
      </c>
      <c r="E22" s="16">
        <f>$E33</f>
        <v>84.51870000000001</v>
      </c>
      <c r="F22" s="16">
        <f>$E34</f>
        <v>84.51870000000001</v>
      </c>
      <c r="G22" s="16">
        <f>$E35</f>
        <v>72.444599999999994</v>
      </c>
      <c r="H22" s="16">
        <f>$E36</f>
        <v>84.51870000000001</v>
      </c>
      <c r="I22" s="16">
        <f>$E37</f>
        <v>72.444599999999994</v>
      </c>
      <c r="J22" s="16">
        <f>$E38</f>
        <v>0</v>
      </c>
      <c r="K22" s="16">
        <f>$E39</f>
        <v>84.51870000000001</v>
      </c>
      <c r="L22" s="16">
        <f>$E40</f>
        <v>84.51870000000001</v>
      </c>
      <c r="M22" s="16">
        <f>$E41</f>
        <v>84.51870000000001</v>
      </c>
      <c r="N22" s="16">
        <f>$E42</f>
        <v>84.51870000000001</v>
      </c>
      <c r="O22" s="16">
        <f>$E43</f>
        <v>84.51870000000001</v>
      </c>
      <c r="P22" s="16">
        <f>$E44</f>
        <v>84.51870000000001</v>
      </c>
      <c r="Q22" s="16">
        <f>$E45</f>
        <v>84.51870000000001</v>
      </c>
      <c r="R22" s="16">
        <f>$E46</f>
        <v>84.51870000000001</v>
      </c>
      <c r="S22" s="16">
        <f>$E47</f>
        <v>84.51870000000001</v>
      </c>
      <c r="T22" s="16">
        <f>$E48</f>
        <v>84.51870000000001</v>
      </c>
      <c r="U22" s="16">
        <f>$E49</f>
        <v>84.51870000000001</v>
      </c>
      <c r="V22" s="16">
        <f>$E50</f>
        <v>84.51870000000001</v>
      </c>
      <c r="AI22" s="63" t="s">
        <v>102</v>
      </c>
      <c r="AJ22" s="64">
        <v>1.2</v>
      </c>
      <c r="AK22" s="65">
        <v>5</v>
      </c>
      <c r="AL22" s="29">
        <v>20</v>
      </c>
      <c r="AM22" s="11">
        <v>6.7</v>
      </c>
      <c r="AN22" s="11" t="s">
        <v>135</v>
      </c>
    </row>
    <row r="23" spans="1:40" x14ac:dyDescent="0.2">
      <c r="A23" s="133" t="s">
        <v>92</v>
      </c>
      <c r="B23" s="134"/>
      <c r="C23" s="16">
        <f>C22-C21</f>
        <v>-143.48129999999998</v>
      </c>
      <c r="D23" s="16">
        <f t="shared" ref="D23:V23" si="3">D22-D21</f>
        <v>-143.48129999999998</v>
      </c>
      <c r="E23" s="16">
        <f t="shared" si="3"/>
        <v>-143.48129999999998</v>
      </c>
      <c r="F23" s="16">
        <f t="shared" si="3"/>
        <v>-143.48129999999998</v>
      </c>
      <c r="G23" s="16">
        <f t="shared" si="3"/>
        <v>-103.55540000000001</v>
      </c>
      <c r="H23" s="16">
        <f t="shared" si="3"/>
        <v>-143.48129999999998</v>
      </c>
      <c r="I23" s="16">
        <f t="shared" si="3"/>
        <v>-103.55540000000001</v>
      </c>
      <c r="J23" s="16">
        <f t="shared" si="3"/>
        <v>-176</v>
      </c>
      <c r="K23" s="16">
        <f t="shared" si="3"/>
        <v>-143.48129999999998</v>
      </c>
      <c r="L23" s="16">
        <f t="shared" si="3"/>
        <v>-143.48129999999998</v>
      </c>
      <c r="M23" s="16">
        <f t="shared" si="3"/>
        <v>-143.48129999999998</v>
      </c>
      <c r="N23" s="16">
        <f t="shared" si="3"/>
        <v>-143.48129999999998</v>
      </c>
      <c r="O23" s="16">
        <f t="shared" si="3"/>
        <v>-143.48129999999998</v>
      </c>
      <c r="P23" s="16">
        <f t="shared" si="3"/>
        <v>-143.48129999999998</v>
      </c>
      <c r="Q23" s="16">
        <f t="shared" si="3"/>
        <v>-143.48129999999998</v>
      </c>
      <c r="R23" s="16">
        <f t="shared" si="3"/>
        <v>-143.48129999999998</v>
      </c>
      <c r="S23" s="16">
        <f t="shared" si="3"/>
        <v>-143.48129999999998</v>
      </c>
      <c r="T23" s="16">
        <f t="shared" si="3"/>
        <v>-143.48129999999998</v>
      </c>
      <c r="U23" s="16">
        <f t="shared" si="3"/>
        <v>-143.48129999999998</v>
      </c>
      <c r="V23" s="16">
        <f t="shared" si="3"/>
        <v>-143.48129999999998</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1.23</v>
      </c>
      <c r="C28" s="15">
        <v>7.0000000000000007E-2</v>
      </c>
      <c r="D28" s="15">
        <v>198</v>
      </c>
      <c r="E28" s="15">
        <v>501</v>
      </c>
      <c r="F28" s="15">
        <v>69.8</v>
      </c>
      <c r="G28" s="15">
        <v>4.72</v>
      </c>
      <c r="H28" s="15">
        <v>2.02</v>
      </c>
      <c r="I28" s="15">
        <v>0.5</v>
      </c>
      <c r="J28" s="15">
        <v>0.01</v>
      </c>
      <c r="K28" s="23">
        <v>0.05</v>
      </c>
      <c r="L28" s="15">
        <v>0.2</v>
      </c>
      <c r="M28" s="15">
        <v>0.2</v>
      </c>
      <c r="N28" s="15"/>
      <c r="O28" s="15"/>
      <c r="P28" s="15">
        <v>26.3</v>
      </c>
      <c r="Q28" s="15">
        <v>90.3</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140</v>
      </c>
      <c r="C31" s="77">
        <f>IF(C$27="%w/w SAR",((C$28*10)*$B31),IF(C$27="%w/w DM",(((C$28*10)*($B$28/100))*$B31),IF(C$27="kg/t SAR",(C$28*$B31),IF(C$27="kg/t DM",((C$28*($B$28/100))*$B31),IF(C$27="mg/kg SAR",((C$28*0.001)*$B31),IF(C$27="mg/kg DM",(((C$28*0.001)*($B$28/100))*$B31),0))))))</f>
        <v>98.000000000000014</v>
      </c>
      <c r="D31" s="77">
        <f>(IF(D$27="%w/w SAR",((D$28*10)*$B31),IF(D$27="%w/w DM",(((D$28*10)*($B$28/100))*$B31),IF(D$27="kg/t SAR",(D$28*$B31),IF(D$27="kg/t DM",((D$28*($B$28/100))*$B31),IF(D$27="mg/kg SAR",((D$28*0.001)*$B31),IF(D$27="mg/kg DM",(((D$28*0.001)*($B$28/100))*$B31),"0")))))))*2.291</f>
        <v>63.506520000000002</v>
      </c>
      <c r="E31" s="77">
        <f>(IF(E$27="%w/w SAR",((E$28*10)*$B31),IF(E$27="%w/w DM",(((E$28*10)*($B$28/100))*$B31),IF(E$27="kg/t SAR",(E$28*$B31),IF(E$27="kg/t DM",((E$28*($B$28/100))*$B31),IF(E$27="mg/kg SAR",((E$28*0.001)*$B31),IF(E$27="mg/kg DM",(((E$28*0.001)*($B$28/100))*$B31),"0")))))))*1.205</f>
        <v>84.51870000000001</v>
      </c>
      <c r="F31" s="77">
        <f>(IF(F$27="%w/w SAR",((F$28*10)*$B31),IF(F$27="%w/w DM",(((F$28*10)*($B$28/100))*$B31),IF(F$27="kg/t SAR",(F$28*$B31),IF(F$27="kg/t DM",((F$28*($B$28/100))*$B31),IF(F$27="mg/kg SAR",((F$28*0.001)*$B31),IF(F$27="mg/kg DM",(((F$28*0.001)*($B$28/100))*$B31),"0")))))))*1.658</f>
        <v>16.201975999999998</v>
      </c>
      <c r="G31" s="77">
        <f t="shared" ref="G31:P46" si="5">IF(G$27="%w/w SAR",((G$28*10)*$B31),IF(G$27="%w/w DM",(((G$28*10)*($B$28/100))*$B31),IF(G$27="kg/t SAR",(G$28*$B31),IF(G$27="kg/t DM",((G$28*($B$28/100))*$B31),IF(G$27="mg/kg SAR",((G$28*0.001)*$B31),IF(G$27="mg/kg DM",(((G$28*0.001)*($B$28/100))*$B31),0))))))</f>
        <v>0.66080000000000005</v>
      </c>
      <c r="H31" s="77">
        <f t="shared" si="5"/>
        <v>0.2828</v>
      </c>
      <c r="I31" s="77">
        <f t="shared" si="5"/>
        <v>7.0000000000000007E-2</v>
      </c>
      <c r="J31" s="77">
        <f t="shared" si="5"/>
        <v>1.4000000000000002E-3</v>
      </c>
      <c r="K31" s="77">
        <f t="shared" si="5"/>
        <v>7.0000000000000001E-3</v>
      </c>
      <c r="L31" s="77">
        <f t="shared" si="5"/>
        <v>2.8000000000000001E-2</v>
      </c>
      <c r="M31" s="77">
        <f t="shared" si="5"/>
        <v>2.8000000000000001E-2</v>
      </c>
      <c r="N31" s="77">
        <f t="shared" si="5"/>
        <v>0</v>
      </c>
      <c r="O31" s="77">
        <f t="shared" si="5"/>
        <v>0</v>
      </c>
      <c r="P31" s="77">
        <f t="shared" si="5"/>
        <v>3.6819999999999999</v>
      </c>
      <c r="Q31" s="77">
        <f>(IF(Q$27="%w/w SAR",((Q$28*10)*$B31),IF(Q$27="%w/w DM",(((Q$28*10)*($B$28/100))*$B31),IF(Q$27="kg/t SAR",(Q$28*$B31),IF(Q$27="kg/t DM",((Q$28*($B$28/100))*$B31),IF(Q$27="mg/kg SAR",((Q$28*0.001)*$B31),IF(Q$27="mg/kg DM",(((Q$28*0.001)*($B$28/100))*$B31),0)))))))*2.5</f>
        <v>31.605000000000004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140</v>
      </c>
      <c r="C32" s="77">
        <f t="shared" ref="C32:C50" si="6">IF(C$27="%w/w SAR",((C$28*10)*$B32),IF(C$27="%w/w DM",(((C$28*10)*($B$28/100))*$B32),IF(C$27="kg/t SAR",(C$28*$B32),IF(C$27="kg/t DM",((C$28*($B$28/100))*$B32),IF(C$27="mg/kg SAR",((C$28*0.001)*$B32),IF(C$27="mg/kg DM",(((C$28*0.001)*($B$28/100))*$B32),0))))))</f>
        <v>98.000000000000014</v>
      </c>
      <c r="D32" s="77">
        <f t="shared" ref="D32:D50" si="7">(IF(D$27="%w/w SAR",((D$28*10)*$B32),IF(D$27="%w/w DM",(((D$28*10)*($B$28/100))*$B32),IF(D$27="kg/t SAR",(D$28*$B32),IF(D$27="kg/t DM",((D$28*($B$28/100))*$B32),IF(D$27="mg/kg SAR",((D$28*0.001)*$B32),IF(D$27="mg/kg DM",(((D$28*0.001)*($B$28/100))*$B32),"0")))))))*2.291</f>
        <v>63.506520000000002</v>
      </c>
      <c r="E32" s="77">
        <f t="shared" ref="E32:E50" si="8">(IF(E$27="%w/w SAR",((E$28*10)*$B32),IF(E$27="%w/w DM",(((E$28*10)*($B$28/100))*$B32),IF(E$27="kg/t SAR",(E$28*$B32),IF(E$27="kg/t DM",((E$28*($B$28/100))*$B32),IF(E$27="mg/kg SAR",((E$28*0.001)*$B32),IF(E$27="mg/kg DM",(((E$28*0.001)*($B$28/100))*$B32),"0")))))))*1.205</f>
        <v>84.51870000000001</v>
      </c>
      <c r="F32" s="77">
        <f t="shared" ref="F32:F50" si="9">(IF(F$27="%w/w SAR",((F$28*10)*$B32),IF(F$27="%w/w DM",(((F$28*10)*($B$28/100))*$B32),IF(F$27="kg/t SAR",(F$28*$B32),IF(F$27="kg/t DM",((F$28*($B$28/100))*$B32),IF(F$27="mg/kg SAR",((F$28*0.001)*$B32),IF(F$27="mg/kg DM",(((F$28*0.001)*($B$28/100))*$B32),"0")))))))*1.658</f>
        <v>16.201975999999998</v>
      </c>
      <c r="G32" s="77">
        <f t="shared" si="5"/>
        <v>0.66080000000000005</v>
      </c>
      <c r="H32" s="77">
        <f t="shared" si="5"/>
        <v>0.2828</v>
      </c>
      <c r="I32" s="77">
        <f t="shared" si="5"/>
        <v>7.0000000000000007E-2</v>
      </c>
      <c r="J32" s="77">
        <f t="shared" si="5"/>
        <v>1.4000000000000002E-3</v>
      </c>
      <c r="K32" s="77">
        <f t="shared" si="5"/>
        <v>7.0000000000000001E-3</v>
      </c>
      <c r="L32" s="77">
        <f t="shared" si="5"/>
        <v>2.8000000000000001E-2</v>
      </c>
      <c r="M32" s="77">
        <f t="shared" si="5"/>
        <v>2.8000000000000001E-2</v>
      </c>
      <c r="N32" s="77">
        <f t="shared" si="5"/>
        <v>0</v>
      </c>
      <c r="O32" s="77">
        <f t="shared" si="5"/>
        <v>0</v>
      </c>
      <c r="P32" s="77">
        <f t="shared" si="5"/>
        <v>3.6819999999999999</v>
      </c>
      <c r="Q32" s="77">
        <f t="shared" ref="Q32:Q50" si="10">(IF(Q$27="%w/w SAR",((Q$28*10)*$B32),IF(Q$27="%w/w DM",(((Q$28*10)*($B$28/100))*$B32),IF(Q$27="kg/t SAR",(Q$28*$B32),IF(Q$27="kg/t DM",((Q$28*($B$28/100))*$B32),IF(Q$27="mg/kg SAR",((Q$28*0.001)*$B32),IF(Q$27="mg/kg DM",(((Q$28*0.001)*($B$28/100))*$B32),0)))))))*2.5</f>
        <v>31.605000000000004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140</v>
      </c>
      <c r="C33" s="77">
        <f t="shared" si="6"/>
        <v>98.000000000000014</v>
      </c>
      <c r="D33" s="77">
        <f t="shared" si="7"/>
        <v>63.506520000000002</v>
      </c>
      <c r="E33" s="77">
        <f t="shared" si="8"/>
        <v>84.51870000000001</v>
      </c>
      <c r="F33" s="77">
        <f t="shared" si="9"/>
        <v>16.201975999999998</v>
      </c>
      <c r="G33" s="77">
        <f t="shared" si="5"/>
        <v>0.66080000000000005</v>
      </c>
      <c r="H33" s="77">
        <f t="shared" si="5"/>
        <v>0.2828</v>
      </c>
      <c r="I33" s="77">
        <f t="shared" si="5"/>
        <v>7.0000000000000007E-2</v>
      </c>
      <c r="J33" s="77">
        <f t="shared" si="5"/>
        <v>1.4000000000000002E-3</v>
      </c>
      <c r="K33" s="77">
        <f t="shared" si="5"/>
        <v>7.0000000000000001E-3</v>
      </c>
      <c r="L33" s="77">
        <f t="shared" si="5"/>
        <v>2.8000000000000001E-2</v>
      </c>
      <c r="M33" s="77">
        <f t="shared" si="5"/>
        <v>2.8000000000000001E-2</v>
      </c>
      <c r="N33" s="77">
        <f t="shared" si="5"/>
        <v>0</v>
      </c>
      <c r="O33" s="77">
        <f t="shared" si="5"/>
        <v>0</v>
      </c>
      <c r="P33" s="77">
        <f t="shared" si="5"/>
        <v>3.6819999999999999</v>
      </c>
      <c r="Q33" s="77">
        <f t="shared" si="10"/>
        <v>31.605000000000004</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140</v>
      </c>
      <c r="C34" s="77">
        <f t="shared" si="6"/>
        <v>98.000000000000014</v>
      </c>
      <c r="D34" s="77">
        <f t="shared" si="7"/>
        <v>63.506520000000002</v>
      </c>
      <c r="E34" s="77">
        <f t="shared" si="8"/>
        <v>84.51870000000001</v>
      </c>
      <c r="F34" s="77">
        <f t="shared" si="9"/>
        <v>16.201975999999998</v>
      </c>
      <c r="G34" s="77">
        <f t="shared" si="5"/>
        <v>0.66080000000000005</v>
      </c>
      <c r="H34" s="77">
        <f t="shared" si="5"/>
        <v>0.2828</v>
      </c>
      <c r="I34" s="77">
        <f t="shared" si="5"/>
        <v>7.0000000000000007E-2</v>
      </c>
      <c r="J34" s="77">
        <f t="shared" si="5"/>
        <v>1.4000000000000002E-3</v>
      </c>
      <c r="K34" s="77">
        <f t="shared" si="5"/>
        <v>7.0000000000000001E-3</v>
      </c>
      <c r="L34" s="77">
        <f t="shared" si="5"/>
        <v>2.8000000000000001E-2</v>
      </c>
      <c r="M34" s="77">
        <f t="shared" si="5"/>
        <v>2.8000000000000001E-2</v>
      </c>
      <c r="N34" s="77">
        <f t="shared" si="5"/>
        <v>0</v>
      </c>
      <c r="O34" s="77">
        <f t="shared" si="5"/>
        <v>0</v>
      </c>
      <c r="P34" s="77">
        <f t="shared" si="5"/>
        <v>3.6819999999999999</v>
      </c>
      <c r="Q34" s="77">
        <f t="shared" si="10"/>
        <v>31.605000000000004</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120</v>
      </c>
      <c r="C35" s="77">
        <f t="shared" si="6"/>
        <v>84.000000000000014</v>
      </c>
      <c r="D35" s="77">
        <f t="shared" si="7"/>
        <v>54.434159999999999</v>
      </c>
      <c r="E35" s="77">
        <f t="shared" si="8"/>
        <v>72.444599999999994</v>
      </c>
      <c r="F35" s="77">
        <f t="shared" si="9"/>
        <v>13.887407999999999</v>
      </c>
      <c r="G35" s="77">
        <f t="shared" si="5"/>
        <v>0.56640000000000001</v>
      </c>
      <c r="H35" s="77">
        <f t="shared" si="5"/>
        <v>0.2424</v>
      </c>
      <c r="I35" s="77">
        <f t="shared" si="5"/>
        <v>0.06</v>
      </c>
      <c r="J35" s="77">
        <f t="shared" si="5"/>
        <v>1.2000000000000001E-3</v>
      </c>
      <c r="K35" s="77">
        <f t="shared" si="5"/>
        <v>6.0000000000000001E-3</v>
      </c>
      <c r="L35" s="77">
        <f t="shared" si="5"/>
        <v>2.4E-2</v>
      </c>
      <c r="M35" s="77">
        <f t="shared" si="5"/>
        <v>2.4E-2</v>
      </c>
      <c r="N35" s="77">
        <f t="shared" si="5"/>
        <v>0</v>
      </c>
      <c r="O35" s="77">
        <f t="shared" si="5"/>
        <v>0</v>
      </c>
      <c r="P35" s="77">
        <f t="shared" si="5"/>
        <v>3.1560000000000001</v>
      </c>
      <c r="Q35" s="77">
        <f t="shared" si="10"/>
        <v>27.09</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140</v>
      </c>
      <c r="C36" s="77">
        <f t="shared" si="6"/>
        <v>98.000000000000014</v>
      </c>
      <c r="D36" s="77">
        <f t="shared" si="7"/>
        <v>63.506520000000002</v>
      </c>
      <c r="E36" s="77">
        <f t="shared" si="8"/>
        <v>84.51870000000001</v>
      </c>
      <c r="F36" s="77">
        <f t="shared" si="9"/>
        <v>16.201975999999998</v>
      </c>
      <c r="G36" s="77">
        <f t="shared" si="5"/>
        <v>0.66080000000000005</v>
      </c>
      <c r="H36" s="77">
        <f t="shared" si="5"/>
        <v>0.2828</v>
      </c>
      <c r="I36" s="77">
        <f t="shared" si="5"/>
        <v>7.0000000000000007E-2</v>
      </c>
      <c r="J36" s="77">
        <f t="shared" si="5"/>
        <v>1.4000000000000002E-3</v>
      </c>
      <c r="K36" s="77">
        <f t="shared" si="5"/>
        <v>7.0000000000000001E-3</v>
      </c>
      <c r="L36" s="77">
        <f t="shared" si="5"/>
        <v>2.8000000000000001E-2</v>
      </c>
      <c r="M36" s="77">
        <f t="shared" si="5"/>
        <v>2.8000000000000001E-2</v>
      </c>
      <c r="N36" s="77">
        <f t="shared" si="5"/>
        <v>0</v>
      </c>
      <c r="O36" s="77">
        <f t="shared" si="5"/>
        <v>0</v>
      </c>
      <c r="P36" s="77">
        <f t="shared" si="5"/>
        <v>3.6819999999999999</v>
      </c>
      <c r="Q36" s="77">
        <f t="shared" si="10"/>
        <v>31.605000000000004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120</v>
      </c>
      <c r="C37" s="77">
        <f t="shared" si="6"/>
        <v>84.000000000000014</v>
      </c>
      <c r="D37" s="77">
        <f t="shared" si="7"/>
        <v>54.434159999999999</v>
      </c>
      <c r="E37" s="77">
        <f t="shared" si="8"/>
        <v>72.444599999999994</v>
      </c>
      <c r="F37" s="77">
        <f t="shared" si="9"/>
        <v>13.887407999999999</v>
      </c>
      <c r="G37" s="77">
        <f t="shared" si="5"/>
        <v>0.56640000000000001</v>
      </c>
      <c r="H37" s="77">
        <f t="shared" si="5"/>
        <v>0.2424</v>
      </c>
      <c r="I37" s="77">
        <f t="shared" si="5"/>
        <v>0.06</v>
      </c>
      <c r="J37" s="77">
        <f t="shared" si="5"/>
        <v>1.2000000000000001E-3</v>
      </c>
      <c r="K37" s="77">
        <f t="shared" si="5"/>
        <v>6.0000000000000001E-3</v>
      </c>
      <c r="L37" s="77">
        <f t="shared" si="5"/>
        <v>2.4E-2</v>
      </c>
      <c r="M37" s="77">
        <f t="shared" si="5"/>
        <v>2.4E-2</v>
      </c>
      <c r="N37" s="77">
        <f t="shared" si="5"/>
        <v>0</v>
      </c>
      <c r="O37" s="77">
        <f t="shared" si="5"/>
        <v>0</v>
      </c>
      <c r="P37" s="77">
        <f t="shared" si="5"/>
        <v>3.1560000000000001</v>
      </c>
      <c r="Q37" s="77">
        <f t="shared" si="10"/>
        <v>27.09</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140</v>
      </c>
      <c r="C39" s="77">
        <f t="shared" si="6"/>
        <v>98.000000000000014</v>
      </c>
      <c r="D39" s="77">
        <f t="shared" si="7"/>
        <v>63.506520000000002</v>
      </c>
      <c r="E39" s="77">
        <f t="shared" si="8"/>
        <v>84.51870000000001</v>
      </c>
      <c r="F39" s="77">
        <f t="shared" si="9"/>
        <v>16.201975999999998</v>
      </c>
      <c r="G39" s="77">
        <f t="shared" si="5"/>
        <v>0.66080000000000005</v>
      </c>
      <c r="H39" s="77">
        <f t="shared" si="5"/>
        <v>0.2828</v>
      </c>
      <c r="I39" s="77">
        <f t="shared" si="5"/>
        <v>7.0000000000000007E-2</v>
      </c>
      <c r="J39" s="77">
        <f t="shared" si="5"/>
        <v>1.4000000000000002E-3</v>
      </c>
      <c r="K39" s="77">
        <f t="shared" si="5"/>
        <v>7.0000000000000001E-3</v>
      </c>
      <c r="L39" s="77">
        <f t="shared" si="5"/>
        <v>2.8000000000000001E-2</v>
      </c>
      <c r="M39" s="77">
        <f t="shared" si="5"/>
        <v>2.8000000000000001E-2</v>
      </c>
      <c r="N39" s="77">
        <f t="shared" si="5"/>
        <v>0</v>
      </c>
      <c r="O39" s="77">
        <f t="shared" si="5"/>
        <v>0</v>
      </c>
      <c r="P39" s="77">
        <f t="shared" si="5"/>
        <v>3.6819999999999999</v>
      </c>
      <c r="Q39" s="77">
        <f t="shared" si="10"/>
        <v>31.605000000000004</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140</v>
      </c>
      <c r="C40" s="77">
        <f t="shared" si="6"/>
        <v>98.000000000000014</v>
      </c>
      <c r="D40" s="77">
        <f t="shared" si="7"/>
        <v>63.506520000000002</v>
      </c>
      <c r="E40" s="77">
        <f t="shared" si="8"/>
        <v>84.51870000000001</v>
      </c>
      <c r="F40" s="77">
        <f t="shared" si="9"/>
        <v>16.201975999999998</v>
      </c>
      <c r="G40" s="77">
        <f t="shared" si="5"/>
        <v>0.66080000000000005</v>
      </c>
      <c r="H40" s="77">
        <f t="shared" si="5"/>
        <v>0.2828</v>
      </c>
      <c r="I40" s="77">
        <f t="shared" si="5"/>
        <v>7.0000000000000007E-2</v>
      </c>
      <c r="J40" s="77">
        <f t="shared" si="5"/>
        <v>1.4000000000000002E-3</v>
      </c>
      <c r="K40" s="77">
        <f t="shared" si="5"/>
        <v>7.0000000000000001E-3</v>
      </c>
      <c r="L40" s="77">
        <f t="shared" si="5"/>
        <v>2.8000000000000001E-2</v>
      </c>
      <c r="M40" s="77">
        <f t="shared" si="5"/>
        <v>2.8000000000000001E-2</v>
      </c>
      <c r="N40" s="77">
        <f t="shared" si="5"/>
        <v>0</v>
      </c>
      <c r="O40" s="77">
        <f t="shared" si="5"/>
        <v>0</v>
      </c>
      <c r="P40" s="77">
        <f t="shared" si="5"/>
        <v>3.6819999999999999</v>
      </c>
      <c r="Q40" s="77">
        <f t="shared" si="10"/>
        <v>31.605000000000004</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140</v>
      </c>
      <c r="C41" s="77">
        <f t="shared" si="6"/>
        <v>98.000000000000014</v>
      </c>
      <c r="D41" s="77">
        <f t="shared" si="7"/>
        <v>63.506520000000002</v>
      </c>
      <c r="E41" s="77">
        <f t="shared" si="8"/>
        <v>84.51870000000001</v>
      </c>
      <c r="F41" s="77">
        <f t="shared" si="9"/>
        <v>16.201975999999998</v>
      </c>
      <c r="G41" s="77">
        <f t="shared" si="5"/>
        <v>0.66080000000000005</v>
      </c>
      <c r="H41" s="77">
        <f t="shared" si="5"/>
        <v>0.2828</v>
      </c>
      <c r="I41" s="77">
        <f t="shared" si="5"/>
        <v>7.0000000000000007E-2</v>
      </c>
      <c r="J41" s="77">
        <f t="shared" si="5"/>
        <v>1.4000000000000002E-3</v>
      </c>
      <c r="K41" s="77">
        <f t="shared" si="5"/>
        <v>7.0000000000000001E-3</v>
      </c>
      <c r="L41" s="77">
        <f t="shared" si="5"/>
        <v>2.8000000000000001E-2</v>
      </c>
      <c r="M41" s="77">
        <f t="shared" si="5"/>
        <v>2.8000000000000001E-2</v>
      </c>
      <c r="N41" s="77">
        <f t="shared" si="5"/>
        <v>0</v>
      </c>
      <c r="O41" s="77">
        <f t="shared" si="5"/>
        <v>0</v>
      </c>
      <c r="P41" s="77">
        <f t="shared" si="5"/>
        <v>3.6819999999999999</v>
      </c>
      <c r="Q41" s="77">
        <f t="shared" si="10"/>
        <v>31.605000000000004</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140</v>
      </c>
      <c r="C42" s="77">
        <f t="shared" si="6"/>
        <v>98.000000000000014</v>
      </c>
      <c r="D42" s="77">
        <f t="shared" si="7"/>
        <v>63.506520000000002</v>
      </c>
      <c r="E42" s="77">
        <f t="shared" si="8"/>
        <v>84.51870000000001</v>
      </c>
      <c r="F42" s="77">
        <f t="shared" si="9"/>
        <v>16.201975999999998</v>
      </c>
      <c r="G42" s="77">
        <f t="shared" si="5"/>
        <v>0.66080000000000005</v>
      </c>
      <c r="H42" s="77">
        <f t="shared" si="5"/>
        <v>0.2828</v>
      </c>
      <c r="I42" s="77">
        <f t="shared" si="5"/>
        <v>7.0000000000000007E-2</v>
      </c>
      <c r="J42" s="77">
        <f t="shared" si="5"/>
        <v>1.4000000000000002E-3</v>
      </c>
      <c r="K42" s="77">
        <f t="shared" si="5"/>
        <v>7.0000000000000001E-3</v>
      </c>
      <c r="L42" s="77">
        <f t="shared" si="5"/>
        <v>2.8000000000000001E-2</v>
      </c>
      <c r="M42" s="77">
        <f t="shared" si="5"/>
        <v>2.8000000000000001E-2</v>
      </c>
      <c r="N42" s="77">
        <f t="shared" si="5"/>
        <v>0</v>
      </c>
      <c r="O42" s="77">
        <f t="shared" si="5"/>
        <v>0</v>
      </c>
      <c r="P42" s="77">
        <f t="shared" si="5"/>
        <v>3.6819999999999999</v>
      </c>
      <c r="Q42" s="77">
        <f t="shared" si="10"/>
        <v>31.605000000000004</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140</v>
      </c>
      <c r="C43" s="77">
        <f t="shared" si="6"/>
        <v>98.000000000000014</v>
      </c>
      <c r="D43" s="77">
        <f t="shared" si="7"/>
        <v>63.506520000000002</v>
      </c>
      <c r="E43" s="77">
        <f t="shared" si="8"/>
        <v>84.51870000000001</v>
      </c>
      <c r="F43" s="77">
        <f t="shared" si="9"/>
        <v>16.201975999999998</v>
      </c>
      <c r="G43" s="77">
        <f t="shared" si="5"/>
        <v>0.66080000000000005</v>
      </c>
      <c r="H43" s="77">
        <f t="shared" si="5"/>
        <v>0.2828</v>
      </c>
      <c r="I43" s="77">
        <f t="shared" si="5"/>
        <v>7.0000000000000007E-2</v>
      </c>
      <c r="J43" s="77">
        <f t="shared" si="5"/>
        <v>1.4000000000000002E-3</v>
      </c>
      <c r="K43" s="77">
        <f t="shared" si="5"/>
        <v>7.0000000000000001E-3</v>
      </c>
      <c r="L43" s="77">
        <f t="shared" si="5"/>
        <v>2.8000000000000001E-2</v>
      </c>
      <c r="M43" s="77">
        <f t="shared" si="5"/>
        <v>2.8000000000000001E-2</v>
      </c>
      <c r="N43" s="77">
        <f t="shared" si="5"/>
        <v>0</v>
      </c>
      <c r="O43" s="77">
        <f t="shared" si="5"/>
        <v>0</v>
      </c>
      <c r="P43" s="77">
        <f t="shared" si="5"/>
        <v>3.6819999999999999</v>
      </c>
      <c r="Q43" s="77">
        <f t="shared" si="10"/>
        <v>31.605000000000004</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140</v>
      </c>
      <c r="C44" s="77">
        <f t="shared" si="6"/>
        <v>98.000000000000014</v>
      </c>
      <c r="D44" s="77">
        <f t="shared" si="7"/>
        <v>63.506520000000002</v>
      </c>
      <c r="E44" s="77">
        <f t="shared" si="8"/>
        <v>84.51870000000001</v>
      </c>
      <c r="F44" s="77">
        <f t="shared" si="9"/>
        <v>16.201975999999998</v>
      </c>
      <c r="G44" s="77">
        <f t="shared" si="5"/>
        <v>0.66080000000000005</v>
      </c>
      <c r="H44" s="77">
        <f t="shared" si="5"/>
        <v>0.2828</v>
      </c>
      <c r="I44" s="77">
        <f t="shared" si="5"/>
        <v>7.0000000000000007E-2</v>
      </c>
      <c r="J44" s="77">
        <f t="shared" si="5"/>
        <v>1.4000000000000002E-3</v>
      </c>
      <c r="K44" s="77">
        <f t="shared" si="5"/>
        <v>7.0000000000000001E-3</v>
      </c>
      <c r="L44" s="77">
        <f t="shared" si="5"/>
        <v>2.8000000000000001E-2</v>
      </c>
      <c r="M44" s="77">
        <f t="shared" si="5"/>
        <v>2.8000000000000001E-2</v>
      </c>
      <c r="N44" s="77">
        <f t="shared" si="5"/>
        <v>0</v>
      </c>
      <c r="O44" s="77">
        <f t="shared" si="5"/>
        <v>0</v>
      </c>
      <c r="P44" s="77">
        <f t="shared" si="5"/>
        <v>3.6819999999999999</v>
      </c>
      <c r="Q44" s="77">
        <f t="shared" si="10"/>
        <v>31.605000000000004</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140</v>
      </c>
      <c r="C45" s="77">
        <f t="shared" si="6"/>
        <v>98.000000000000014</v>
      </c>
      <c r="D45" s="77">
        <f t="shared" si="7"/>
        <v>63.506520000000002</v>
      </c>
      <c r="E45" s="77">
        <f t="shared" si="8"/>
        <v>84.51870000000001</v>
      </c>
      <c r="F45" s="77">
        <f t="shared" si="9"/>
        <v>16.201975999999998</v>
      </c>
      <c r="G45" s="77">
        <f t="shared" si="5"/>
        <v>0.66080000000000005</v>
      </c>
      <c r="H45" s="77">
        <f t="shared" si="5"/>
        <v>0.2828</v>
      </c>
      <c r="I45" s="77">
        <f t="shared" si="5"/>
        <v>7.0000000000000007E-2</v>
      </c>
      <c r="J45" s="77">
        <f t="shared" si="5"/>
        <v>1.4000000000000002E-3</v>
      </c>
      <c r="K45" s="77">
        <f t="shared" si="5"/>
        <v>7.0000000000000001E-3</v>
      </c>
      <c r="L45" s="77">
        <f t="shared" si="5"/>
        <v>2.8000000000000001E-2</v>
      </c>
      <c r="M45" s="77">
        <f t="shared" si="5"/>
        <v>2.8000000000000001E-2</v>
      </c>
      <c r="N45" s="77">
        <f t="shared" si="5"/>
        <v>0</v>
      </c>
      <c r="O45" s="77">
        <f t="shared" si="5"/>
        <v>0</v>
      </c>
      <c r="P45" s="77">
        <f t="shared" si="5"/>
        <v>3.6819999999999999</v>
      </c>
      <c r="Q45" s="77">
        <f t="shared" si="10"/>
        <v>31.605000000000004</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140</v>
      </c>
      <c r="C46" s="77">
        <f t="shared" si="6"/>
        <v>98.000000000000014</v>
      </c>
      <c r="D46" s="77">
        <f t="shared" si="7"/>
        <v>63.506520000000002</v>
      </c>
      <c r="E46" s="77">
        <f t="shared" si="8"/>
        <v>84.51870000000001</v>
      </c>
      <c r="F46" s="77">
        <f t="shared" si="9"/>
        <v>16.201975999999998</v>
      </c>
      <c r="G46" s="77">
        <f t="shared" si="5"/>
        <v>0.66080000000000005</v>
      </c>
      <c r="H46" s="77">
        <f t="shared" si="5"/>
        <v>0.2828</v>
      </c>
      <c r="I46" s="77">
        <f t="shared" si="5"/>
        <v>7.0000000000000007E-2</v>
      </c>
      <c r="J46" s="77">
        <f t="shared" si="5"/>
        <v>1.4000000000000002E-3</v>
      </c>
      <c r="K46" s="77">
        <f t="shared" si="5"/>
        <v>7.0000000000000001E-3</v>
      </c>
      <c r="L46" s="77">
        <f t="shared" si="5"/>
        <v>2.8000000000000001E-2</v>
      </c>
      <c r="M46" s="77">
        <f t="shared" si="5"/>
        <v>2.8000000000000001E-2</v>
      </c>
      <c r="N46" s="77">
        <f t="shared" si="5"/>
        <v>0</v>
      </c>
      <c r="O46" s="77">
        <f t="shared" si="5"/>
        <v>0</v>
      </c>
      <c r="P46" s="77">
        <f t="shared" si="5"/>
        <v>3.6819999999999999</v>
      </c>
      <c r="Q46" s="77">
        <f t="shared" si="10"/>
        <v>31.605000000000004</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140</v>
      </c>
      <c r="C47" s="77">
        <f t="shared" si="6"/>
        <v>98.000000000000014</v>
      </c>
      <c r="D47" s="77">
        <f t="shared" si="7"/>
        <v>63.506520000000002</v>
      </c>
      <c r="E47" s="77">
        <f t="shared" si="8"/>
        <v>84.51870000000001</v>
      </c>
      <c r="F47" s="77">
        <f t="shared" si="9"/>
        <v>16.201975999999998</v>
      </c>
      <c r="G47" s="77">
        <f t="shared" ref="G47:P50" si="12">IF(G$27="%w/w SAR",((G$28*10)*$B47),IF(G$27="%w/w DM",(((G$28*10)*($B$28/100))*$B47),IF(G$27="kg/t SAR",(G$28*$B47),IF(G$27="kg/t DM",((G$28*($B$28/100))*$B47),IF(G$27="mg/kg SAR",((G$28*0.001)*$B47),IF(G$27="mg/kg DM",(((G$28*0.001)*($B$28/100))*$B47),0))))))</f>
        <v>0.66080000000000005</v>
      </c>
      <c r="H47" s="77">
        <f t="shared" si="12"/>
        <v>0.2828</v>
      </c>
      <c r="I47" s="77">
        <f t="shared" si="12"/>
        <v>7.0000000000000007E-2</v>
      </c>
      <c r="J47" s="77">
        <f t="shared" si="12"/>
        <v>1.4000000000000002E-3</v>
      </c>
      <c r="K47" s="77">
        <f t="shared" si="12"/>
        <v>7.0000000000000001E-3</v>
      </c>
      <c r="L47" s="77">
        <f t="shared" si="12"/>
        <v>2.8000000000000001E-2</v>
      </c>
      <c r="M47" s="77">
        <f t="shared" si="12"/>
        <v>2.8000000000000001E-2</v>
      </c>
      <c r="N47" s="77">
        <f t="shared" si="12"/>
        <v>0</v>
      </c>
      <c r="O47" s="77">
        <f t="shared" si="12"/>
        <v>0</v>
      </c>
      <c r="P47" s="77">
        <f t="shared" si="12"/>
        <v>3.6819999999999999</v>
      </c>
      <c r="Q47" s="77">
        <f t="shared" si="10"/>
        <v>31.605000000000004</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140</v>
      </c>
      <c r="C48" s="77">
        <f t="shared" si="6"/>
        <v>98.000000000000014</v>
      </c>
      <c r="D48" s="77">
        <f t="shared" si="7"/>
        <v>63.506520000000002</v>
      </c>
      <c r="E48" s="77">
        <f t="shared" si="8"/>
        <v>84.51870000000001</v>
      </c>
      <c r="F48" s="77">
        <f t="shared" si="9"/>
        <v>16.201975999999998</v>
      </c>
      <c r="G48" s="77">
        <f t="shared" si="12"/>
        <v>0.66080000000000005</v>
      </c>
      <c r="H48" s="77">
        <f t="shared" si="12"/>
        <v>0.2828</v>
      </c>
      <c r="I48" s="77">
        <f t="shared" si="12"/>
        <v>7.0000000000000007E-2</v>
      </c>
      <c r="J48" s="77">
        <f t="shared" si="12"/>
        <v>1.4000000000000002E-3</v>
      </c>
      <c r="K48" s="77">
        <f t="shared" si="12"/>
        <v>7.0000000000000001E-3</v>
      </c>
      <c r="L48" s="77">
        <f t="shared" si="12"/>
        <v>2.8000000000000001E-2</v>
      </c>
      <c r="M48" s="77">
        <f t="shared" si="12"/>
        <v>2.8000000000000001E-2</v>
      </c>
      <c r="N48" s="77">
        <f t="shared" si="12"/>
        <v>0</v>
      </c>
      <c r="O48" s="77">
        <f t="shared" si="12"/>
        <v>0</v>
      </c>
      <c r="P48" s="77">
        <f t="shared" si="12"/>
        <v>3.6819999999999999</v>
      </c>
      <c r="Q48" s="77">
        <f t="shared" si="10"/>
        <v>31.605000000000004</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140</v>
      </c>
      <c r="C49" s="77">
        <f t="shared" si="6"/>
        <v>98.000000000000014</v>
      </c>
      <c r="D49" s="77">
        <f t="shared" si="7"/>
        <v>63.506520000000002</v>
      </c>
      <c r="E49" s="77">
        <f t="shared" si="8"/>
        <v>84.51870000000001</v>
      </c>
      <c r="F49" s="77">
        <f t="shared" si="9"/>
        <v>16.201975999999998</v>
      </c>
      <c r="G49" s="77">
        <f t="shared" si="12"/>
        <v>0.66080000000000005</v>
      </c>
      <c r="H49" s="77">
        <f t="shared" si="12"/>
        <v>0.2828</v>
      </c>
      <c r="I49" s="77">
        <f t="shared" si="12"/>
        <v>7.0000000000000007E-2</v>
      </c>
      <c r="J49" s="77">
        <f t="shared" si="12"/>
        <v>1.4000000000000002E-3</v>
      </c>
      <c r="K49" s="77">
        <f t="shared" si="12"/>
        <v>7.0000000000000001E-3</v>
      </c>
      <c r="L49" s="77">
        <f t="shared" si="12"/>
        <v>2.8000000000000001E-2</v>
      </c>
      <c r="M49" s="77">
        <f t="shared" si="12"/>
        <v>2.8000000000000001E-2</v>
      </c>
      <c r="N49" s="77">
        <f t="shared" si="12"/>
        <v>0</v>
      </c>
      <c r="O49" s="77">
        <f t="shared" si="12"/>
        <v>0</v>
      </c>
      <c r="P49" s="77">
        <f t="shared" si="12"/>
        <v>3.6819999999999999</v>
      </c>
      <c r="Q49" s="77">
        <f t="shared" si="10"/>
        <v>31.605000000000004</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140</v>
      </c>
      <c r="C50" s="98">
        <f t="shared" si="6"/>
        <v>98.000000000000014</v>
      </c>
      <c r="D50" s="98">
        <f t="shared" si="7"/>
        <v>63.506520000000002</v>
      </c>
      <c r="E50" s="98">
        <f t="shared" si="8"/>
        <v>84.51870000000001</v>
      </c>
      <c r="F50" s="98">
        <f t="shared" si="9"/>
        <v>16.201975999999998</v>
      </c>
      <c r="G50" s="98">
        <f t="shared" si="12"/>
        <v>0.66080000000000005</v>
      </c>
      <c r="H50" s="98">
        <f t="shared" si="12"/>
        <v>0.2828</v>
      </c>
      <c r="I50" s="98">
        <f t="shared" si="12"/>
        <v>7.0000000000000007E-2</v>
      </c>
      <c r="J50" s="98">
        <f t="shared" si="12"/>
        <v>1.4000000000000002E-3</v>
      </c>
      <c r="K50" s="98">
        <f t="shared" si="12"/>
        <v>7.0000000000000001E-3</v>
      </c>
      <c r="L50" s="98">
        <f t="shared" si="12"/>
        <v>2.8000000000000001E-2</v>
      </c>
      <c r="M50" s="98">
        <f t="shared" si="12"/>
        <v>2.8000000000000001E-2</v>
      </c>
      <c r="N50" s="98">
        <f t="shared" si="12"/>
        <v>0</v>
      </c>
      <c r="O50" s="98">
        <f t="shared" si="12"/>
        <v>0</v>
      </c>
      <c r="P50" s="98">
        <f t="shared" si="12"/>
        <v>3.6819999999999999</v>
      </c>
      <c r="Q50" s="98">
        <f t="shared" si="10"/>
        <v>31.605000000000004</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Grass</v>
      </c>
      <c r="H58" s="13" t="str">
        <f>I16&amp;" I "&amp;(VLOOKUP(I14,Table245810[],6,FALSE))</f>
        <v>Medium/Clay I Arable</v>
      </c>
      <c r="I58" s="13" t="str">
        <f>J16&amp;" I "&amp;(VLOOKUP(J14,Table245810[],6,FALSE))</f>
        <v>Medium/Clay I Arable</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x14ac:dyDescent="0.2">
      <c r="A59" s="111" t="s">
        <v>132</v>
      </c>
      <c r="B59" s="76">
        <f>VLOOKUP(C$14,Table245810[],5,FALSE)</f>
        <v>6.2</v>
      </c>
      <c r="C59" s="76">
        <f>VLOOKUP(D$14,Table245810[],5,FALSE)</f>
        <v>6.2</v>
      </c>
      <c r="D59" s="76">
        <f>VLOOKUP(E$14,Table245810[],5,FALSE)</f>
        <v>6.2</v>
      </c>
      <c r="E59" s="76">
        <f>VLOOKUP(F$14,Table245810[],5,FALSE)</f>
        <v>6.2</v>
      </c>
      <c r="F59" s="76">
        <f>VLOOKUP(G$14,Table245810[],5,FALSE)</f>
        <v>6.7</v>
      </c>
      <c r="G59" s="76">
        <f>VLOOKUP(H$14,Table245810[],5,FALSE)</f>
        <v>6.2</v>
      </c>
      <c r="H59" s="76">
        <f>VLOOKUP(I$14,Table245810[],5,FALSE)</f>
        <v>6.7</v>
      </c>
      <c r="I59" s="76">
        <f>VLOOKUP(J$14,Table245810[],5,FALSE)</f>
        <v>6.7</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140</v>
      </c>
      <c r="C62" s="77">
        <f>B32</f>
        <v>140</v>
      </c>
      <c r="D62" s="77">
        <f>B33</f>
        <v>140</v>
      </c>
      <c r="E62" s="77">
        <f>B34</f>
        <v>140</v>
      </c>
      <c r="F62" s="77">
        <f>B35</f>
        <v>120</v>
      </c>
      <c r="G62" s="77">
        <f>B36</f>
        <v>140</v>
      </c>
      <c r="H62" s="77">
        <f>B37</f>
        <v>120</v>
      </c>
      <c r="I62" s="77">
        <f>B38</f>
        <v>0</v>
      </c>
      <c r="J62" s="77">
        <f>B39</f>
        <v>140</v>
      </c>
      <c r="K62" s="77">
        <f>B40</f>
        <v>140</v>
      </c>
      <c r="L62" s="77">
        <f>B41</f>
        <v>140</v>
      </c>
      <c r="M62" s="77">
        <f>B42</f>
        <v>140</v>
      </c>
      <c r="N62" s="77">
        <f>B43</f>
        <v>140</v>
      </c>
      <c r="O62" s="77">
        <f>B44</f>
        <v>140</v>
      </c>
      <c r="P62" s="77">
        <f>B45</f>
        <v>140</v>
      </c>
      <c r="Q62" s="77">
        <f>B46</f>
        <v>140</v>
      </c>
      <c r="R62" s="77">
        <f>B47</f>
        <v>140</v>
      </c>
      <c r="S62" s="77">
        <f>B48</f>
        <v>140</v>
      </c>
      <c r="T62" s="77">
        <f>B49</f>
        <v>140</v>
      </c>
      <c r="U62" s="77">
        <f>B50</f>
        <v>140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12" priority="38" operator="equal">
      <formula>"DECREASE"</formula>
    </cfRule>
    <cfRule type="cellIs" dxfId="211" priority="39" operator="equal">
      <formula>"INCREASE"</formula>
    </cfRule>
  </conditionalFormatting>
  <conditionalFormatting sqref="B62:U66">
    <cfRule type="cellIs" dxfId="210" priority="37" operator="greaterThan">
      <formula>$B$51</formula>
    </cfRule>
  </conditionalFormatting>
  <conditionalFormatting sqref="C31:C50">
    <cfRule type="cellIs" dxfId="209" priority="36" operator="greaterThan">
      <formula>$C$51</formula>
    </cfRule>
  </conditionalFormatting>
  <conditionalFormatting sqref="C18:V18">
    <cfRule type="cellIs" dxfId="208" priority="35" operator="equal">
      <formula>0</formula>
    </cfRule>
  </conditionalFormatting>
  <conditionalFormatting sqref="C17:V17">
    <cfRule type="cellIs" dxfId="207" priority="34" operator="equal">
      <formula>0</formula>
    </cfRule>
  </conditionalFormatting>
  <conditionalFormatting sqref="C19:V19">
    <cfRule type="cellIs" dxfId="206" priority="33" operator="equal">
      <formula>0</formula>
    </cfRule>
  </conditionalFormatting>
  <conditionalFormatting sqref="G31:G50">
    <cfRule type="cellIs" dxfId="205" priority="32" operator="greaterThan">
      <formula>$G$51</formula>
    </cfRule>
  </conditionalFormatting>
  <conditionalFormatting sqref="H31:H50">
    <cfRule type="cellIs" dxfId="204" priority="31" operator="greaterThan">
      <formula>$H$51</formula>
    </cfRule>
  </conditionalFormatting>
  <conditionalFormatting sqref="I31:I50">
    <cfRule type="cellIs" dxfId="203" priority="30" operator="greaterThan">
      <formula>$I$51</formula>
    </cfRule>
  </conditionalFormatting>
  <conditionalFormatting sqref="K31:K50">
    <cfRule type="cellIs" dxfId="202" priority="29" operator="greaterThan">
      <formula>$K$51</formula>
    </cfRule>
  </conditionalFormatting>
  <conditionalFormatting sqref="L31:L50">
    <cfRule type="cellIs" dxfId="201" priority="28" operator="greaterThan">
      <formula>$L$51</formula>
    </cfRule>
  </conditionalFormatting>
  <conditionalFormatting sqref="M31:M50">
    <cfRule type="cellIs" dxfId="200" priority="27" operator="greaterThan">
      <formula>$M$51</formula>
    </cfRule>
  </conditionalFormatting>
  <conditionalFormatting sqref="P31:P50">
    <cfRule type="cellIs" dxfId="199" priority="26" operator="greaterThan">
      <formula>$P$51</formula>
    </cfRule>
  </conditionalFormatting>
  <conditionalFormatting sqref="R31:R50">
    <cfRule type="cellIs" dxfId="198" priority="25" operator="greaterThan">
      <formula>$R$51</formula>
    </cfRule>
  </conditionalFormatting>
  <conditionalFormatting sqref="S31:S50">
    <cfRule type="cellIs" dxfId="197" priority="24" operator="greaterThan">
      <formula>$S$51</formula>
    </cfRule>
  </conditionalFormatting>
  <conditionalFormatting sqref="T31:T50">
    <cfRule type="cellIs" dxfId="196" priority="23" operator="greaterThan">
      <formula>$T$51</formula>
    </cfRule>
  </conditionalFormatting>
  <conditionalFormatting sqref="U31:U50">
    <cfRule type="cellIs" dxfId="195" priority="22" operator="greaterThan">
      <formula>$U$51</formula>
    </cfRule>
  </conditionalFormatting>
  <conditionalFormatting sqref="C22:V22">
    <cfRule type="cellIs" dxfId="194" priority="21" operator="equal">
      <formula>0</formula>
    </cfRule>
  </conditionalFormatting>
  <conditionalFormatting sqref="C24:V24">
    <cfRule type="cellIs" dxfId="193" priority="19" operator="equal">
      <formula>"DECREASE"</formula>
    </cfRule>
    <cfRule type="cellIs" dxfId="192" priority="20" operator="equal">
      <formula>"INCREASE"</formula>
    </cfRule>
  </conditionalFormatting>
  <conditionalFormatting sqref="C23:V23">
    <cfRule type="cellIs" dxfId="191" priority="18" operator="equal">
      <formula>0</formula>
    </cfRule>
  </conditionalFormatting>
  <conditionalFormatting sqref="C21:V21">
    <cfRule type="cellIs" dxfId="190" priority="14" operator="equal">
      <formula>0</formula>
    </cfRule>
  </conditionalFormatting>
  <conditionalFormatting sqref="B66:U66">
    <cfRule type="cellIs" dxfId="189" priority="12" operator="equal">
      <formula>"UNDER"</formula>
    </cfRule>
    <cfRule type="cellIs" dxfId="188" priority="13" operator="equal">
      <formula>"OVER"</formula>
    </cfRule>
  </conditionalFormatting>
  <conditionalFormatting sqref="J31:J50">
    <cfRule type="cellIs" dxfId="187" priority="9" operator="greaterThan">
      <formula>$J$51</formula>
    </cfRule>
  </conditionalFormatting>
  <conditionalFormatting sqref="L3">
    <cfRule type="cellIs" dxfId="186" priority="5" operator="lessThan">
      <formula>30</formula>
    </cfRule>
    <cfRule type="cellIs" dxfId="185" priority="6" operator="greaterThanOrEqual">
      <formula>30</formula>
    </cfRule>
  </conditionalFormatting>
  <conditionalFormatting sqref="I1">
    <cfRule type="cellIs" dxfId="184" priority="4" operator="between">
      <formula>0.1</formula>
      <formula>5</formula>
    </cfRule>
  </conditionalFormatting>
  <conditionalFormatting sqref="I2">
    <cfRule type="cellIs" dxfId="183" priority="3" operator="greaterThan">
      <formula>5000.1</formula>
    </cfRule>
  </conditionalFormatting>
  <conditionalFormatting sqref="I3">
    <cfRule type="cellIs" dxfId="182" priority="2" operator="greaterThan">
      <formula>40000.01</formula>
    </cfRule>
  </conditionalFormatting>
  <conditionalFormatting sqref="B31:B50">
    <cfRule type="cellIs" dxfId="181" priority="1" operator="greaterThan">
      <formula>$B$51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38" sqref="B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v>4.0199999999999996</v>
      </c>
      <c r="J1" s="129" t="s">
        <v>153</v>
      </c>
      <c r="K1" s="129"/>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169</v>
      </c>
      <c r="G2" s="127" t="s">
        <v>110</v>
      </c>
      <c r="H2" s="128"/>
      <c r="I2" s="118">
        <v>299</v>
      </c>
      <c r="J2" s="129" t="s">
        <v>158</v>
      </c>
      <c r="K2" s="129"/>
      <c r="L2" s="97">
        <v>0.32</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v>200</v>
      </c>
      <c r="J3" s="125" t="s">
        <v>154</v>
      </c>
      <c r="K3" s="126"/>
      <c r="L3" s="97">
        <f>(L1/(L2*10000))*100</f>
        <v>1.5625</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t="s">
        <v>175</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64.23276700000001</v>
      </c>
      <c r="D18" s="16">
        <f>$D32</f>
        <v>64.23276700000001</v>
      </c>
      <c r="E18" s="16">
        <f>$D33</f>
        <v>64.23276700000001</v>
      </c>
      <c r="F18" s="16">
        <f>$D34</f>
        <v>64.23276700000001</v>
      </c>
      <c r="G18" s="16">
        <f>$D35</f>
        <v>37.570109000000002</v>
      </c>
      <c r="H18" s="16">
        <f>$D36</f>
        <v>64.23276700000001</v>
      </c>
      <c r="I18" s="16">
        <f>$D37</f>
        <v>37.570109000000002</v>
      </c>
      <c r="J18" s="16">
        <f>$D38</f>
        <v>0</v>
      </c>
      <c r="K18" s="16">
        <f>$D39</f>
        <v>64.23276700000001</v>
      </c>
      <c r="L18" s="16">
        <f>$D40</f>
        <v>64.23276700000001</v>
      </c>
      <c r="M18" s="16">
        <f>$D41</f>
        <v>64.23276700000001</v>
      </c>
      <c r="N18" s="16">
        <f>$D42</f>
        <v>64.23276700000001</v>
      </c>
      <c r="O18" s="16">
        <f>$D43</f>
        <v>64.23276700000001</v>
      </c>
      <c r="P18" s="16">
        <f>$D44</f>
        <v>64.23276700000001</v>
      </c>
      <c r="Q18" s="16">
        <f>$D45</f>
        <v>64.23276700000001</v>
      </c>
      <c r="R18" s="16">
        <f>$D46</f>
        <v>64.23276700000001</v>
      </c>
      <c r="S18" s="16">
        <f>$D47</f>
        <v>78.776035000000007</v>
      </c>
      <c r="T18" s="16">
        <f>$D48</f>
        <v>64.23276700000001</v>
      </c>
      <c r="U18" s="16">
        <f>$D49</f>
        <v>64.23276700000001</v>
      </c>
      <c r="V18" s="25">
        <f>$D50</f>
        <v>64.23276700000001</v>
      </c>
      <c r="AD18" s="52" t="s">
        <v>147</v>
      </c>
      <c r="AE18" s="30">
        <v>16</v>
      </c>
      <c r="AI18" s="48" t="s">
        <v>106</v>
      </c>
      <c r="AJ18" s="49">
        <v>5.9</v>
      </c>
      <c r="AK18" s="50">
        <v>18</v>
      </c>
      <c r="AL18" s="51">
        <v>16</v>
      </c>
      <c r="AM18" s="11">
        <v>6.2</v>
      </c>
      <c r="AN18" s="11" t="s">
        <v>112</v>
      </c>
    </row>
    <row r="19" spans="1:40" x14ac:dyDescent="0.2">
      <c r="A19" s="133" t="s">
        <v>90</v>
      </c>
      <c r="B19" s="134"/>
      <c r="C19" s="16">
        <f>C18-C17</f>
        <v>-0.3672329999999846</v>
      </c>
      <c r="D19" s="16">
        <f t="shared" ref="D19:V19" si="1">D18-D17</f>
        <v>-0.3672329999999846</v>
      </c>
      <c r="E19" s="16">
        <f t="shared" si="1"/>
        <v>-0.3672329999999846</v>
      </c>
      <c r="F19" s="16">
        <f t="shared" si="1"/>
        <v>-0.3672329999999846</v>
      </c>
      <c r="G19" s="16">
        <f t="shared" si="1"/>
        <v>-18.429890999999998</v>
      </c>
      <c r="H19" s="16">
        <f t="shared" si="1"/>
        <v>-0.3672329999999846</v>
      </c>
      <c r="I19" s="16">
        <f t="shared" si="1"/>
        <v>-18.429890999999998</v>
      </c>
      <c r="J19" s="16">
        <f t="shared" si="1"/>
        <v>-56</v>
      </c>
      <c r="K19" s="16">
        <f t="shared" si="1"/>
        <v>-0.3672329999999846</v>
      </c>
      <c r="L19" s="16">
        <f t="shared" si="1"/>
        <v>-0.3672329999999846</v>
      </c>
      <c r="M19" s="16">
        <f t="shared" si="1"/>
        <v>-0.3672329999999846</v>
      </c>
      <c r="N19" s="16">
        <f t="shared" si="1"/>
        <v>-0.3672329999999846</v>
      </c>
      <c r="O19" s="16">
        <f t="shared" si="1"/>
        <v>-0.3672329999999846</v>
      </c>
      <c r="P19" s="16">
        <f t="shared" si="1"/>
        <v>-0.3672329999999846</v>
      </c>
      <c r="Q19" s="16">
        <f t="shared" si="1"/>
        <v>-0.3672329999999846</v>
      </c>
      <c r="R19" s="16">
        <f t="shared" si="1"/>
        <v>-0.3672329999999846</v>
      </c>
      <c r="S19" s="16">
        <f t="shared" si="1"/>
        <v>14.176035000000013</v>
      </c>
      <c r="T19" s="16">
        <f t="shared" si="1"/>
        <v>-0.3672329999999846</v>
      </c>
      <c r="U19" s="16">
        <f t="shared" si="1"/>
        <v>-0.3672329999999846</v>
      </c>
      <c r="V19" s="25">
        <f t="shared" si="1"/>
        <v>-0.3672329999999846</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INCREASE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16.093980000000002</v>
      </c>
      <c r="D22" s="16">
        <f>$E32</f>
        <v>16.093980000000002</v>
      </c>
      <c r="E22" s="16">
        <f>$E33</f>
        <v>16.093980000000002</v>
      </c>
      <c r="F22" s="16">
        <f>$E34</f>
        <v>16.093980000000002</v>
      </c>
      <c r="G22" s="16">
        <f>$E35</f>
        <v>9.4134600000000006</v>
      </c>
      <c r="H22" s="16">
        <f>$E36</f>
        <v>16.093980000000002</v>
      </c>
      <c r="I22" s="16">
        <f>$E37</f>
        <v>9.4134600000000006</v>
      </c>
      <c r="J22" s="16">
        <f>$E38</f>
        <v>0</v>
      </c>
      <c r="K22" s="16">
        <f>$E39</f>
        <v>16.093980000000002</v>
      </c>
      <c r="L22" s="16">
        <f>$E40</f>
        <v>16.093980000000002</v>
      </c>
      <c r="M22" s="16">
        <f>$E41</f>
        <v>16.093980000000002</v>
      </c>
      <c r="N22" s="16">
        <f>$E42</f>
        <v>16.093980000000002</v>
      </c>
      <c r="O22" s="16">
        <f>$E43</f>
        <v>16.093980000000002</v>
      </c>
      <c r="P22" s="16">
        <f>$E44</f>
        <v>16.093980000000002</v>
      </c>
      <c r="Q22" s="16">
        <f>$E45</f>
        <v>16.093980000000002</v>
      </c>
      <c r="R22" s="16">
        <f>$E46</f>
        <v>16.093980000000002</v>
      </c>
      <c r="S22" s="16">
        <f>$E47</f>
        <v>19.7379</v>
      </c>
      <c r="T22" s="16">
        <f>$E48</f>
        <v>16.093980000000002</v>
      </c>
      <c r="U22" s="16">
        <f>$E49</f>
        <v>16.093980000000002</v>
      </c>
      <c r="V22" s="16">
        <f>$E50</f>
        <v>16.093980000000002</v>
      </c>
      <c r="AI22" s="63" t="s">
        <v>102</v>
      </c>
      <c r="AJ22" s="64">
        <v>1.2</v>
      </c>
      <c r="AK22" s="65">
        <v>5</v>
      </c>
      <c r="AL22" s="29">
        <v>20</v>
      </c>
      <c r="AM22" s="11">
        <v>6.7</v>
      </c>
      <c r="AN22" s="11" t="s">
        <v>135</v>
      </c>
    </row>
    <row r="23" spans="1:40" x14ac:dyDescent="0.2">
      <c r="A23" s="133" t="s">
        <v>92</v>
      </c>
      <c r="B23" s="134"/>
      <c r="C23" s="16">
        <f>C22-C21</f>
        <v>-211.90602000000001</v>
      </c>
      <c r="D23" s="16">
        <f t="shared" ref="D23:V23" si="3">D22-D21</f>
        <v>-211.90602000000001</v>
      </c>
      <c r="E23" s="16">
        <f t="shared" si="3"/>
        <v>-211.90602000000001</v>
      </c>
      <c r="F23" s="16">
        <f t="shared" si="3"/>
        <v>-211.90602000000001</v>
      </c>
      <c r="G23" s="16">
        <f t="shared" si="3"/>
        <v>-166.58654000000001</v>
      </c>
      <c r="H23" s="16">
        <f t="shared" si="3"/>
        <v>-211.90602000000001</v>
      </c>
      <c r="I23" s="16">
        <f t="shared" si="3"/>
        <v>-166.58654000000001</v>
      </c>
      <c r="J23" s="16">
        <f t="shared" si="3"/>
        <v>-176</v>
      </c>
      <c r="K23" s="16">
        <f t="shared" si="3"/>
        <v>-211.90602000000001</v>
      </c>
      <c r="L23" s="16">
        <f t="shared" si="3"/>
        <v>-211.90602000000001</v>
      </c>
      <c r="M23" s="16">
        <f t="shared" si="3"/>
        <v>-211.90602000000001</v>
      </c>
      <c r="N23" s="16">
        <f t="shared" si="3"/>
        <v>-211.90602000000001</v>
      </c>
      <c r="O23" s="16">
        <f t="shared" si="3"/>
        <v>-211.90602000000001</v>
      </c>
      <c r="P23" s="16">
        <f t="shared" si="3"/>
        <v>-211.90602000000001</v>
      </c>
      <c r="Q23" s="16">
        <f t="shared" si="3"/>
        <v>-211.90602000000001</v>
      </c>
      <c r="R23" s="16">
        <f t="shared" si="3"/>
        <v>-211.90602000000001</v>
      </c>
      <c r="S23" s="16">
        <f t="shared" si="3"/>
        <v>-208.2621</v>
      </c>
      <c r="T23" s="16">
        <f t="shared" si="3"/>
        <v>-211.90602000000001</v>
      </c>
      <c r="U23" s="16">
        <f t="shared" si="3"/>
        <v>-211.90602000000001</v>
      </c>
      <c r="V23" s="16">
        <f t="shared" si="3"/>
        <v>-211.90602000000001</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5.99</v>
      </c>
      <c r="C28" s="15">
        <v>0.32</v>
      </c>
      <c r="D28" s="15">
        <v>529</v>
      </c>
      <c r="E28" s="15">
        <v>252</v>
      </c>
      <c r="F28" s="15">
        <v>64.5</v>
      </c>
      <c r="G28" s="15">
        <v>1.21</v>
      </c>
      <c r="H28" s="15">
        <v>2.33</v>
      </c>
      <c r="I28" s="15">
        <v>0.5</v>
      </c>
      <c r="J28" s="15">
        <v>0.01</v>
      </c>
      <c r="K28" s="23">
        <v>0.05</v>
      </c>
      <c r="L28" s="15">
        <v>0.2</v>
      </c>
      <c r="M28" s="15">
        <v>0.47</v>
      </c>
      <c r="N28" s="15"/>
      <c r="O28" s="15"/>
      <c r="P28" s="15">
        <v>61.7</v>
      </c>
      <c r="Q28" s="15">
        <v>177</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53</v>
      </c>
      <c r="C31" s="77">
        <f>IF(C$27="%w/w SAR",((C$28*10)*$B31),IF(C$27="%w/w DM",(((C$28*10)*($B$28/100))*$B31),IF(C$27="kg/t SAR",(C$28*$B31),IF(C$27="kg/t DM",((C$28*($B$28/100))*$B31),IF(C$27="mg/kg SAR",((C$28*0.001)*$B31),IF(C$27="mg/kg DM",(((C$28*0.001)*($B$28/100))*$B31),0))))))</f>
        <v>169.60000000000002</v>
      </c>
      <c r="D31" s="77">
        <f>(IF(D$27="%w/w SAR",((D$28*10)*$B31),IF(D$27="%w/w DM",(((D$28*10)*($B$28/100))*$B31),IF(D$27="kg/t SAR",(D$28*$B31),IF(D$27="kg/t DM",((D$28*($B$28/100))*$B31),IF(D$27="mg/kg SAR",((D$28*0.001)*$B31),IF(D$27="mg/kg DM",(((D$28*0.001)*($B$28/100))*$B31),"0")))))))*2.291</f>
        <v>64.23276700000001</v>
      </c>
      <c r="E31" s="77">
        <f>(IF(E$27="%w/w SAR",((E$28*10)*$B31),IF(E$27="%w/w DM",(((E$28*10)*($B$28/100))*$B31),IF(E$27="kg/t SAR",(E$28*$B31),IF(E$27="kg/t DM",((E$28*($B$28/100))*$B31),IF(E$27="mg/kg SAR",((E$28*0.001)*$B31),IF(E$27="mg/kg DM",(((E$28*0.001)*($B$28/100))*$B31),"0")))))))*1.205</f>
        <v>16.093980000000002</v>
      </c>
      <c r="F31" s="77">
        <f>(IF(F$27="%w/w SAR",((F$28*10)*$B31),IF(F$27="%w/w DM",(((F$28*10)*($B$28/100))*$B31),IF(F$27="kg/t SAR",(F$28*$B31),IF(F$27="kg/t DM",((F$28*($B$28/100))*$B31),IF(F$27="mg/kg SAR",((F$28*0.001)*$B31),IF(F$27="mg/kg DM",(((F$28*0.001)*($B$28/100))*$B31),"0")))))))*1.658</f>
        <v>5.6678729999999993</v>
      </c>
      <c r="G31" s="77">
        <f t="shared" ref="G31:P46" si="5">IF(G$27="%w/w SAR",((G$28*10)*$B31),IF(G$27="%w/w DM",(((G$28*10)*($B$28/100))*$B31),IF(G$27="kg/t SAR",(G$28*$B31),IF(G$27="kg/t DM",((G$28*($B$28/100))*$B31),IF(G$27="mg/kg SAR",((G$28*0.001)*$B31),IF(G$27="mg/kg DM",(((G$28*0.001)*($B$28/100))*$B31),0))))))</f>
        <v>6.4129999999999993E-2</v>
      </c>
      <c r="H31" s="77">
        <f t="shared" si="5"/>
        <v>0.12349</v>
      </c>
      <c r="I31" s="77">
        <f t="shared" si="5"/>
        <v>2.6499999999999999E-2</v>
      </c>
      <c r="J31" s="77">
        <f t="shared" si="5"/>
        <v>5.3000000000000009E-4</v>
      </c>
      <c r="K31" s="77">
        <f t="shared" si="5"/>
        <v>2.65E-3</v>
      </c>
      <c r="L31" s="77">
        <f t="shared" si="5"/>
        <v>1.06E-2</v>
      </c>
      <c r="M31" s="77">
        <f t="shared" si="5"/>
        <v>2.4909999999999998E-2</v>
      </c>
      <c r="N31" s="77">
        <f t="shared" si="5"/>
        <v>0</v>
      </c>
      <c r="O31" s="77">
        <f t="shared" si="5"/>
        <v>0</v>
      </c>
      <c r="P31" s="77">
        <f t="shared" si="5"/>
        <v>3.2701000000000002</v>
      </c>
      <c r="Q31" s="77">
        <f>(IF(Q$27="%w/w SAR",((Q$28*10)*$B31),IF(Q$27="%w/w DM",(((Q$28*10)*($B$28/100))*$B31),IF(Q$27="kg/t SAR",(Q$28*$B31),IF(Q$27="kg/t DM",((Q$28*($B$28/100))*$B31),IF(Q$27="mg/kg SAR",((Q$28*0.001)*$B31),IF(Q$27="mg/kg DM",(((Q$28*0.001)*($B$28/100))*$B31),0)))))))*2.5</f>
        <v>23.452500000000001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53</v>
      </c>
      <c r="C32" s="77">
        <f t="shared" ref="C32:C50" si="6">IF(C$27="%w/w SAR",((C$28*10)*$B32),IF(C$27="%w/w DM",(((C$28*10)*($B$28/100))*$B32),IF(C$27="kg/t SAR",(C$28*$B32),IF(C$27="kg/t DM",((C$28*($B$28/100))*$B32),IF(C$27="mg/kg SAR",((C$28*0.001)*$B32),IF(C$27="mg/kg DM",(((C$28*0.001)*($B$28/100))*$B32),0))))))</f>
        <v>169.60000000000002</v>
      </c>
      <c r="D32" s="77">
        <f t="shared" ref="D32:D50" si="7">(IF(D$27="%w/w SAR",((D$28*10)*$B32),IF(D$27="%w/w DM",(((D$28*10)*($B$28/100))*$B32),IF(D$27="kg/t SAR",(D$28*$B32),IF(D$27="kg/t DM",((D$28*($B$28/100))*$B32),IF(D$27="mg/kg SAR",((D$28*0.001)*$B32),IF(D$27="mg/kg DM",(((D$28*0.001)*($B$28/100))*$B32),"0")))))))*2.291</f>
        <v>64.23276700000001</v>
      </c>
      <c r="E32" s="77">
        <f t="shared" ref="E32:E50" si="8">(IF(E$27="%w/w SAR",((E$28*10)*$B32),IF(E$27="%w/w DM",(((E$28*10)*($B$28/100))*$B32),IF(E$27="kg/t SAR",(E$28*$B32),IF(E$27="kg/t DM",((E$28*($B$28/100))*$B32),IF(E$27="mg/kg SAR",((E$28*0.001)*$B32),IF(E$27="mg/kg DM",(((E$28*0.001)*($B$28/100))*$B32),"0")))))))*1.205</f>
        <v>16.093980000000002</v>
      </c>
      <c r="F32" s="77">
        <f t="shared" ref="F32:F50" si="9">(IF(F$27="%w/w SAR",((F$28*10)*$B32),IF(F$27="%w/w DM",(((F$28*10)*($B$28/100))*$B32),IF(F$27="kg/t SAR",(F$28*$B32),IF(F$27="kg/t DM",((F$28*($B$28/100))*$B32),IF(F$27="mg/kg SAR",((F$28*0.001)*$B32),IF(F$27="mg/kg DM",(((F$28*0.001)*($B$28/100))*$B32),"0")))))))*1.658</f>
        <v>5.6678729999999993</v>
      </c>
      <c r="G32" s="77">
        <f t="shared" si="5"/>
        <v>6.4129999999999993E-2</v>
      </c>
      <c r="H32" s="77">
        <f t="shared" si="5"/>
        <v>0.12349</v>
      </c>
      <c r="I32" s="77">
        <f t="shared" si="5"/>
        <v>2.6499999999999999E-2</v>
      </c>
      <c r="J32" s="77">
        <f t="shared" si="5"/>
        <v>5.3000000000000009E-4</v>
      </c>
      <c r="K32" s="77">
        <f t="shared" si="5"/>
        <v>2.65E-3</v>
      </c>
      <c r="L32" s="77">
        <f t="shared" si="5"/>
        <v>1.06E-2</v>
      </c>
      <c r="M32" s="77">
        <f t="shared" si="5"/>
        <v>2.4909999999999998E-2</v>
      </c>
      <c r="N32" s="77">
        <f t="shared" si="5"/>
        <v>0</v>
      </c>
      <c r="O32" s="77">
        <f t="shared" si="5"/>
        <v>0</v>
      </c>
      <c r="P32" s="77">
        <f t="shared" si="5"/>
        <v>3.2701000000000002</v>
      </c>
      <c r="Q32" s="77">
        <f t="shared" ref="Q32:Q50" si="10">(IF(Q$27="%w/w SAR",((Q$28*10)*$B32),IF(Q$27="%w/w DM",(((Q$28*10)*($B$28/100))*$B32),IF(Q$27="kg/t SAR",(Q$28*$B32),IF(Q$27="kg/t DM",((Q$28*($B$28/100))*$B32),IF(Q$27="mg/kg SAR",((Q$28*0.001)*$B32),IF(Q$27="mg/kg DM",(((Q$28*0.001)*($B$28/100))*$B32),0)))))))*2.5</f>
        <v>23.452500000000001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53</v>
      </c>
      <c r="C33" s="77">
        <f t="shared" si="6"/>
        <v>169.60000000000002</v>
      </c>
      <c r="D33" s="77">
        <f t="shared" si="7"/>
        <v>64.23276700000001</v>
      </c>
      <c r="E33" s="77">
        <f t="shared" si="8"/>
        <v>16.093980000000002</v>
      </c>
      <c r="F33" s="77">
        <f t="shared" si="9"/>
        <v>5.6678729999999993</v>
      </c>
      <c r="G33" s="77">
        <f t="shared" si="5"/>
        <v>6.4129999999999993E-2</v>
      </c>
      <c r="H33" s="77">
        <f t="shared" si="5"/>
        <v>0.12349</v>
      </c>
      <c r="I33" s="77">
        <f t="shared" si="5"/>
        <v>2.6499999999999999E-2</v>
      </c>
      <c r="J33" s="77">
        <f t="shared" si="5"/>
        <v>5.3000000000000009E-4</v>
      </c>
      <c r="K33" s="77">
        <f t="shared" si="5"/>
        <v>2.65E-3</v>
      </c>
      <c r="L33" s="77">
        <f t="shared" si="5"/>
        <v>1.06E-2</v>
      </c>
      <c r="M33" s="77">
        <f t="shared" si="5"/>
        <v>2.4909999999999998E-2</v>
      </c>
      <c r="N33" s="77">
        <f t="shared" si="5"/>
        <v>0</v>
      </c>
      <c r="O33" s="77">
        <f t="shared" si="5"/>
        <v>0</v>
      </c>
      <c r="P33" s="77">
        <f t="shared" si="5"/>
        <v>3.2701000000000002</v>
      </c>
      <c r="Q33" s="77">
        <f t="shared" si="10"/>
        <v>23.452500000000001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53</v>
      </c>
      <c r="C34" s="77">
        <f t="shared" si="6"/>
        <v>169.60000000000002</v>
      </c>
      <c r="D34" s="77">
        <f t="shared" si="7"/>
        <v>64.23276700000001</v>
      </c>
      <c r="E34" s="77">
        <f t="shared" si="8"/>
        <v>16.093980000000002</v>
      </c>
      <c r="F34" s="77">
        <f t="shared" si="9"/>
        <v>5.6678729999999993</v>
      </c>
      <c r="G34" s="77">
        <f t="shared" si="5"/>
        <v>6.4129999999999993E-2</v>
      </c>
      <c r="H34" s="77">
        <f t="shared" si="5"/>
        <v>0.12349</v>
      </c>
      <c r="I34" s="77">
        <f t="shared" si="5"/>
        <v>2.6499999999999999E-2</v>
      </c>
      <c r="J34" s="77">
        <f t="shared" si="5"/>
        <v>5.3000000000000009E-4</v>
      </c>
      <c r="K34" s="77">
        <f t="shared" si="5"/>
        <v>2.65E-3</v>
      </c>
      <c r="L34" s="77">
        <f t="shared" si="5"/>
        <v>1.06E-2</v>
      </c>
      <c r="M34" s="77">
        <f t="shared" si="5"/>
        <v>2.4909999999999998E-2</v>
      </c>
      <c r="N34" s="77">
        <f t="shared" si="5"/>
        <v>0</v>
      </c>
      <c r="O34" s="77">
        <f t="shared" si="5"/>
        <v>0</v>
      </c>
      <c r="P34" s="77">
        <f t="shared" si="5"/>
        <v>3.2701000000000002</v>
      </c>
      <c r="Q34" s="77">
        <f t="shared" si="10"/>
        <v>23.452500000000001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31</v>
      </c>
      <c r="C35" s="77">
        <f t="shared" si="6"/>
        <v>99.2</v>
      </c>
      <c r="D35" s="77">
        <f t="shared" si="7"/>
        <v>37.570109000000002</v>
      </c>
      <c r="E35" s="77">
        <f t="shared" si="8"/>
        <v>9.4134600000000006</v>
      </c>
      <c r="F35" s="77">
        <f t="shared" si="9"/>
        <v>3.3151709999999999</v>
      </c>
      <c r="G35" s="77">
        <f t="shared" si="5"/>
        <v>3.7509999999999995E-2</v>
      </c>
      <c r="H35" s="77">
        <f t="shared" si="5"/>
        <v>7.2230000000000003E-2</v>
      </c>
      <c r="I35" s="77">
        <f t="shared" si="5"/>
        <v>1.55E-2</v>
      </c>
      <c r="J35" s="77">
        <f t="shared" si="5"/>
        <v>3.1E-4</v>
      </c>
      <c r="K35" s="77">
        <f t="shared" si="5"/>
        <v>1.5500000000000002E-3</v>
      </c>
      <c r="L35" s="77">
        <f t="shared" si="5"/>
        <v>6.2000000000000006E-3</v>
      </c>
      <c r="M35" s="77">
        <f t="shared" si="5"/>
        <v>1.457E-2</v>
      </c>
      <c r="N35" s="77">
        <f t="shared" si="5"/>
        <v>0</v>
      </c>
      <c r="O35" s="77">
        <f t="shared" si="5"/>
        <v>0</v>
      </c>
      <c r="P35" s="77">
        <f t="shared" si="5"/>
        <v>1.9127000000000001</v>
      </c>
      <c r="Q35" s="77">
        <f t="shared" si="10"/>
        <v>13.717500000000001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53</v>
      </c>
      <c r="C36" s="77">
        <f t="shared" si="6"/>
        <v>169.60000000000002</v>
      </c>
      <c r="D36" s="77">
        <f t="shared" si="7"/>
        <v>64.23276700000001</v>
      </c>
      <c r="E36" s="77">
        <f t="shared" si="8"/>
        <v>16.093980000000002</v>
      </c>
      <c r="F36" s="77">
        <f t="shared" si="9"/>
        <v>5.6678729999999993</v>
      </c>
      <c r="G36" s="77">
        <f t="shared" si="5"/>
        <v>6.4129999999999993E-2</v>
      </c>
      <c r="H36" s="77">
        <f t="shared" si="5"/>
        <v>0.12349</v>
      </c>
      <c r="I36" s="77">
        <f t="shared" si="5"/>
        <v>2.6499999999999999E-2</v>
      </c>
      <c r="J36" s="77">
        <f t="shared" si="5"/>
        <v>5.3000000000000009E-4</v>
      </c>
      <c r="K36" s="77">
        <f t="shared" si="5"/>
        <v>2.65E-3</v>
      </c>
      <c r="L36" s="77">
        <f t="shared" si="5"/>
        <v>1.06E-2</v>
      </c>
      <c r="M36" s="77">
        <f t="shared" si="5"/>
        <v>2.4909999999999998E-2</v>
      </c>
      <c r="N36" s="77">
        <f t="shared" si="5"/>
        <v>0</v>
      </c>
      <c r="O36" s="77">
        <f t="shared" si="5"/>
        <v>0</v>
      </c>
      <c r="P36" s="77">
        <f t="shared" si="5"/>
        <v>3.2701000000000002</v>
      </c>
      <c r="Q36" s="77">
        <f t="shared" si="10"/>
        <v>23.452500000000001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31</v>
      </c>
      <c r="C37" s="77">
        <f t="shared" si="6"/>
        <v>99.2</v>
      </c>
      <c r="D37" s="77">
        <f t="shared" si="7"/>
        <v>37.570109000000002</v>
      </c>
      <c r="E37" s="77">
        <f t="shared" si="8"/>
        <v>9.4134600000000006</v>
      </c>
      <c r="F37" s="77">
        <f t="shared" si="9"/>
        <v>3.3151709999999999</v>
      </c>
      <c r="G37" s="77">
        <f t="shared" si="5"/>
        <v>3.7509999999999995E-2</v>
      </c>
      <c r="H37" s="77">
        <f t="shared" si="5"/>
        <v>7.2230000000000003E-2</v>
      </c>
      <c r="I37" s="77">
        <f t="shared" si="5"/>
        <v>1.55E-2</v>
      </c>
      <c r="J37" s="77">
        <f t="shared" si="5"/>
        <v>3.1E-4</v>
      </c>
      <c r="K37" s="77">
        <f t="shared" si="5"/>
        <v>1.5500000000000002E-3</v>
      </c>
      <c r="L37" s="77">
        <f t="shared" si="5"/>
        <v>6.2000000000000006E-3</v>
      </c>
      <c r="M37" s="77">
        <f t="shared" si="5"/>
        <v>1.457E-2</v>
      </c>
      <c r="N37" s="77">
        <f t="shared" si="5"/>
        <v>0</v>
      </c>
      <c r="O37" s="77">
        <f t="shared" si="5"/>
        <v>0</v>
      </c>
      <c r="P37" s="77">
        <f t="shared" si="5"/>
        <v>1.9127000000000001</v>
      </c>
      <c r="Q37" s="77">
        <f t="shared" si="10"/>
        <v>13.717500000000001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53</v>
      </c>
      <c r="C39" s="77">
        <f t="shared" si="6"/>
        <v>169.60000000000002</v>
      </c>
      <c r="D39" s="77">
        <f t="shared" si="7"/>
        <v>64.23276700000001</v>
      </c>
      <c r="E39" s="77">
        <f t="shared" si="8"/>
        <v>16.093980000000002</v>
      </c>
      <c r="F39" s="77">
        <f t="shared" si="9"/>
        <v>5.6678729999999993</v>
      </c>
      <c r="G39" s="77">
        <f t="shared" si="5"/>
        <v>6.4129999999999993E-2</v>
      </c>
      <c r="H39" s="77">
        <f t="shared" si="5"/>
        <v>0.12349</v>
      </c>
      <c r="I39" s="77">
        <f t="shared" si="5"/>
        <v>2.6499999999999999E-2</v>
      </c>
      <c r="J39" s="77">
        <f t="shared" si="5"/>
        <v>5.3000000000000009E-4</v>
      </c>
      <c r="K39" s="77">
        <f t="shared" si="5"/>
        <v>2.65E-3</v>
      </c>
      <c r="L39" s="77">
        <f t="shared" si="5"/>
        <v>1.06E-2</v>
      </c>
      <c r="M39" s="77">
        <f t="shared" si="5"/>
        <v>2.4909999999999998E-2</v>
      </c>
      <c r="N39" s="77">
        <f t="shared" si="5"/>
        <v>0</v>
      </c>
      <c r="O39" s="77">
        <f t="shared" si="5"/>
        <v>0</v>
      </c>
      <c r="P39" s="77">
        <f t="shared" si="5"/>
        <v>3.2701000000000002</v>
      </c>
      <c r="Q39" s="77">
        <f t="shared" si="10"/>
        <v>23.452500000000001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53</v>
      </c>
      <c r="C40" s="77">
        <f t="shared" si="6"/>
        <v>169.60000000000002</v>
      </c>
      <c r="D40" s="77">
        <f t="shared" si="7"/>
        <v>64.23276700000001</v>
      </c>
      <c r="E40" s="77">
        <f t="shared" si="8"/>
        <v>16.093980000000002</v>
      </c>
      <c r="F40" s="77">
        <f t="shared" si="9"/>
        <v>5.6678729999999993</v>
      </c>
      <c r="G40" s="77">
        <f t="shared" si="5"/>
        <v>6.4129999999999993E-2</v>
      </c>
      <c r="H40" s="77">
        <f t="shared" si="5"/>
        <v>0.12349</v>
      </c>
      <c r="I40" s="77">
        <f t="shared" si="5"/>
        <v>2.6499999999999999E-2</v>
      </c>
      <c r="J40" s="77">
        <f t="shared" si="5"/>
        <v>5.3000000000000009E-4</v>
      </c>
      <c r="K40" s="77">
        <f t="shared" si="5"/>
        <v>2.65E-3</v>
      </c>
      <c r="L40" s="77">
        <f t="shared" si="5"/>
        <v>1.06E-2</v>
      </c>
      <c r="M40" s="77">
        <f t="shared" si="5"/>
        <v>2.4909999999999998E-2</v>
      </c>
      <c r="N40" s="77">
        <f t="shared" si="5"/>
        <v>0</v>
      </c>
      <c r="O40" s="77">
        <f t="shared" si="5"/>
        <v>0</v>
      </c>
      <c r="P40" s="77">
        <f t="shared" si="5"/>
        <v>3.2701000000000002</v>
      </c>
      <c r="Q40" s="77">
        <f t="shared" si="10"/>
        <v>23.452500000000001</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53</v>
      </c>
      <c r="C41" s="77">
        <f t="shared" si="6"/>
        <v>169.60000000000002</v>
      </c>
      <c r="D41" s="77">
        <f t="shared" si="7"/>
        <v>64.23276700000001</v>
      </c>
      <c r="E41" s="77">
        <f t="shared" si="8"/>
        <v>16.093980000000002</v>
      </c>
      <c r="F41" s="77">
        <f t="shared" si="9"/>
        <v>5.6678729999999993</v>
      </c>
      <c r="G41" s="77">
        <f t="shared" si="5"/>
        <v>6.4129999999999993E-2</v>
      </c>
      <c r="H41" s="77">
        <f t="shared" si="5"/>
        <v>0.12349</v>
      </c>
      <c r="I41" s="77">
        <f t="shared" si="5"/>
        <v>2.6499999999999999E-2</v>
      </c>
      <c r="J41" s="77">
        <f t="shared" si="5"/>
        <v>5.3000000000000009E-4</v>
      </c>
      <c r="K41" s="77">
        <f t="shared" si="5"/>
        <v>2.65E-3</v>
      </c>
      <c r="L41" s="77">
        <f t="shared" si="5"/>
        <v>1.06E-2</v>
      </c>
      <c r="M41" s="77">
        <f t="shared" si="5"/>
        <v>2.4909999999999998E-2</v>
      </c>
      <c r="N41" s="77">
        <f t="shared" si="5"/>
        <v>0</v>
      </c>
      <c r="O41" s="77">
        <f t="shared" si="5"/>
        <v>0</v>
      </c>
      <c r="P41" s="77">
        <f t="shared" si="5"/>
        <v>3.2701000000000002</v>
      </c>
      <c r="Q41" s="77">
        <f t="shared" si="10"/>
        <v>23.452500000000001</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53</v>
      </c>
      <c r="C42" s="77">
        <f t="shared" si="6"/>
        <v>169.60000000000002</v>
      </c>
      <c r="D42" s="77">
        <f t="shared" si="7"/>
        <v>64.23276700000001</v>
      </c>
      <c r="E42" s="77">
        <f t="shared" si="8"/>
        <v>16.093980000000002</v>
      </c>
      <c r="F42" s="77">
        <f t="shared" si="9"/>
        <v>5.6678729999999993</v>
      </c>
      <c r="G42" s="77">
        <f t="shared" si="5"/>
        <v>6.4129999999999993E-2</v>
      </c>
      <c r="H42" s="77">
        <f t="shared" si="5"/>
        <v>0.12349</v>
      </c>
      <c r="I42" s="77">
        <f t="shared" si="5"/>
        <v>2.6499999999999999E-2</v>
      </c>
      <c r="J42" s="77">
        <f t="shared" si="5"/>
        <v>5.3000000000000009E-4</v>
      </c>
      <c r="K42" s="77">
        <f t="shared" si="5"/>
        <v>2.65E-3</v>
      </c>
      <c r="L42" s="77">
        <f t="shared" si="5"/>
        <v>1.06E-2</v>
      </c>
      <c r="M42" s="77">
        <f t="shared" si="5"/>
        <v>2.4909999999999998E-2</v>
      </c>
      <c r="N42" s="77">
        <f t="shared" si="5"/>
        <v>0</v>
      </c>
      <c r="O42" s="77">
        <f t="shared" si="5"/>
        <v>0</v>
      </c>
      <c r="P42" s="77">
        <f t="shared" si="5"/>
        <v>3.2701000000000002</v>
      </c>
      <c r="Q42" s="77">
        <f t="shared" si="10"/>
        <v>23.452500000000001</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53</v>
      </c>
      <c r="C43" s="77">
        <f t="shared" si="6"/>
        <v>169.60000000000002</v>
      </c>
      <c r="D43" s="77">
        <f t="shared" si="7"/>
        <v>64.23276700000001</v>
      </c>
      <c r="E43" s="77">
        <f t="shared" si="8"/>
        <v>16.093980000000002</v>
      </c>
      <c r="F43" s="77">
        <f t="shared" si="9"/>
        <v>5.6678729999999993</v>
      </c>
      <c r="G43" s="77">
        <f t="shared" si="5"/>
        <v>6.4129999999999993E-2</v>
      </c>
      <c r="H43" s="77">
        <f t="shared" si="5"/>
        <v>0.12349</v>
      </c>
      <c r="I43" s="77">
        <f t="shared" si="5"/>
        <v>2.6499999999999999E-2</v>
      </c>
      <c r="J43" s="77">
        <f t="shared" si="5"/>
        <v>5.3000000000000009E-4</v>
      </c>
      <c r="K43" s="77">
        <f t="shared" si="5"/>
        <v>2.65E-3</v>
      </c>
      <c r="L43" s="77">
        <f t="shared" si="5"/>
        <v>1.06E-2</v>
      </c>
      <c r="M43" s="77">
        <f t="shared" si="5"/>
        <v>2.4909999999999998E-2</v>
      </c>
      <c r="N43" s="77">
        <f t="shared" si="5"/>
        <v>0</v>
      </c>
      <c r="O43" s="77">
        <f t="shared" si="5"/>
        <v>0</v>
      </c>
      <c r="P43" s="77">
        <f t="shared" si="5"/>
        <v>3.2701000000000002</v>
      </c>
      <c r="Q43" s="77">
        <f t="shared" si="10"/>
        <v>23.452500000000001</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53</v>
      </c>
      <c r="C44" s="77">
        <f t="shared" si="6"/>
        <v>169.60000000000002</v>
      </c>
      <c r="D44" s="77">
        <f t="shared" si="7"/>
        <v>64.23276700000001</v>
      </c>
      <c r="E44" s="77">
        <f t="shared" si="8"/>
        <v>16.093980000000002</v>
      </c>
      <c r="F44" s="77">
        <f t="shared" si="9"/>
        <v>5.6678729999999993</v>
      </c>
      <c r="G44" s="77">
        <f t="shared" si="5"/>
        <v>6.4129999999999993E-2</v>
      </c>
      <c r="H44" s="77">
        <f t="shared" si="5"/>
        <v>0.12349</v>
      </c>
      <c r="I44" s="77">
        <f t="shared" si="5"/>
        <v>2.6499999999999999E-2</v>
      </c>
      <c r="J44" s="77">
        <f t="shared" si="5"/>
        <v>5.3000000000000009E-4</v>
      </c>
      <c r="K44" s="77">
        <f t="shared" si="5"/>
        <v>2.65E-3</v>
      </c>
      <c r="L44" s="77">
        <f t="shared" si="5"/>
        <v>1.06E-2</v>
      </c>
      <c r="M44" s="77">
        <f t="shared" si="5"/>
        <v>2.4909999999999998E-2</v>
      </c>
      <c r="N44" s="77">
        <f t="shared" si="5"/>
        <v>0</v>
      </c>
      <c r="O44" s="77">
        <f t="shared" si="5"/>
        <v>0</v>
      </c>
      <c r="P44" s="77">
        <f t="shared" si="5"/>
        <v>3.2701000000000002</v>
      </c>
      <c r="Q44" s="77">
        <f t="shared" si="10"/>
        <v>23.452500000000001</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53</v>
      </c>
      <c r="C45" s="77">
        <f t="shared" si="6"/>
        <v>169.60000000000002</v>
      </c>
      <c r="D45" s="77">
        <f t="shared" si="7"/>
        <v>64.23276700000001</v>
      </c>
      <c r="E45" s="77">
        <f t="shared" si="8"/>
        <v>16.093980000000002</v>
      </c>
      <c r="F45" s="77">
        <f t="shared" si="9"/>
        <v>5.6678729999999993</v>
      </c>
      <c r="G45" s="77">
        <f t="shared" si="5"/>
        <v>6.4129999999999993E-2</v>
      </c>
      <c r="H45" s="77">
        <f t="shared" si="5"/>
        <v>0.12349</v>
      </c>
      <c r="I45" s="77">
        <f t="shared" si="5"/>
        <v>2.6499999999999999E-2</v>
      </c>
      <c r="J45" s="77">
        <f t="shared" si="5"/>
        <v>5.3000000000000009E-4</v>
      </c>
      <c r="K45" s="77">
        <f t="shared" si="5"/>
        <v>2.65E-3</v>
      </c>
      <c r="L45" s="77">
        <f t="shared" si="5"/>
        <v>1.06E-2</v>
      </c>
      <c r="M45" s="77">
        <f t="shared" si="5"/>
        <v>2.4909999999999998E-2</v>
      </c>
      <c r="N45" s="77">
        <f t="shared" si="5"/>
        <v>0</v>
      </c>
      <c r="O45" s="77">
        <f t="shared" si="5"/>
        <v>0</v>
      </c>
      <c r="P45" s="77">
        <f t="shared" si="5"/>
        <v>3.2701000000000002</v>
      </c>
      <c r="Q45" s="77">
        <f t="shared" si="10"/>
        <v>23.452500000000001</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53</v>
      </c>
      <c r="C46" s="77">
        <f t="shared" si="6"/>
        <v>169.60000000000002</v>
      </c>
      <c r="D46" s="77">
        <f t="shared" si="7"/>
        <v>64.23276700000001</v>
      </c>
      <c r="E46" s="77">
        <f t="shared" si="8"/>
        <v>16.093980000000002</v>
      </c>
      <c r="F46" s="77">
        <f t="shared" si="9"/>
        <v>5.6678729999999993</v>
      </c>
      <c r="G46" s="77">
        <f t="shared" si="5"/>
        <v>6.4129999999999993E-2</v>
      </c>
      <c r="H46" s="77">
        <f t="shared" si="5"/>
        <v>0.12349</v>
      </c>
      <c r="I46" s="77">
        <f t="shared" si="5"/>
        <v>2.6499999999999999E-2</v>
      </c>
      <c r="J46" s="77">
        <f t="shared" si="5"/>
        <v>5.3000000000000009E-4</v>
      </c>
      <c r="K46" s="77">
        <f t="shared" si="5"/>
        <v>2.65E-3</v>
      </c>
      <c r="L46" s="77">
        <f t="shared" si="5"/>
        <v>1.06E-2</v>
      </c>
      <c r="M46" s="77">
        <f t="shared" si="5"/>
        <v>2.4909999999999998E-2</v>
      </c>
      <c r="N46" s="77">
        <f t="shared" si="5"/>
        <v>0</v>
      </c>
      <c r="O46" s="77">
        <f t="shared" si="5"/>
        <v>0</v>
      </c>
      <c r="P46" s="77">
        <f t="shared" si="5"/>
        <v>3.2701000000000002</v>
      </c>
      <c r="Q46" s="77">
        <f t="shared" si="10"/>
        <v>23.452500000000001</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65</v>
      </c>
      <c r="C47" s="77">
        <f t="shared" si="6"/>
        <v>208</v>
      </c>
      <c r="D47" s="77">
        <f t="shared" si="7"/>
        <v>78.776035000000007</v>
      </c>
      <c r="E47" s="77">
        <f t="shared" si="8"/>
        <v>19.7379</v>
      </c>
      <c r="F47" s="77">
        <f t="shared" si="9"/>
        <v>6.9511649999999996</v>
      </c>
      <c r="G47" s="77">
        <f t="shared" ref="G47:P50" si="12">IF(G$27="%w/w SAR",((G$28*10)*$B47),IF(G$27="%w/w DM",(((G$28*10)*($B$28/100))*$B47),IF(G$27="kg/t SAR",(G$28*$B47),IF(G$27="kg/t DM",((G$28*($B$28/100))*$B47),IF(G$27="mg/kg SAR",((G$28*0.001)*$B47),IF(G$27="mg/kg DM",(((G$28*0.001)*($B$28/100))*$B47),0))))))</f>
        <v>7.8649999999999998E-2</v>
      </c>
      <c r="H47" s="77">
        <f t="shared" si="12"/>
        <v>0.15145</v>
      </c>
      <c r="I47" s="77">
        <f t="shared" si="12"/>
        <v>3.2500000000000001E-2</v>
      </c>
      <c r="J47" s="77">
        <f t="shared" si="12"/>
        <v>6.5000000000000008E-4</v>
      </c>
      <c r="K47" s="77">
        <f t="shared" si="12"/>
        <v>3.2500000000000003E-3</v>
      </c>
      <c r="L47" s="77">
        <f t="shared" si="12"/>
        <v>1.3000000000000001E-2</v>
      </c>
      <c r="M47" s="77">
        <f t="shared" si="12"/>
        <v>3.0550000000000001E-2</v>
      </c>
      <c r="N47" s="77">
        <f t="shared" si="12"/>
        <v>0</v>
      </c>
      <c r="O47" s="77">
        <f t="shared" si="12"/>
        <v>0</v>
      </c>
      <c r="P47" s="77">
        <f t="shared" si="12"/>
        <v>4.0105000000000004</v>
      </c>
      <c r="Q47" s="77">
        <f t="shared" si="10"/>
        <v>28.762499999999996</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53</v>
      </c>
      <c r="C48" s="77">
        <f t="shared" si="6"/>
        <v>169.60000000000002</v>
      </c>
      <c r="D48" s="77">
        <f t="shared" si="7"/>
        <v>64.23276700000001</v>
      </c>
      <c r="E48" s="77">
        <f t="shared" si="8"/>
        <v>16.093980000000002</v>
      </c>
      <c r="F48" s="77">
        <f t="shared" si="9"/>
        <v>5.6678729999999993</v>
      </c>
      <c r="G48" s="77">
        <f t="shared" si="12"/>
        <v>6.4129999999999993E-2</v>
      </c>
      <c r="H48" s="77">
        <f t="shared" si="12"/>
        <v>0.12349</v>
      </c>
      <c r="I48" s="77">
        <f t="shared" si="12"/>
        <v>2.6499999999999999E-2</v>
      </c>
      <c r="J48" s="77">
        <f t="shared" si="12"/>
        <v>5.3000000000000009E-4</v>
      </c>
      <c r="K48" s="77">
        <f t="shared" si="12"/>
        <v>2.65E-3</v>
      </c>
      <c r="L48" s="77">
        <f t="shared" si="12"/>
        <v>1.06E-2</v>
      </c>
      <c r="M48" s="77">
        <f t="shared" si="12"/>
        <v>2.4909999999999998E-2</v>
      </c>
      <c r="N48" s="77">
        <f t="shared" si="12"/>
        <v>0</v>
      </c>
      <c r="O48" s="77">
        <f t="shared" si="12"/>
        <v>0</v>
      </c>
      <c r="P48" s="77">
        <f t="shared" si="12"/>
        <v>3.2701000000000002</v>
      </c>
      <c r="Q48" s="77">
        <f t="shared" si="10"/>
        <v>23.452500000000001</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53</v>
      </c>
      <c r="C49" s="77">
        <f t="shared" si="6"/>
        <v>169.60000000000002</v>
      </c>
      <c r="D49" s="77">
        <f t="shared" si="7"/>
        <v>64.23276700000001</v>
      </c>
      <c r="E49" s="77">
        <f t="shared" si="8"/>
        <v>16.093980000000002</v>
      </c>
      <c r="F49" s="77">
        <f t="shared" si="9"/>
        <v>5.6678729999999993</v>
      </c>
      <c r="G49" s="77">
        <f t="shared" si="12"/>
        <v>6.4129999999999993E-2</v>
      </c>
      <c r="H49" s="77">
        <f t="shared" si="12"/>
        <v>0.12349</v>
      </c>
      <c r="I49" s="77">
        <f t="shared" si="12"/>
        <v>2.6499999999999999E-2</v>
      </c>
      <c r="J49" s="77">
        <f t="shared" si="12"/>
        <v>5.3000000000000009E-4</v>
      </c>
      <c r="K49" s="77">
        <f t="shared" si="12"/>
        <v>2.65E-3</v>
      </c>
      <c r="L49" s="77">
        <f t="shared" si="12"/>
        <v>1.06E-2</v>
      </c>
      <c r="M49" s="77">
        <f t="shared" si="12"/>
        <v>2.4909999999999998E-2</v>
      </c>
      <c r="N49" s="77">
        <f t="shared" si="12"/>
        <v>0</v>
      </c>
      <c r="O49" s="77">
        <f t="shared" si="12"/>
        <v>0</v>
      </c>
      <c r="P49" s="77">
        <f t="shared" si="12"/>
        <v>3.2701000000000002</v>
      </c>
      <c r="Q49" s="77">
        <f t="shared" si="10"/>
        <v>23.452500000000001</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53</v>
      </c>
      <c r="C50" s="98">
        <f t="shared" si="6"/>
        <v>169.60000000000002</v>
      </c>
      <c r="D50" s="98">
        <f t="shared" si="7"/>
        <v>64.23276700000001</v>
      </c>
      <c r="E50" s="98">
        <f t="shared" si="8"/>
        <v>16.093980000000002</v>
      </c>
      <c r="F50" s="98">
        <f t="shared" si="9"/>
        <v>5.6678729999999993</v>
      </c>
      <c r="G50" s="98">
        <f t="shared" si="12"/>
        <v>6.4129999999999993E-2</v>
      </c>
      <c r="H50" s="98">
        <f t="shared" si="12"/>
        <v>0.12349</v>
      </c>
      <c r="I50" s="98">
        <f t="shared" si="12"/>
        <v>2.6499999999999999E-2</v>
      </c>
      <c r="J50" s="98">
        <f t="shared" si="12"/>
        <v>5.3000000000000009E-4</v>
      </c>
      <c r="K50" s="98">
        <f t="shared" si="12"/>
        <v>2.65E-3</v>
      </c>
      <c r="L50" s="98">
        <f t="shared" si="12"/>
        <v>1.06E-2</v>
      </c>
      <c r="M50" s="98">
        <f t="shared" si="12"/>
        <v>2.4909999999999998E-2</v>
      </c>
      <c r="N50" s="98">
        <f t="shared" si="12"/>
        <v>0</v>
      </c>
      <c r="O50" s="98">
        <f t="shared" si="12"/>
        <v>0</v>
      </c>
      <c r="P50" s="98">
        <f t="shared" si="12"/>
        <v>3.2701000000000002</v>
      </c>
      <c r="Q50" s="98">
        <f t="shared" si="10"/>
        <v>23.452500000000001</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Grass</v>
      </c>
      <c r="H58" s="13" t="str">
        <f>I16&amp;" I "&amp;(VLOOKUP(I14,Table2458[],6,FALSE))</f>
        <v>Medium/Clay I Arable</v>
      </c>
      <c r="I58" s="13" t="str">
        <f>J16&amp;" I "&amp;(VLOOKUP(J14,Table2458[],6,FALSE))</f>
        <v>Medium/Clay I Arable</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x14ac:dyDescent="0.2">
      <c r="A59" s="111" t="s">
        <v>132</v>
      </c>
      <c r="B59" s="76">
        <f>VLOOKUP(C$14,Table2458[],5,FALSE)</f>
        <v>6.2</v>
      </c>
      <c r="C59" s="76">
        <f>VLOOKUP(D$14,Table2458[],5,FALSE)</f>
        <v>6.2</v>
      </c>
      <c r="D59" s="76">
        <f>VLOOKUP(E$14,Table2458[],5,FALSE)</f>
        <v>6.2</v>
      </c>
      <c r="E59" s="76">
        <f>VLOOKUP(F$14,Table2458[],5,FALSE)</f>
        <v>6.2</v>
      </c>
      <c r="F59" s="76">
        <f>VLOOKUP(G$14,Table2458[],5,FALSE)</f>
        <v>6.7</v>
      </c>
      <c r="G59" s="76">
        <f>VLOOKUP(H$14,Table2458[],5,FALSE)</f>
        <v>6.2</v>
      </c>
      <c r="H59" s="76">
        <f>VLOOKUP(I$14,Table2458[],5,FALSE)</f>
        <v>6.7</v>
      </c>
      <c r="I59" s="76">
        <f>VLOOKUP(J$14,Table2458[],5,FALSE)</f>
        <v>6.7</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53</v>
      </c>
      <c r="C62" s="77">
        <f>B32</f>
        <v>53</v>
      </c>
      <c r="D62" s="77">
        <f>B33</f>
        <v>53</v>
      </c>
      <c r="E62" s="77">
        <f>B34</f>
        <v>53</v>
      </c>
      <c r="F62" s="77">
        <f>B35</f>
        <v>31</v>
      </c>
      <c r="G62" s="77">
        <f>B36</f>
        <v>53</v>
      </c>
      <c r="H62" s="77">
        <f>B37</f>
        <v>31</v>
      </c>
      <c r="I62" s="77">
        <f>B38</f>
        <v>0</v>
      </c>
      <c r="J62" s="77">
        <f>B39</f>
        <v>53</v>
      </c>
      <c r="K62" s="77">
        <f>B40</f>
        <v>53</v>
      </c>
      <c r="L62" s="77">
        <f>B41</f>
        <v>53</v>
      </c>
      <c r="M62" s="77">
        <f>B42</f>
        <v>53</v>
      </c>
      <c r="N62" s="77">
        <f>B43</f>
        <v>53</v>
      </c>
      <c r="O62" s="77">
        <f>B44</f>
        <v>53</v>
      </c>
      <c r="P62" s="77">
        <f>B45</f>
        <v>53</v>
      </c>
      <c r="Q62" s="77">
        <f>B46</f>
        <v>53</v>
      </c>
      <c r="R62" s="77">
        <f>B47</f>
        <v>65</v>
      </c>
      <c r="S62" s="77">
        <f>B48</f>
        <v>53</v>
      </c>
      <c r="T62" s="77">
        <f>B49</f>
        <v>53</v>
      </c>
      <c r="U62" s="77">
        <f>B50</f>
        <v>53</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9" priority="38" operator="equal">
      <formula>"DECREASE"</formula>
    </cfRule>
    <cfRule type="cellIs" dxfId="168" priority="39" operator="equal">
      <formula>"INCREASE"</formula>
    </cfRule>
  </conditionalFormatting>
  <conditionalFormatting sqref="B62:U66">
    <cfRule type="cellIs" dxfId="167" priority="37" operator="greaterThan">
      <formula>$B$51</formula>
    </cfRule>
  </conditionalFormatting>
  <conditionalFormatting sqref="C31:C50">
    <cfRule type="cellIs" dxfId="166" priority="36" operator="greaterThan">
      <formula>$C$51</formula>
    </cfRule>
  </conditionalFormatting>
  <conditionalFormatting sqref="C18:V18">
    <cfRule type="cellIs" dxfId="165" priority="35" operator="equal">
      <formula>0</formula>
    </cfRule>
  </conditionalFormatting>
  <conditionalFormatting sqref="C17:V17">
    <cfRule type="cellIs" dxfId="164" priority="34" operator="equal">
      <formula>0</formula>
    </cfRule>
  </conditionalFormatting>
  <conditionalFormatting sqref="C19:V19">
    <cfRule type="cellIs" dxfId="163" priority="33" operator="equal">
      <formula>0</formula>
    </cfRule>
  </conditionalFormatting>
  <conditionalFormatting sqref="G31:G50">
    <cfRule type="cellIs" dxfId="162" priority="32" operator="greaterThan">
      <formula>$G$51</formula>
    </cfRule>
  </conditionalFormatting>
  <conditionalFormatting sqref="H31:H50">
    <cfRule type="cellIs" dxfId="161" priority="31" operator="greaterThan">
      <formula>$H$51</formula>
    </cfRule>
  </conditionalFormatting>
  <conditionalFormatting sqref="I31:I50">
    <cfRule type="cellIs" dxfId="160" priority="30" operator="greaterThan">
      <formula>$I$51</formula>
    </cfRule>
  </conditionalFormatting>
  <conditionalFormatting sqref="K31:K50">
    <cfRule type="cellIs" dxfId="159" priority="29" operator="greaterThan">
      <formula>$K$51</formula>
    </cfRule>
  </conditionalFormatting>
  <conditionalFormatting sqref="L31:L50">
    <cfRule type="cellIs" dxfId="158" priority="28" operator="greaterThan">
      <formula>$L$51</formula>
    </cfRule>
  </conditionalFormatting>
  <conditionalFormatting sqref="M31:M50">
    <cfRule type="cellIs" dxfId="157" priority="27" operator="greaterThan">
      <formula>$M$51</formula>
    </cfRule>
  </conditionalFormatting>
  <conditionalFormatting sqref="P31:P50">
    <cfRule type="cellIs" dxfId="156" priority="26" operator="greaterThan">
      <formula>$P$51</formula>
    </cfRule>
  </conditionalFormatting>
  <conditionalFormatting sqref="R31:R50">
    <cfRule type="cellIs" dxfId="155" priority="25" operator="greaterThan">
      <formula>$R$51</formula>
    </cfRule>
  </conditionalFormatting>
  <conditionalFormatting sqref="S31:S50">
    <cfRule type="cellIs" dxfId="154" priority="24" operator="greaterThan">
      <formula>$S$51</formula>
    </cfRule>
  </conditionalFormatting>
  <conditionalFormatting sqref="T31:T50">
    <cfRule type="cellIs" dxfId="153" priority="23" operator="greaterThan">
      <formula>$T$51</formula>
    </cfRule>
  </conditionalFormatting>
  <conditionalFormatting sqref="U31:U50">
    <cfRule type="cellIs" dxfId="152" priority="22" operator="greaterThan">
      <formula>$U$51</formula>
    </cfRule>
  </conditionalFormatting>
  <conditionalFormatting sqref="C22:V22">
    <cfRule type="cellIs" dxfId="151" priority="21" operator="equal">
      <formula>0</formula>
    </cfRule>
  </conditionalFormatting>
  <conditionalFormatting sqref="C24:V24">
    <cfRule type="cellIs" dxfId="150" priority="19" operator="equal">
      <formula>"DECREASE"</formula>
    </cfRule>
    <cfRule type="cellIs" dxfId="149" priority="20" operator="equal">
      <formula>"INCREASE"</formula>
    </cfRule>
  </conditionalFormatting>
  <conditionalFormatting sqref="C23:V23">
    <cfRule type="cellIs" dxfId="148" priority="18" operator="equal">
      <formula>0</formula>
    </cfRule>
  </conditionalFormatting>
  <conditionalFormatting sqref="C21:V21">
    <cfRule type="cellIs" dxfId="147" priority="14" operator="equal">
      <formula>0</formula>
    </cfRule>
  </conditionalFormatting>
  <conditionalFormatting sqref="B66:U66">
    <cfRule type="cellIs" dxfId="146" priority="12" operator="equal">
      <formula>"UNDER"</formula>
    </cfRule>
    <cfRule type="cellIs" dxfId="145" priority="13" operator="equal">
      <formula>"OVER"</formula>
    </cfRule>
  </conditionalFormatting>
  <conditionalFormatting sqref="J31:J50">
    <cfRule type="cellIs" dxfId="144" priority="9" operator="greaterThan">
      <formula>$J$51</formula>
    </cfRule>
  </conditionalFormatting>
  <conditionalFormatting sqref="L3">
    <cfRule type="cellIs" dxfId="143" priority="5" operator="lessThan">
      <formula>30</formula>
    </cfRule>
    <cfRule type="cellIs" dxfId="142" priority="6" operator="greaterThanOrEqual">
      <formula>30</formula>
    </cfRule>
  </conditionalFormatting>
  <conditionalFormatting sqref="I1">
    <cfRule type="cellIs" dxfId="141" priority="4" operator="between">
      <formula>0.1</formula>
      <formula>5</formula>
    </cfRule>
  </conditionalFormatting>
  <conditionalFormatting sqref="I2">
    <cfRule type="cellIs" dxfId="140" priority="3" operator="greaterThan">
      <formula>5000.1</formula>
    </cfRule>
  </conditionalFormatting>
  <conditionalFormatting sqref="I3">
    <cfRule type="cellIs" dxfId="139" priority="2" operator="greaterThan">
      <formula>40000.01</formula>
    </cfRule>
  </conditionalFormatting>
  <conditionalFormatting sqref="B31:B50">
    <cfRule type="cellIs" dxfId="138" priority="1" operator="greaterThan">
      <formula>$B$51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abSelected="1" zoomScale="90" zoomScaleNormal="90" workbookViewId="0">
      <selection activeCell="C38" sqref="C3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v>3.85</v>
      </c>
      <c r="J1" s="129" t="s">
        <v>153</v>
      </c>
      <c r="K1" s="12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t="s">
        <v>177</v>
      </c>
      <c r="G2" s="127" t="s">
        <v>110</v>
      </c>
      <c r="H2" s="128"/>
      <c r="I2" s="118">
        <v>396</v>
      </c>
      <c r="J2" s="129" t="s">
        <v>158</v>
      </c>
      <c r="K2" s="129"/>
      <c r="L2" s="97">
        <v>0.03</v>
      </c>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t="s">
        <v>78</v>
      </c>
      <c r="G3" s="129" t="s">
        <v>159</v>
      </c>
      <c r="H3" s="129"/>
      <c r="I3" s="118">
        <v>4920</v>
      </c>
      <c r="J3" s="125" t="s">
        <v>154</v>
      </c>
      <c r="K3" s="126"/>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119" t="s">
        <v>176</v>
      </c>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38.259699999999995</v>
      </c>
      <c r="D18" s="16">
        <f>$D32</f>
        <v>38.259699999999995</v>
      </c>
      <c r="E18" s="16">
        <f>$D33</f>
        <v>38.259699999999995</v>
      </c>
      <c r="F18" s="16">
        <f>$D34</f>
        <v>38.259699999999995</v>
      </c>
      <c r="G18" s="16">
        <f>$D35</f>
        <v>38.259699999999995</v>
      </c>
      <c r="H18" s="16">
        <f>$D36</f>
        <v>38.259699999999995</v>
      </c>
      <c r="I18" s="16">
        <f>$D37</f>
        <v>38.259699999999995</v>
      </c>
      <c r="J18" s="16">
        <f>$D38</f>
        <v>0</v>
      </c>
      <c r="K18" s="16">
        <f>$D39</f>
        <v>38.259699999999995</v>
      </c>
      <c r="L18" s="16">
        <f>$D40</f>
        <v>38.259699999999995</v>
      </c>
      <c r="M18" s="16">
        <f>$D41</f>
        <v>38.259699999999995</v>
      </c>
      <c r="N18" s="16">
        <f>$D42</f>
        <v>38.259699999999995</v>
      </c>
      <c r="O18" s="16">
        <f>$D43</f>
        <v>38.259699999999995</v>
      </c>
      <c r="P18" s="16">
        <f>$D44</f>
        <v>38.259699999999995</v>
      </c>
      <c r="Q18" s="16">
        <f>$D45</f>
        <v>38.259699999999995</v>
      </c>
      <c r="R18" s="16">
        <f>$D46</f>
        <v>38.259699999999995</v>
      </c>
      <c r="S18" s="16">
        <f>$D47</f>
        <v>38.259699999999995</v>
      </c>
      <c r="T18" s="16">
        <f>$D48</f>
        <v>38.259699999999995</v>
      </c>
      <c r="U18" s="16">
        <f>$D49</f>
        <v>38.259699999999995</v>
      </c>
      <c r="V18" s="25">
        <f>$D50</f>
        <v>38.259699999999995</v>
      </c>
      <c r="AD18" s="52" t="s">
        <v>147</v>
      </c>
      <c r="AE18" s="30">
        <v>16</v>
      </c>
      <c r="AI18" s="48" t="s">
        <v>106</v>
      </c>
      <c r="AJ18" s="49">
        <v>5.9</v>
      </c>
      <c r="AK18" s="50">
        <v>18</v>
      </c>
      <c r="AL18" s="51">
        <v>16</v>
      </c>
      <c r="AM18" s="11">
        <v>6.2</v>
      </c>
      <c r="AN18" s="11" t="s">
        <v>112</v>
      </c>
    </row>
    <row r="19" spans="1:40" x14ac:dyDescent="0.2">
      <c r="A19" s="133" t="s">
        <v>90</v>
      </c>
      <c r="B19" s="134"/>
      <c r="C19" s="16">
        <f>C18-C17</f>
        <v>-26.340299999999999</v>
      </c>
      <c r="D19" s="16">
        <f t="shared" ref="D19:V19" si="1">D18-D17</f>
        <v>-26.340299999999999</v>
      </c>
      <c r="E19" s="16">
        <f t="shared" si="1"/>
        <v>-26.340299999999999</v>
      </c>
      <c r="F19" s="16">
        <f t="shared" si="1"/>
        <v>-26.340299999999999</v>
      </c>
      <c r="G19" s="16">
        <f t="shared" si="1"/>
        <v>-17.740300000000005</v>
      </c>
      <c r="H19" s="16">
        <f t="shared" si="1"/>
        <v>-26.340299999999999</v>
      </c>
      <c r="I19" s="16">
        <f t="shared" si="1"/>
        <v>-17.740300000000005</v>
      </c>
      <c r="J19" s="16">
        <f t="shared" si="1"/>
        <v>-56</v>
      </c>
      <c r="K19" s="16">
        <f t="shared" si="1"/>
        <v>-26.340299999999999</v>
      </c>
      <c r="L19" s="16">
        <f t="shared" si="1"/>
        <v>-26.340299999999999</v>
      </c>
      <c r="M19" s="16">
        <f t="shared" si="1"/>
        <v>-26.340299999999999</v>
      </c>
      <c r="N19" s="16">
        <f t="shared" si="1"/>
        <v>-26.340299999999999</v>
      </c>
      <c r="O19" s="16">
        <f t="shared" si="1"/>
        <v>-26.340299999999999</v>
      </c>
      <c r="P19" s="16">
        <f t="shared" si="1"/>
        <v>-26.340299999999999</v>
      </c>
      <c r="Q19" s="16">
        <f t="shared" si="1"/>
        <v>-26.340299999999999</v>
      </c>
      <c r="R19" s="16">
        <f t="shared" si="1"/>
        <v>-26.340299999999999</v>
      </c>
      <c r="S19" s="16">
        <f t="shared" si="1"/>
        <v>-26.340299999999999</v>
      </c>
      <c r="T19" s="16">
        <f t="shared" si="1"/>
        <v>-26.340299999999999</v>
      </c>
      <c r="U19" s="16">
        <f t="shared" si="1"/>
        <v>-26.340299999999999</v>
      </c>
      <c r="V19" s="25">
        <f t="shared" si="1"/>
        <v>-26.340299999999999</v>
      </c>
      <c r="AI19" s="48" t="s">
        <v>107</v>
      </c>
      <c r="AJ19" s="49">
        <v>3.2</v>
      </c>
      <c r="AK19" s="50">
        <v>10.5</v>
      </c>
      <c r="AL19" s="51">
        <v>17</v>
      </c>
      <c r="AM19" s="11">
        <v>6.2</v>
      </c>
      <c r="AN19" s="11" t="s">
        <v>112</v>
      </c>
    </row>
    <row r="20" spans="1:40" ht="13.5" thickBot="1" x14ac:dyDescent="0.25">
      <c r="A20" s="131" t="s">
        <v>91</v>
      </c>
      <c r="B20" s="132"/>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43.078750000000014</v>
      </c>
      <c r="D22" s="16">
        <f>$E32</f>
        <v>43.078750000000014</v>
      </c>
      <c r="E22" s="16">
        <f>$E33</f>
        <v>43.078750000000014</v>
      </c>
      <c r="F22" s="16">
        <f>$E34</f>
        <v>43.078750000000014</v>
      </c>
      <c r="G22" s="16">
        <f>$E35</f>
        <v>43.078750000000014</v>
      </c>
      <c r="H22" s="16">
        <f>$E36</f>
        <v>43.078750000000014</v>
      </c>
      <c r="I22" s="16">
        <f>$E37</f>
        <v>43.078750000000014</v>
      </c>
      <c r="J22" s="16">
        <f>$E38</f>
        <v>0</v>
      </c>
      <c r="K22" s="16">
        <f>$E39</f>
        <v>43.078750000000014</v>
      </c>
      <c r="L22" s="16">
        <f>$E40</f>
        <v>43.078750000000014</v>
      </c>
      <c r="M22" s="16">
        <f>$E41</f>
        <v>43.078750000000014</v>
      </c>
      <c r="N22" s="16">
        <f>$E42</f>
        <v>43.078750000000014</v>
      </c>
      <c r="O22" s="16">
        <f>$E43</f>
        <v>43.078750000000014</v>
      </c>
      <c r="P22" s="16">
        <f>$E44</f>
        <v>43.078750000000014</v>
      </c>
      <c r="Q22" s="16">
        <f>$E45</f>
        <v>43.078750000000014</v>
      </c>
      <c r="R22" s="16">
        <f>$E46</f>
        <v>43.078750000000014</v>
      </c>
      <c r="S22" s="16">
        <f>$E47</f>
        <v>43.078750000000014</v>
      </c>
      <c r="T22" s="16">
        <f>$E48</f>
        <v>43.078750000000014</v>
      </c>
      <c r="U22" s="16">
        <f>$E49</f>
        <v>43.078750000000014</v>
      </c>
      <c r="V22" s="16">
        <f>$E50</f>
        <v>43.078750000000014</v>
      </c>
      <c r="AI22" s="63" t="s">
        <v>102</v>
      </c>
      <c r="AJ22" s="64">
        <v>1.2</v>
      </c>
      <c r="AK22" s="65">
        <v>5</v>
      </c>
      <c r="AL22" s="29">
        <v>20</v>
      </c>
      <c r="AM22" s="11">
        <v>6.7</v>
      </c>
      <c r="AN22" s="11" t="s">
        <v>135</v>
      </c>
    </row>
    <row r="23" spans="1:40" x14ac:dyDescent="0.2">
      <c r="A23" s="133" t="s">
        <v>92</v>
      </c>
      <c r="B23" s="134"/>
      <c r="C23" s="16">
        <f>C22-C21</f>
        <v>-184.92124999999999</v>
      </c>
      <c r="D23" s="16">
        <f t="shared" ref="D23:V23" si="3">D22-D21</f>
        <v>-184.92124999999999</v>
      </c>
      <c r="E23" s="16">
        <f t="shared" si="3"/>
        <v>-184.92124999999999</v>
      </c>
      <c r="F23" s="16">
        <f t="shared" si="3"/>
        <v>-184.92124999999999</v>
      </c>
      <c r="G23" s="16">
        <f t="shared" si="3"/>
        <v>-132.92124999999999</v>
      </c>
      <c r="H23" s="16">
        <f t="shared" si="3"/>
        <v>-184.92124999999999</v>
      </c>
      <c r="I23" s="16">
        <f t="shared" si="3"/>
        <v>-132.92124999999999</v>
      </c>
      <c r="J23" s="16">
        <f t="shared" si="3"/>
        <v>-176</v>
      </c>
      <c r="K23" s="16">
        <f t="shared" si="3"/>
        <v>-184.92124999999999</v>
      </c>
      <c r="L23" s="16">
        <f t="shared" si="3"/>
        <v>-184.92124999999999</v>
      </c>
      <c r="M23" s="16">
        <f t="shared" si="3"/>
        <v>-184.92124999999999</v>
      </c>
      <c r="N23" s="16">
        <f t="shared" si="3"/>
        <v>-184.92124999999999</v>
      </c>
      <c r="O23" s="16">
        <f t="shared" si="3"/>
        <v>-184.92124999999999</v>
      </c>
      <c r="P23" s="16">
        <f t="shared" si="3"/>
        <v>-184.92124999999999</v>
      </c>
      <c r="Q23" s="16">
        <f t="shared" si="3"/>
        <v>-184.92124999999999</v>
      </c>
      <c r="R23" s="16">
        <f t="shared" si="3"/>
        <v>-184.92124999999999</v>
      </c>
      <c r="S23" s="16">
        <f t="shared" si="3"/>
        <v>-184.92124999999999</v>
      </c>
      <c r="T23" s="16">
        <f t="shared" si="3"/>
        <v>-184.92124999999999</v>
      </c>
      <c r="U23" s="16">
        <f t="shared" si="3"/>
        <v>-184.92124999999999</v>
      </c>
      <c r="V23" s="16">
        <f t="shared" si="3"/>
        <v>-184.92124999999999</v>
      </c>
      <c r="AI23" s="63" t="s">
        <v>98</v>
      </c>
      <c r="AJ23" s="66">
        <v>9</v>
      </c>
      <c r="AK23" s="65">
        <v>10</v>
      </c>
      <c r="AL23" s="29">
        <v>21</v>
      </c>
      <c r="AM23" s="11">
        <v>6.7</v>
      </c>
      <c r="AN23" s="11" t="s">
        <v>135</v>
      </c>
    </row>
    <row r="24" spans="1:40" ht="13.5" thickBot="1" x14ac:dyDescent="0.25">
      <c r="A24" s="131" t="s">
        <v>93</v>
      </c>
      <c r="B24" s="132"/>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1.6</v>
      </c>
      <c r="C28" s="15">
        <v>0.03</v>
      </c>
      <c r="D28" s="15">
        <v>66.8</v>
      </c>
      <c r="E28" s="15">
        <v>143</v>
      </c>
      <c r="F28" s="15">
        <v>15</v>
      </c>
      <c r="G28" s="15">
        <v>0.2</v>
      </c>
      <c r="H28" s="15">
        <v>0.83699999999999997</v>
      </c>
      <c r="I28" s="15">
        <v>0.5</v>
      </c>
      <c r="J28" s="15">
        <v>0.01</v>
      </c>
      <c r="K28" s="23">
        <v>0.05</v>
      </c>
      <c r="L28" s="15">
        <v>0.2</v>
      </c>
      <c r="M28" s="15">
        <v>0.2</v>
      </c>
      <c r="N28" s="15"/>
      <c r="O28" s="15"/>
      <c r="P28" s="15">
        <v>400</v>
      </c>
      <c r="Q28" s="15">
        <v>41.8</v>
      </c>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38.259699999999995</v>
      </c>
      <c r="E31" s="77">
        <f>(IF(E$27="%w/w SAR",((E$28*10)*$B31),IF(E$27="%w/w DM",(((E$28*10)*($B$28/100))*$B31),IF(E$27="kg/t SAR",(E$28*$B31),IF(E$27="kg/t DM",((E$28*($B$28/100))*$B31),IF(E$27="mg/kg SAR",((E$28*0.001)*$B31),IF(E$27="mg/kg DM",(((E$28*0.001)*($B$28/100))*$B31),"0")))))))*1.205</f>
        <v>43.078750000000014</v>
      </c>
      <c r="F31" s="77">
        <f>(IF(F$27="%w/w SAR",((F$28*10)*$B31),IF(F$27="%w/w DM",(((F$28*10)*($B$28/100))*$B31),IF(F$27="kg/t SAR",(F$28*$B31),IF(F$27="kg/t DM",((F$28*($B$28/100))*$B31),IF(F$27="mg/kg SAR",((F$28*0.001)*$B31),IF(F$27="mg/kg DM",(((F$28*0.001)*($B$28/100))*$B31),"0")))))))*1.658</f>
        <v>6.2174999999999994</v>
      </c>
      <c r="G31" s="77">
        <f t="shared" ref="G31:P46" si="5">IF(G$27="%w/w SAR",((G$28*10)*$B31),IF(G$27="%w/w DM",(((G$28*10)*($B$28/100))*$B31),IF(G$27="kg/t SAR",(G$28*$B31),IF(G$27="kg/t DM",((G$28*($B$28/100))*$B31),IF(G$27="mg/kg SAR",((G$28*0.001)*$B31),IF(G$27="mg/kg DM",(((G$28*0.001)*($B$28/100))*$B31),0))))))</f>
        <v>0.05</v>
      </c>
      <c r="H31" s="77">
        <f t="shared" si="5"/>
        <v>0.20924999999999999</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100</v>
      </c>
      <c r="Q31" s="77">
        <f>(IF(Q$27="%w/w SAR",((Q$28*10)*$B31),IF(Q$27="%w/w DM",(((Q$28*10)*($B$28/100))*$B31),IF(Q$27="kg/t SAR",(Q$28*$B31),IF(Q$27="kg/t DM",((Q$28*($B$28/100))*$B31),IF(Q$27="mg/kg SAR",((Q$28*0.001)*$B31),IF(Q$27="mg/kg DM",(((Q$28*0.001)*($B$28/100))*$B31),0)))))))*2.5</f>
        <v>26.125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38.259699999999995</v>
      </c>
      <c r="E32" s="77">
        <f t="shared" ref="E32:E50" si="8">(IF(E$27="%w/w SAR",((E$28*10)*$B32),IF(E$27="%w/w DM",(((E$28*10)*($B$28/100))*$B32),IF(E$27="kg/t SAR",(E$28*$B32),IF(E$27="kg/t DM",((E$28*($B$28/100))*$B32),IF(E$27="mg/kg SAR",((E$28*0.001)*$B32),IF(E$27="mg/kg DM",(((E$28*0.001)*($B$28/100))*$B32),"0")))))))*1.205</f>
        <v>43.078750000000014</v>
      </c>
      <c r="F32" s="77">
        <f t="shared" ref="F32:F50" si="9">(IF(F$27="%w/w SAR",((F$28*10)*$B32),IF(F$27="%w/w DM",(((F$28*10)*($B$28/100))*$B32),IF(F$27="kg/t SAR",(F$28*$B32),IF(F$27="kg/t DM",((F$28*($B$28/100))*$B32),IF(F$27="mg/kg SAR",((F$28*0.001)*$B32),IF(F$27="mg/kg DM",(((F$28*0.001)*($B$28/100))*$B32),"0")))))))*1.658</f>
        <v>6.2174999999999994</v>
      </c>
      <c r="G32" s="77">
        <f t="shared" si="5"/>
        <v>0.05</v>
      </c>
      <c r="H32" s="77">
        <f t="shared" si="5"/>
        <v>0.20924999999999999</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100</v>
      </c>
      <c r="Q32" s="77">
        <f t="shared" ref="Q32:Q50" si="10">(IF(Q$27="%w/w SAR",((Q$28*10)*$B32),IF(Q$27="%w/w DM",(((Q$28*10)*($B$28/100))*$B32),IF(Q$27="kg/t SAR",(Q$28*$B32),IF(Q$27="kg/t DM",((Q$28*($B$28/100))*$B32),IF(Q$27="mg/kg SAR",((Q$28*0.001)*$B32),IF(Q$27="mg/kg DM",(((Q$28*0.001)*($B$28/100))*$B32),0)))))))*2.5</f>
        <v>26.125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v>250</v>
      </c>
      <c r="C33" s="77">
        <f t="shared" si="6"/>
        <v>75</v>
      </c>
      <c r="D33" s="77">
        <f t="shared" si="7"/>
        <v>38.259699999999995</v>
      </c>
      <c r="E33" s="77">
        <f t="shared" si="8"/>
        <v>43.078750000000014</v>
      </c>
      <c r="F33" s="77">
        <f t="shared" si="9"/>
        <v>6.2174999999999994</v>
      </c>
      <c r="G33" s="77">
        <f t="shared" si="5"/>
        <v>0.05</v>
      </c>
      <c r="H33" s="77">
        <f t="shared" si="5"/>
        <v>0.20924999999999999</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100</v>
      </c>
      <c r="Q33" s="77">
        <f t="shared" si="10"/>
        <v>26.125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v>250</v>
      </c>
      <c r="C34" s="77">
        <f t="shared" si="6"/>
        <v>75</v>
      </c>
      <c r="D34" s="77">
        <f t="shared" si="7"/>
        <v>38.259699999999995</v>
      </c>
      <c r="E34" s="77">
        <f t="shared" si="8"/>
        <v>43.078750000000014</v>
      </c>
      <c r="F34" s="77">
        <f t="shared" si="9"/>
        <v>6.2174999999999994</v>
      </c>
      <c r="G34" s="77">
        <f t="shared" si="5"/>
        <v>0.05</v>
      </c>
      <c r="H34" s="77">
        <f t="shared" si="5"/>
        <v>0.20924999999999999</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100</v>
      </c>
      <c r="Q34" s="77">
        <f t="shared" si="10"/>
        <v>26.125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v>250</v>
      </c>
      <c r="C35" s="77">
        <f t="shared" si="6"/>
        <v>75</v>
      </c>
      <c r="D35" s="77">
        <f t="shared" si="7"/>
        <v>38.259699999999995</v>
      </c>
      <c r="E35" s="77">
        <f t="shared" si="8"/>
        <v>43.078750000000014</v>
      </c>
      <c r="F35" s="77">
        <f t="shared" si="9"/>
        <v>6.2174999999999994</v>
      </c>
      <c r="G35" s="77">
        <f t="shared" si="5"/>
        <v>0.05</v>
      </c>
      <c r="H35" s="77">
        <f t="shared" si="5"/>
        <v>0.20924999999999999</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100</v>
      </c>
      <c r="Q35" s="77">
        <f t="shared" si="10"/>
        <v>26.125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v>250</v>
      </c>
      <c r="C36" s="77">
        <f t="shared" si="6"/>
        <v>75</v>
      </c>
      <c r="D36" s="77">
        <f t="shared" si="7"/>
        <v>38.259699999999995</v>
      </c>
      <c r="E36" s="77">
        <f t="shared" si="8"/>
        <v>43.078750000000014</v>
      </c>
      <c r="F36" s="77">
        <f t="shared" si="9"/>
        <v>6.2174999999999994</v>
      </c>
      <c r="G36" s="77">
        <f t="shared" si="5"/>
        <v>0.05</v>
      </c>
      <c r="H36" s="77">
        <f t="shared" si="5"/>
        <v>0.20924999999999999</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100</v>
      </c>
      <c r="Q36" s="77">
        <f t="shared" si="10"/>
        <v>26.125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v>250</v>
      </c>
      <c r="C37" s="77">
        <f t="shared" si="6"/>
        <v>75</v>
      </c>
      <c r="D37" s="77">
        <f t="shared" si="7"/>
        <v>38.259699999999995</v>
      </c>
      <c r="E37" s="77">
        <f t="shared" si="8"/>
        <v>43.078750000000014</v>
      </c>
      <c r="F37" s="77">
        <f t="shared" si="9"/>
        <v>6.2174999999999994</v>
      </c>
      <c r="G37" s="77">
        <f t="shared" si="5"/>
        <v>0.05</v>
      </c>
      <c r="H37" s="77">
        <f t="shared" si="5"/>
        <v>0.20924999999999999</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100</v>
      </c>
      <c r="Q37" s="77">
        <f t="shared" si="10"/>
        <v>26.125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v>250</v>
      </c>
      <c r="C39" s="77">
        <f t="shared" si="6"/>
        <v>75</v>
      </c>
      <c r="D39" s="77">
        <f t="shared" si="7"/>
        <v>38.259699999999995</v>
      </c>
      <c r="E39" s="77">
        <f t="shared" si="8"/>
        <v>43.078750000000014</v>
      </c>
      <c r="F39" s="77">
        <f t="shared" si="9"/>
        <v>6.2174999999999994</v>
      </c>
      <c r="G39" s="77">
        <f t="shared" si="5"/>
        <v>0.05</v>
      </c>
      <c r="H39" s="77">
        <f t="shared" si="5"/>
        <v>0.20924999999999999</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100</v>
      </c>
      <c r="Q39" s="77">
        <f t="shared" si="10"/>
        <v>26.125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v>250</v>
      </c>
      <c r="C40" s="77">
        <f t="shared" si="6"/>
        <v>75</v>
      </c>
      <c r="D40" s="77">
        <f t="shared" si="7"/>
        <v>38.259699999999995</v>
      </c>
      <c r="E40" s="77">
        <f t="shared" si="8"/>
        <v>43.078750000000014</v>
      </c>
      <c r="F40" s="77">
        <f t="shared" si="9"/>
        <v>6.2174999999999994</v>
      </c>
      <c r="G40" s="77">
        <f t="shared" si="5"/>
        <v>0.05</v>
      </c>
      <c r="H40" s="77">
        <f t="shared" si="5"/>
        <v>0.20924999999999999</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100</v>
      </c>
      <c r="Q40" s="77">
        <f t="shared" si="10"/>
        <v>26.125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v>250</v>
      </c>
      <c r="C41" s="77">
        <f t="shared" si="6"/>
        <v>75</v>
      </c>
      <c r="D41" s="77">
        <f t="shared" si="7"/>
        <v>38.259699999999995</v>
      </c>
      <c r="E41" s="77">
        <f t="shared" si="8"/>
        <v>43.078750000000014</v>
      </c>
      <c r="F41" s="77">
        <f t="shared" si="9"/>
        <v>6.2174999999999994</v>
      </c>
      <c r="G41" s="77">
        <f t="shared" si="5"/>
        <v>0.05</v>
      </c>
      <c r="H41" s="77">
        <f t="shared" si="5"/>
        <v>0.20924999999999999</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100</v>
      </c>
      <c r="Q41" s="77">
        <f t="shared" si="10"/>
        <v>26.125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v>250</v>
      </c>
      <c r="C42" s="77">
        <f t="shared" si="6"/>
        <v>75</v>
      </c>
      <c r="D42" s="77">
        <f t="shared" si="7"/>
        <v>38.259699999999995</v>
      </c>
      <c r="E42" s="77">
        <f t="shared" si="8"/>
        <v>43.078750000000014</v>
      </c>
      <c r="F42" s="77">
        <f t="shared" si="9"/>
        <v>6.2174999999999994</v>
      </c>
      <c r="G42" s="77">
        <f t="shared" si="5"/>
        <v>0.05</v>
      </c>
      <c r="H42" s="77">
        <f t="shared" si="5"/>
        <v>0.20924999999999999</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100</v>
      </c>
      <c r="Q42" s="77">
        <f t="shared" si="10"/>
        <v>26.125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v>250</v>
      </c>
      <c r="C43" s="77">
        <f t="shared" si="6"/>
        <v>75</v>
      </c>
      <c r="D43" s="77">
        <f t="shared" si="7"/>
        <v>38.259699999999995</v>
      </c>
      <c r="E43" s="77">
        <f t="shared" si="8"/>
        <v>43.078750000000014</v>
      </c>
      <c r="F43" s="77">
        <f t="shared" si="9"/>
        <v>6.2174999999999994</v>
      </c>
      <c r="G43" s="77">
        <f t="shared" si="5"/>
        <v>0.05</v>
      </c>
      <c r="H43" s="77">
        <f t="shared" si="5"/>
        <v>0.20924999999999999</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100</v>
      </c>
      <c r="Q43" s="77">
        <f t="shared" si="10"/>
        <v>26.125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v>250</v>
      </c>
      <c r="C44" s="77">
        <f t="shared" si="6"/>
        <v>75</v>
      </c>
      <c r="D44" s="77">
        <f t="shared" si="7"/>
        <v>38.259699999999995</v>
      </c>
      <c r="E44" s="77">
        <f t="shared" si="8"/>
        <v>43.078750000000014</v>
      </c>
      <c r="F44" s="77">
        <f t="shared" si="9"/>
        <v>6.2174999999999994</v>
      </c>
      <c r="G44" s="77">
        <f t="shared" si="5"/>
        <v>0.05</v>
      </c>
      <c r="H44" s="77">
        <f t="shared" si="5"/>
        <v>0.20924999999999999</v>
      </c>
      <c r="I44" s="77">
        <f t="shared" si="5"/>
        <v>0.125</v>
      </c>
      <c r="J44" s="77">
        <f t="shared" si="5"/>
        <v>2.5000000000000001E-3</v>
      </c>
      <c r="K44" s="77">
        <f t="shared" si="5"/>
        <v>1.2500000000000001E-2</v>
      </c>
      <c r="L44" s="77">
        <f t="shared" si="5"/>
        <v>0.05</v>
      </c>
      <c r="M44" s="77">
        <f t="shared" si="5"/>
        <v>0.05</v>
      </c>
      <c r="N44" s="77">
        <f t="shared" si="5"/>
        <v>0</v>
      </c>
      <c r="O44" s="77">
        <f t="shared" si="5"/>
        <v>0</v>
      </c>
      <c r="P44" s="77">
        <f t="shared" si="5"/>
        <v>100</v>
      </c>
      <c r="Q44" s="77">
        <f t="shared" si="10"/>
        <v>26.125</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v>250</v>
      </c>
      <c r="C45" s="77">
        <f t="shared" si="6"/>
        <v>75</v>
      </c>
      <c r="D45" s="77">
        <f t="shared" si="7"/>
        <v>38.259699999999995</v>
      </c>
      <c r="E45" s="77">
        <f t="shared" si="8"/>
        <v>43.078750000000014</v>
      </c>
      <c r="F45" s="77">
        <f t="shared" si="9"/>
        <v>6.2174999999999994</v>
      </c>
      <c r="G45" s="77">
        <f t="shared" si="5"/>
        <v>0.05</v>
      </c>
      <c r="H45" s="77">
        <f t="shared" si="5"/>
        <v>0.20924999999999999</v>
      </c>
      <c r="I45" s="77">
        <f t="shared" si="5"/>
        <v>0.125</v>
      </c>
      <c r="J45" s="77">
        <f t="shared" si="5"/>
        <v>2.5000000000000001E-3</v>
      </c>
      <c r="K45" s="77">
        <f t="shared" si="5"/>
        <v>1.2500000000000001E-2</v>
      </c>
      <c r="L45" s="77">
        <f t="shared" si="5"/>
        <v>0.05</v>
      </c>
      <c r="M45" s="77">
        <f t="shared" si="5"/>
        <v>0.05</v>
      </c>
      <c r="N45" s="77">
        <f t="shared" si="5"/>
        <v>0</v>
      </c>
      <c r="O45" s="77">
        <f t="shared" si="5"/>
        <v>0</v>
      </c>
      <c r="P45" s="77">
        <f t="shared" si="5"/>
        <v>100</v>
      </c>
      <c r="Q45" s="77">
        <f t="shared" si="10"/>
        <v>26.125</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v>250</v>
      </c>
      <c r="C46" s="77">
        <f t="shared" si="6"/>
        <v>75</v>
      </c>
      <c r="D46" s="77">
        <f t="shared" si="7"/>
        <v>38.259699999999995</v>
      </c>
      <c r="E46" s="77">
        <f t="shared" si="8"/>
        <v>43.078750000000014</v>
      </c>
      <c r="F46" s="77">
        <f t="shared" si="9"/>
        <v>6.2174999999999994</v>
      </c>
      <c r="G46" s="77">
        <f t="shared" si="5"/>
        <v>0.05</v>
      </c>
      <c r="H46" s="77">
        <f t="shared" si="5"/>
        <v>0.20924999999999999</v>
      </c>
      <c r="I46" s="77">
        <f t="shared" si="5"/>
        <v>0.125</v>
      </c>
      <c r="J46" s="77">
        <f t="shared" si="5"/>
        <v>2.5000000000000001E-3</v>
      </c>
      <c r="K46" s="77">
        <f t="shared" si="5"/>
        <v>1.2500000000000001E-2</v>
      </c>
      <c r="L46" s="77">
        <f t="shared" si="5"/>
        <v>0.05</v>
      </c>
      <c r="M46" s="77">
        <f t="shared" si="5"/>
        <v>0.05</v>
      </c>
      <c r="N46" s="77">
        <f t="shared" si="5"/>
        <v>0</v>
      </c>
      <c r="O46" s="77">
        <f t="shared" si="5"/>
        <v>0</v>
      </c>
      <c r="P46" s="77">
        <f t="shared" si="5"/>
        <v>100</v>
      </c>
      <c r="Q46" s="77">
        <f t="shared" si="10"/>
        <v>26.125</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v>250</v>
      </c>
      <c r="C47" s="77">
        <f t="shared" si="6"/>
        <v>75</v>
      </c>
      <c r="D47" s="77">
        <f t="shared" si="7"/>
        <v>38.259699999999995</v>
      </c>
      <c r="E47" s="77">
        <f t="shared" si="8"/>
        <v>43.078750000000014</v>
      </c>
      <c r="F47" s="77">
        <f t="shared" si="9"/>
        <v>6.2174999999999994</v>
      </c>
      <c r="G47" s="77">
        <f t="shared" ref="G47:P50" si="12">IF(G$27="%w/w SAR",((G$28*10)*$B47),IF(G$27="%w/w DM",(((G$28*10)*($B$28/100))*$B47),IF(G$27="kg/t SAR",(G$28*$B47),IF(G$27="kg/t DM",((G$28*($B$28/100))*$B47),IF(G$27="mg/kg SAR",((G$28*0.001)*$B47),IF(G$27="mg/kg DM",(((G$28*0.001)*($B$28/100))*$B47),0))))))</f>
        <v>0.05</v>
      </c>
      <c r="H47" s="77">
        <f t="shared" si="12"/>
        <v>0.20924999999999999</v>
      </c>
      <c r="I47" s="77">
        <f t="shared" si="12"/>
        <v>0.125</v>
      </c>
      <c r="J47" s="77">
        <f t="shared" si="12"/>
        <v>2.5000000000000001E-3</v>
      </c>
      <c r="K47" s="77">
        <f t="shared" si="12"/>
        <v>1.2500000000000001E-2</v>
      </c>
      <c r="L47" s="77">
        <f t="shared" si="12"/>
        <v>0.05</v>
      </c>
      <c r="M47" s="77">
        <f t="shared" si="12"/>
        <v>0.05</v>
      </c>
      <c r="N47" s="77">
        <f t="shared" si="12"/>
        <v>0</v>
      </c>
      <c r="O47" s="77">
        <f t="shared" si="12"/>
        <v>0</v>
      </c>
      <c r="P47" s="77">
        <f t="shared" si="12"/>
        <v>100</v>
      </c>
      <c r="Q47" s="77">
        <f t="shared" si="10"/>
        <v>26.125</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v>250</v>
      </c>
      <c r="C48" s="77">
        <f t="shared" si="6"/>
        <v>75</v>
      </c>
      <c r="D48" s="77">
        <f t="shared" si="7"/>
        <v>38.259699999999995</v>
      </c>
      <c r="E48" s="77">
        <f t="shared" si="8"/>
        <v>43.078750000000014</v>
      </c>
      <c r="F48" s="77">
        <f t="shared" si="9"/>
        <v>6.2174999999999994</v>
      </c>
      <c r="G48" s="77">
        <f t="shared" si="12"/>
        <v>0.05</v>
      </c>
      <c r="H48" s="77">
        <f t="shared" si="12"/>
        <v>0.20924999999999999</v>
      </c>
      <c r="I48" s="77">
        <f t="shared" si="12"/>
        <v>0.125</v>
      </c>
      <c r="J48" s="77">
        <f t="shared" si="12"/>
        <v>2.5000000000000001E-3</v>
      </c>
      <c r="K48" s="77">
        <f t="shared" si="12"/>
        <v>1.2500000000000001E-2</v>
      </c>
      <c r="L48" s="77">
        <f t="shared" si="12"/>
        <v>0.05</v>
      </c>
      <c r="M48" s="77">
        <f t="shared" si="12"/>
        <v>0.05</v>
      </c>
      <c r="N48" s="77">
        <f t="shared" si="12"/>
        <v>0</v>
      </c>
      <c r="O48" s="77">
        <f t="shared" si="12"/>
        <v>0</v>
      </c>
      <c r="P48" s="77">
        <f t="shared" si="12"/>
        <v>100</v>
      </c>
      <c r="Q48" s="77">
        <f t="shared" si="10"/>
        <v>26.125</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v>250</v>
      </c>
      <c r="C49" s="77">
        <f t="shared" si="6"/>
        <v>75</v>
      </c>
      <c r="D49" s="77">
        <f t="shared" si="7"/>
        <v>38.259699999999995</v>
      </c>
      <c r="E49" s="77">
        <f t="shared" si="8"/>
        <v>43.078750000000014</v>
      </c>
      <c r="F49" s="77">
        <f t="shared" si="9"/>
        <v>6.2174999999999994</v>
      </c>
      <c r="G49" s="77">
        <f t="shared" si="12"/>
        <v>0.05</v>
      </c>
      <c r="H49" s="77">
        <f t="shared" si="12"/>
        <v>0.20924999999999999</v>
      </c>
      <c r="I49" s="77">
        <f t="shared" si="12"/>
        <v>0.125</v>
      </c>
      <c r="J49" s="77">
        <f t="shared" si="12"/>
        <v>2.5000000000000001E-3</v>
      </c>
      <c r="K49" s="77">
        <f t="shared" si="12"/>
        <v>1.2500000000000001E-2</v>
      </c>
      <c r="L49" s="77">
        <f t="shared" si="12"/>
        <v>0.05</v>
      </c>
      <c r="M49" s="77">
        <f t="shared" si="12"/>
        <v>0.05</v>
      </c>
      <c r="N49" s="77">
        <f t="shared" si="12"/>
        <v>0</v>
      </c>
      <c r="O49" s="77">
        <f t="shared" si="12"/>
        <v>0</v>
      </c>
      <c r="P49" s="77">
        <f t="shared" si="12"/>
        <v>100</v>
      </c>
      <c r="Q49" s="77">
        <f t="shared" si="10"/>
        <v>26.125</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v>250</v>
      </c>
      <c r="C50" s="98">
        <f t="shared" si="6"/>
        <v>75</v>
      </c>
      <c r="D50" s="98">
        <f t="shared" si="7"/>
        <v>38.259699999999995</v>
      </c>
      <c r="E50" s="98">
        <f t="shared" si="8"/>
        <v>43.078750000000014</v>
      </c>
      <c r="F50" s="98">
        <f t="shared" si="9"/>
        <v>6.2174999999999994</v>
      </c>
      <c r="G50" s="98">
        <f t="shared" si="12"/>
        <v>0.05</v>
      </c>
      <c r="H50" s="98">
        <f t="shared" si="12"/>
        <v>0.20924999999999999</v>
      </c>
      <c r="I50" s="98">
        <f t="shared" si="12"/>
        <v>0.125</v>
      </c>
      <c r="J50" s="98">
        <f t="shared" si="12"/>
        <v>2.5000000000000001E-3</v>
      </c>
      <c r="K50" s="98">
        <f t="shared" si="12"/>
        <v>1.2500000000000001E-2</v>
      </c>
      <c r="L50" s="98">
        <f t="shared" si="12"/>
        <v>0.05</v>
      </c>
      <c r="M50" s="98">
        <f t="shared" si="12"/>
        <v>0.05</v>
      </c>
      <c r="N50" s="98">
        <f t="shared" si="12"/>
        <v>0</v>
      </c>
      <c r="O50" s="98">
        <f t="shared" si="12"/>
        <v>0</v>
      </c>
      <c r="P50" s="98">
        <f t="shared" si="12"/>
        <v>100</v>
      </c>
      <c r="Q50" s="98">
        <f t="shared" si="10"/>
        <v>26.125</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Grass</v>
      </c>
      <c r="H58" s="13" t="str">
        <f>I16&amp;" I "&amp;(VLOOKUP(I14,Table24581113[],6,FALSE))</f>
        <v>Medium/Clay I Arable</v>
      </c>
      <c r="I58" s="13" t="str">
        <f>J16&amp;" I "&amp;(VLOOKUP(J14,Table24581113[],6,FALSE))</f>
        <v>Medium/Clay I Arable</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str">
        <f>V16&amp;" I "&amp;(VLOOKUP(V14,Table24581113[],6,FALSE))</f>
        <v>Medium/Clay I Grass</v>
      </c>
    </row>
    <row r="59" spans="1:35" s="19" customFormat="1" x14ac:dyDescent="0.2">
      <c r="A59" s="111" t="s">
        <v>132</v>
      </c>
      <c r="B59" s="76">
        <f>VLOOKUP(C$14,Table24581113[],5,FALSE)</f>
        <v>6.2</v>
      </c>
      <c r="C59" s="76">
        <f>VLOOKUP(D$14,Table24581113[],5,FALSE)</f>
        <v>6.2</v>
      </c>
      <c r="D59" s="76">
        <f>VLOOKUP(E$14,Table24581113[],5,FALSE)</f>
        <v>6.2</v>
      </c>
      <c r="E59" s="76">
        <f>VLOOKUP(F$14,Table24581113[],5,FALSE)</f>
        <v>6.2</v>
      </c>
      <c r="F59" s="76">
        <f>VLOOKUP(G$14,Table24581113[],5,FALSE)</f>
        <v>6.7</v>
      </c>
      <c r="G59" s="76">
        <f>VLOOKUP(H$14,Table24581113[],5,FALSE)</f>
        <v>6.2</v>
      </c>
      <c r="H59" s="76">
        <f>VLOOKUP(I$14,Table24581113[],5,FALSE)</f>
        <v>6.7</v>
      </c>
      <c r="I59" s="76">
        <f>VLOOKUP(J$14,Table24581113[],5,FALSE)</f>
        <v>6.7</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250</v>
      </c>
      <c r="C62" s="77">
        <f>B32</f>
        <v>250</v>
      </c>
      <c r="D62" s="77">
        <f>B33</f>
        <v>250</v>
      </c>
      <c r="E62" s="77">
        <f>B34</f>
        <v>250</v>
      </c>
      <c r="F62" s="77">
        <f>B35</f>
        <v>250</v>
      </c>
      <c r="G62" s="77">
        <f>B36</f>
        <v>250</v>
      </c>
      <c r="H62" s="77">
        <f>B37</f>
        <v>250</v>
      </c>
      <c r="I62" s="77">
        <f>B38</f>
        <v>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6" priority="38" operator="equal">
      <formula>"DECREASE"</formula>
    </cfRule>
    <cfRule type="cellIs" dxfId="125" priority="39" operator="equal">
      <formula>"INCREASE"</formula>
    </cfRule>
  </conditionalFormatting>
  <conditionalFormatting sqref="B62:U66">
    <cfRule type="cellIs" dxfId="124" priority="37" operator="greaterThan">
      <formula>$B$51</formula>
    </cfRule>
  </conditionalFormatting>
  <conditionalFormatting sqref="C31:C50">
    <cfRule type="cellIs" dxfId="123" priority="36" operator="greaterThan">
      <formula>$C$51</formula>
    </cfRule>
  </conditionalFormatting>
  <conditionalFormatting sqref="C18:V18">
    <cfRule type="cellIs" dxfId="122" priority="35" operator="equal">
      <formula>0</formula>
    </cfRule>
  </conditionalFormatting>
  <conditionalFormatting sqref="C17:V17">
    <cfRule type="cellIs" dxfId="121" priority="34" operator="equal">
      <formula>0</formula>
    </cfRule>
  </conditionalFormatting>
  <conditionalFormatting sqref="C19:V19">
    <cfRule type="cellIs" dxfId="120" priority="33" operator="equal">
      <formula>0</formula>
    </cfRule>
  </conditionalFormatting>
  <conditionalFormatting sqref="G31:G50">
    <cfRule type="cellIs" dxfId="119" priority="32" operator="greaterThan">
      <formula>$G$51</formula>
    </cfRule>
  </conditionalFormatting>
  <conditionalFormatting sqref="H31:H50">
    <cfRule type="cellIs" dxfId="118" priority="31" operator="greaterThan">
      <formula>$H$51</formula>
    </cfRule>
  </conditionalFormatting>
  <conditionalFormatting sqref="I31:I50">
    <cfRule type="cellIs" dxfId="117" priority="30" operator="greaterThan">
      <formula>$I$51</formula>
    </cfRule>
  </conditionalFormatting>
  <conditionalFormatting sqref="K31:K50">
    <cfRule type="cellIs" dxfId="116" priority="29" operator="greaterThan">
      <formula>$K$51</formula>
    </cfRule>
  </conditionalFormatting>
  <conditionalFormatting sqref="L31:L50">
    <cfRule type="cellIs" dxfId="115" priority="28" operator="greaterThan">
      <formula>$L$51</formula>
    </cfRule>
  </conditionalFormatting>
  <conditionalFormatting sqref="M31:M50">
    <cfRule type="cellIs" dxfId="114" priority="27" operator="greaterThan">
      <formula>$M$51</formula>
    </cfRule>
  </conditionalFormatting>
  <conditionalFormatting sqref="P31:P50">
    <cfRule type="cellIs" dxfId="113" priority="26" operator="greaterThan">
      <formula>$P$51</formula>
    </cfRule>
  </conditionalFormatting>
  <conditionalFormatting sqref="R31:R50">
    <cfRule type="cellIs" dxfId="112" priority="25" operator="greaterThan">
      <formula>$R$51</formula>
    </cfRule>
  </conditionalFormatting>
  <conditionalFormatting sqref="S31:S50">
    <cfRule type="cellIs" dxfId="111" priority="24" operator="greaterThan">
      <formula>$S$51</formula>
    </cfRule>
  </conditionalFormatting>
  <conditionalFormatting sqref="T31:T50">
    <cfRule type="cellIs" dxfId="110" priority="23" operator="greaterThan">
      <formula>$T$51</formula>
    </cfRule>
  </conditionalFormatting>
  <conditionalFormatting sqref="U31:U50">
    <cfRule type="cellIs" dxfId="109" priority="22" operator="greaterThan">
      <formula>$U$51</formula>
    </cfRule>
  </conditionalFormatting>
  <conditionalFormatting sqref="C22:V22">
    <cfRule type="cellIs" dxfId="108" priority="21" operator="equal">
      <formula>0</formula>
    </cfRule>
  </conditionalFormatting>
  <conditionalFormatting sqref="C24:V24">
    <cfRule type="cellIs" dxfId="107" priority="19" operator="equal">
      <formula>"DECREASE"</formula>
    </cfRule>
    <cfRule type="cellIs" dxfId="106" priority="20" operator="equal">
      <formula>"INCREASE"</formula>
    </cfRule>
  </conditionalFormatting>
  <conditionalFormatting sqref="C23:V23">
    <cfRule type="cellIs" dxfId="105" priority="18" operator="equal">
      <formula>0</formula>
    </cfRule>
  </conditionalFormatting>
  <conditionalFormatting sqref="C21:V21">
    <cfRule type="cellIs" dxfId="104" priority="14" operator="equal">
      <formula>0</formula>
    </cfRule>
  </conditionalFormatting>
  <conditionalFormatting sqref="B66:U66">
    <cfRule type="cellIs" dxfId="103" priority="12" operator="equal">
      <formula>"UNDER"</formula>
    </cfRule>
    <cfRule type="cellIs" dxfId="102" priority="13" operator="equal">
      <formula>"OVER"</formula>
    </cfRule>
  </conditionalFormatting>
  <conditionalFormatting sqref="J31:J50">
    <cfRule type="cellIs" dxfId="101" priority="9" operator="greaterThan">
      <formula>$J$51</formula>
    </cfRule>
  </conditionalFormatting>
  <conditionalFormatting sqref="L3">
    <cfRule type="cellIs" dxfId="100" priority="5" operator="lessThan">
      <formula>30</formula>
    </cfRule>
    <cfRule type="cellIs" dxfId="99" priority="6" operator="greaterThanOrEqual">
      <formula>30</formula>
    </cfRule>
  </conditionalFormatting>
  <conditionalFormatting sqref="I1">
    <cfRule type="cellIs" dxfId="98" priority="4" operator="between">
      <formula>0.1</formula>
      <formula>5</formula>
    </cfRule>
  </conditionalFormatting>
  <conditionalFormatting sqref="I2">
    <cfRule type="cellIs" dxfId="97" priority="3" operator="greaterThan">
      <formula>5000.1</formula>
    </cfRule>
  </conditionalFormatting>
  <conditionalFormatting sqref="I3">
    <cfRule type="cellIs" dxfId="96" priority="2" operator="greaterThan">
      <formula>40000.01</formula>
    </cfRule>
  </conditionalFormatting>
  <conditionalFormatting sqref="B31:B50">
    <cfRule type="cellIs" dxfId="95" priority="1" operator="greaterThan">
      <formula>$B$51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-64.599999999999994</v>
      </c>
      <c r="D19" s="16">
        <f t="shared" ref="D19:V19" si="1">D18-D17</f>
        <v>-64.599999999999994</v>
      </c>
      <c r="E19" s="16">
        <f t="shared" si="1"/>
        <v>-64.599999999999994</v>
      </c>
      <c r="F19" s="16">
        <f t="shared" si="1"/>
        <v>-64.599999999999994</v>
      </c>
      <c r="G19" s="16">
        <f t="shared" si="1"/>
        <v>-56</v>
      </c>
      <c r="H19" s="16">
        <f t="shared" si="1"/>
        <v>-64.599999999999994</v>
      </c>
      <c r="I19" s="16">
        <f t="shared" si="1"/>
        <v>-56</v>
      </c>
      <c r="J19" s="16">
        <f t="shared" si="1"/>
        <v>-56</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-228</v>
      </c>
      <c r="D23" s="16">
        <f t="shared" ref="D23:V23" si="3">D22-D21</f>
        <v>-228</v>
      </c>
      <c r="E23" s="16">
        <f t="shared" si="3"/>
        <v>-228</v>
      </c>
      <c r="F23" s="16">
        <f t="shared" si="3"/>
        <v>-228</v>
      </c>
      <c r="G23" s="16">
        <f t="shared" si="3"/>
        <v>-176</v>
      </c>
      <c r="H23" s="16">
        <f t="shared" si="3"/>
        <v>-228</v>
      </c>
      <c r="I23" s="16">
        <f t="shared" si="3"/>
        <v>-176</v>
      </c>
      <c r="J23" s="16">
        <f t="shared" si="3"/>
        <v>-176</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Grass</v>
      </c>
      <c r="H58" s="13" t="str">
        <f>I16&amp;" I "&amp;(VLOOKUP(I14,Table24567[],6,FALSE))</f>
        <v>Medium/Clay I Arable</v>
      </c>
      <c r="I58" s="13" t="str">
        <f>J16&amp;" I "&amp;(VLOOKUP(J14,Table24567[],6,FALSE))</f>
        <v>Medium/Clay I Arable</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str">
        <f>V16&amp;" I "&amp;(VLOOKUP(V14,Table24567[],6,FALSE))</f>
        <v>Medium/Clay I Grass</v>
      </c>
    </row>
    <row r="59" spans="1:35" s="19" customFormat="1" x14ac:dyDescent="0.2">
      <c r="A59" s="111" t="s">
        <v>132</v>
      </c>
      <c r="B59" s="76">
        <f>VLOOKUP(C$14,Table24567[],5,FALSE)</f>
        <v>6.2</v>
      </c>
      <c r="C59" s="76">
        <f>VLOOKUP(D$14,Table24567[],5,FALSE)</f>
        <v>6.2</v>
      </c>
      <c r="D59" s="76">
        <f>VLOOKUP(E$14,Table24567[],5,FALSE)</f>
        <v>6.2</v>
      </c>
      <c r="E59" s="76">
        <f>VLOOKUP(F$14,Table24567[],5,FALSE)</f>
        <v>6.2</v>
      </c>
      <c r="F59" s="76">
        <f>VLOOKUP(G$14,Table24567[],5,FALSE)</f>
        <v>6.7</v>
      </c>
      <c r="G59" s="76">
        <f>VLOOKUP(H$14,Table24567[],5,FALSE)</f>
        <v>6.2</v>
      </c>
      <c r="H59" s="76">
        <f>VLOOKUP(I$14,Table24567[],5,FALSE)</f>
        <v>6.7</v>
      </c>
      <c r="I59" s="76">
        <f>VLOOKUP(J$14,Table24567[],5,FALSE)</f>
        <v>6.7</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9" t="s">
        <v>41</v>
      </c>
      <c r="B1" s="129"/>
      <c r="C1" s="142" t="str">
        <f>Secanim!C1:D1</f>
        <v>PAN-022524</v>
      </c>
      <c r="D1" s="143"/>
      <c r="E1" s="93" t="s">
        <v>45</v>
      </c>
      <c r="F1" s="39">
        <f>Secanim!F1</f>
        <v>48.6</v>
      </c>
      <c r="G1" s="125" t="s">
        <v>43</v>
      </c>
      <c r="H1" s="126"/>
      <c r="I1" s="118"/>
      <c r="J1" s="129" t="s">
        <v>153</v>
      </c>
      <c r="K1" s="12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9" t="s">
        <v>87</v>
      </c>
      <c r="B2" s="129"/>
      <c r="C2" s="144" t="str">
        <f>Secanim!C2:D2</f>
        <v>EPR/KP3594VE</v>
      </c>
      <c r="D2" s="145"/>
      <c r="E2" s="93" t="s">
        <v>109</v>
      </c>
      <c r="F2" s="96"/>
      <c r="G2" s="127" t="s">
        <v>110</v>
      </c>
      <c r="H2" s="128"/>
      <c r="I2" s="118"/>
      <c r="J2" s="129" t="s">
        <v>158</v>
      </c>
      <c r="K2" s="129"/>
      <c r="L2" s="97"/>
      <c r="AB2" s="30" t="s">
        <v>56</v>
      </c>
      <c r="AC2" s="17"/>
      <c r="AD2" s="30" t="s">
        <v>70</v>
      </c>
      <c r="AE2" s="17"/>
      <c r="AF2" s="17"/>
      <c r="AG2" s="44" t="s">
        <v>76</v>
      </c>
      <c r="AH2" s="18"/>
      <c r="AI2" s="45" t="s">
        <v>126</v>
      </c>
      <c r="AJ2" s="46">
        <v>0</v>
      </c>
      <c r="AK2" s="47">
        <v>0</v>
      </c>
      <c r="AL2" s="10">
        <v>0</v>
      </c>
      <c r="AM2" s="11">
        <v>0</v>
      </c>
      <c r="AN2" s="11">
        <v>0</v>
      </c>
    </row>
    <row r="3" spans="1:41" x14ac:dyDescent="0.2">
      <c r="A3" s="125" t="s">
        <v>42</v>
      </c>
      <c r="B3" s="126"/>
      <c r="C3" s="144" t="str">
        <f>Secanim!C3:D3</f>
        <v>Trade Effluent Services Limited</v>
      </c>
      <c r="D3" s="145"/>
      <c r="E3" s="93" t="s">
        <v>108</v>
      </c>
      <c r="F3" s="31"/>
      <c r="G3" s="129" t="s">
        <v>159</v>
      </c>
      <c r="H3" s="129"/>
      <c r="I3" s="118"/>
      <c r="J3" s="125" t="s">
        <v>154</v>
      </c>
      <c r="K3" s="126"/>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9" t="s">
        <v>0</v>
      </c>
      <c r="B4" s="129"/>
      <c r="C4" s="142" t="str">
        <f>Secanim!C4:D4</f>
        <v>Gwaenynog Back, Denbigh, LL16 5RW</v>
      </c>
      <c r="D4" s="143"/>
      <c r="E4" s="94" t="s">
        <v>1</v>
      </c>
      <c r="F4" s="96"/>
      <c r="G4" s="125"/>
      <c r="H4" s="126"/>
      <c r="I4" s="39"/>
      <c r="J4" s="125"/>
      <c r="K4" s="126"/>
      <c r="L4" s="96"/>
      <c r="AB4" s="30" t="s">
        <v>52</v>
      </c>
      <c r="AC4" s="17"/>
      <c r="AD4" s="52" t="s">
        <v>72</v>
      </c>
      <c r="AE4" s="17"/>
      <c r="AF4" s="17"/>
      <c r="AG4" s="44" t="s">
        <v>78</v>
      </c>
      <c r="AH4" s="18"/>
      <c r="AI4" s="53" t="s">
        <v>124</v>
      </c>
      <c r="AJ4" s="54">
        <v>7</v>
      </c>
      <c r="AK4" s="55">
        <v>10.5</v>
      </c>
      <c r="AL4" s="11">
        <v>2</v>
      </c>
      <c r="AM4" s="11">
        <v>6.7</v>
      </c>
      <c r="AN4" s="11" t="s">
        <v>135</v>
      </c>
    </row>
    <row r="5" spans="1:41" x14ac:dyDescent="0.2">
      <c r="A5" s="129" t="s">
        <v>47</v>
      </c>
      <c r="B5" s="129"/>
      <c r="C5" s="142" t="str">
        <f>Secanim!C5:D5</f>
        <v>Louise Bailey</v>
      </c>
      <c r="D5" s="143"/>
      <c r="E5" s="93"/>
      <c r="F5" s="39"/>
      <c r="G5" s="125"/>
      <c r="H5" s="126"/>
      <c r="I5" s="39"/>
      <c r="J5" s="125"/>
      <c r="K5" s="126"/>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9" t="s">
        <v>2</v>
      </c>
      <c r="B8" s="129"/>
      <c r="C8" s="60">
        <f>Secanim!C8</f>
        <v>2991</v>
      </c>
      <c r="D8" s="60">
        <f>Secanim!D8</f>
        <v>3799</v>
      </c>
      <c r="E8" s="60">
        <f>Secanim!E8</f>
        <v>5694</v>
      </c>
      <c r="F8" s="60">
        <f>Secanim!F8</f>
        <v>5813</v>
      </c>
      <c r="G8" s="60">
        <f>Secanim!G8</f>
        <v>716</v>
      </c>
      <c r="H8" s="60">
        <f>Secanim!H8</f>
        <v>9596</v>
      </c>
      <c r="I8" s="60">
        <f>Secanim!I8</f>
        <v>2211</v>
      </c>
      <c r="J8" s="60">
        <f>Secanim!J8</f>
        <v>1390</v>
      </c>
      <c r="K8" s="60">
        <f>Secanim!K8</f>
        <v>3398</v>
      </c>
      <c r="L8" s="60">
        <f>Secanim!L8</f>
        <v>2881</v>
      </c>
      <c r="M8" s="60">
        <f>Secanim!M8</f>
        <v>2565</v>
      </c>
      <c r="N8" s="60">
        <f>Secanim!N8</f>
        <v>4279</v>
      </c>
      <c r="O8" s="60">
        <f>Secanim!O8</f>
        <v>5490</v>
      </c>
      <c r="P8" s="60">
        <f>Secanim!P8</f>
        <v>5905</v>
      </c>
      <c r="Q8" s="60">
        <f>Secanim!Q8</f>
        <v>6418</v>
      </c>
      <c r="R8" s="60">
        <f>Secanim!R8</f>
        <v>7605</v>
      </c>
      <c r="S8" s="60">
        <f>Secanim!S8</f>
        <v>7887</v>
      </c>
      <c r="T8" s="60">
        <f>Secanim!T8</f>
        <v>5974</v>
      </c>
      <c r="U8" s="60">
        <f>Secanim!U8</f>
        <v>3581</v>
      </c>
      <c r="V8" s="60">
        <f>Secanim!V8</f>
        <v>2946</v>
      </c>
      <c r="AB8" s="61"/>
      <c r="AC8" s="61"/>
      <c r="AD8" s="18"/>
      <c r="AE8" s="17" t="s">
        <v>139</v>
      </c>
      <c r="AF8" s="17"/>
      <c r="AG8" s="18"/>
      <c r="AH8" s="18"/>
      <c r="AI8" s="53" t="s">
        <v>105</v>
      </c>
      <c r="AJ8" s="62">
        <v>1.4</v>
      </c>
      <c r="AK8" s="55">
        <v>4.4000000000000004</v>
      </c>
      <c r="AL8" s="11">
        <v>6</v>
      </c>
      <c r="AM8" s="11">
        <v>6.7</v>
      </c>
      <c r="AN8" s="11" t="s">
        <v>135</v>
      </c>
      <c r="AO8" s="79"/>
    </row>
    <row r="9" spans="1:41" x14ac:dyDescent="0.2">
      <c r="A9" s="129" t="s">
        <v>3</v>
      </c>
      <c r="B9" s="129"/>
      <c r="C9" s="60" t="str">
        <f>Secanim!C9</f>
        <v>Moderate</v>
      </c>
      <c r="D9" s="60" t="str">
        <f>Secanim!D9</f>
        <v>Moderate</v>
      </c>
      <c r="E9" s="60" t="str">
        <f>Secanim!E9</f>
        <v>Moderate</v>
      </c>
      <c r="F9" s="60" t="str">
        <f>Secanim!F9</f>
        <v>Moderate</v>
      </c>
      <c r="G9" s="60">
        <f>Secanim!G9</f>
        <v>1</v>
      </c>
      <c r="H9" s="60" t="str">
        <f>Secanim!H9</f>
        <v>Moderate</v>
      </c>
      <c r="I9" s="60">
        <f>Secanim!I9</f>
        <v>1</v>
      </c>
      <c r="J9" s="60">
        <f>Secanim!J9</f>
        <v>1</v>
      </c>
      <c r="K9" s="60" t="str">
        <f>Secanim!K9</f>
        <v>Moderate</v>
      </c>
      <c r="L9" s="60" t="str">
        <f>Secanim!L9</f>
        <v>Moderate</v>
      </c>
      <c r="M9" s="60" t="str">
        <f>Secanim!M9</f>
        <v>Moderate</v>
      </c>
      <c r="N9" s="60" t="str">
        <f>Secanim!N9</f>
        <v>Moderate</v>
      </c>
      <c r="O9" s="60" t="str">
        <f>Secanim!O9</f>
        <v>Moderate</v>
      </c>
      <c r="P9" s="60" t="str">
        <f>Secanim!P9</f>
        <v>Moderate</v>
      </c>
      <c r="Q9" s="60" t="str">
        <f>Secanim!Q9</f>
        <v>Moderate</v>
      </c>
      <c r="R9" s="60" t="str">
        <f>Secanim!R9</f>
        <v>Moderate</v>
      </c>
      <c r="S9" s="60" t="str">
        <f>Secanim!S9</f>
        <v>Moderate</v>
      </c>
      <c r="T9" s="60" t="str">
        <f>Secanim!T9</f>
        <v>Moderate</v>
      </c>
      <c r="U9" s="60" t="str">
        <f>Secanim!U9</f>
        <v>Moderate</v>
      </c>
      <c r="V9" s="60" t="str">
        <f>Secanim!V9</f>
        <v>Moderate</v>
      </c>
      <c r="AB9" s="17"/>
      <c r="AC9" s="17"/>
      <c r="AD9" s="30" t="s">
        <v>137</v>
      </c>
      <c r="AE9" s="30">
        <v>4.5</v>
      </c>
      <c r="AF9" s="17"/>
      <c r="AG9" s="18"/>
      <c r="AH9" s="18"/>
      <c r="AI9" s="63" t="s">
        <v>103</v>
      </c>
      <c r="AJ9" s="64">
        <v>0.7</v>
      </c>
      <c r="AK9" s="65">
        <v>4</v>
      </c>
      <c r="AL9" s="29">
        <v>7</v>
      </c>
      <c r="AM9" s="11">
        <v>6.7</v>
      </c>
      <c r="AN9" s="11" t="s">
        <v>135</v>
      </c>
      <c r="AO9" s="99"/>
    </row>
    <row r="10" spans="1:41" x14ac:dyDescent="0.2">
      <c r="A10" s="129" t="s">
        <v>4</v>
      </c>
      <c r="B10" s="129"/>
      <c r="C10" s="60">
        <f>Secanim!C10</f>
        <v>5.7</v>
      </c>
      <c r="D10" s="60">
        <f>Secanim!D10</f>
        <v>6.4</v>
      </c>
      <c r="E10" s="60">
        <f>Secanim!E10</f>
        <v>6.5</v>
      </c>
      <c r="F10" s="60">
        <f>Secanim!F10</f>
        <v>6.7</v>
      </c>
      <c r="G10" s="60">
        <f>Secanim!G10</f>
        <v>6.4</v>
      </c>
      <c r="H10" s="60">
        <f>Secanim!H10</f>
        <v>5.5</v>
      </c>
      <c r="I10" s="60">
        <f>Secanim!I10</f>
        <v>6</v>
      </c>
      <c r="J10" s="60">
        <f>Secanim!J10</f>
        <v>5.4</v>
      </c>
      <c r="K10" s="60">
        <f>Secanim!K10</f>
        <v>5.9</v>
      </c>
      <c r="L10" s="60">
        <f>Secanim!L10</f>
        <v>5.6</v>
      </c>
      <c r="M10" s="60">
        <f>Secanim!M10</f>
        <v>5.5</v>
      </c>
      <c r="N10" s="60">
        <f>Secanim!N10</f>
        <v>5.6</v>
      </c>
      <c r="O10" s="60">
        <f>Secanim!O10</f>
        <v>6.1</v>
      </c>
      <c r="P10" s="60">
        <f>Secanim!P10</f>
        <v>6.2</v>
      </c>
      <c r="Q10" s="60">
        <f>Secanim!Q10</f>
        <v>5.8</v>
      </c>
      <c r="R10" s="60">
        <f>Secanim!R10</f>
        <v>6.3</v>
      </c>
      <c r="S10" s="60">
        <f>Secanim!S10</f>
        <v>6.1</v>
      </c>
      <c r="T10" s="60">
        <f>Secanim!T10</f>
        <v>6</v>
      </c>
      <c r="U10" s="60">
        <f>Secanim!U10</f>
        <v>6</v>
      </c>
      <c r="V10" s="60">
        <f>Secanim!V10</f>
        <v>5.5</v>
      </c>
      <c r="AB10" s="17"/>
      <c r="AC10" s="17"/>
      <c r="AD10" s="30" t="s">
        <v>140</v>
      </c>
      <c r="AE10" s="30">
        <v>5</v>
      </c>
      <c r="AF10" s="17"/>
      <c r="AG10" s="18"/>
      <c r="AH10" s="18"/>
      <c r="AI10" s="53" t="s">
        <v>97</v>
      </c>
      <c r="AJ10" s="54">
        <v>9</v>
      </c>
      <c r="AK10" s="55">
        <v>16.5</v>
      </c>
      <c r="AL10" s="11">
        <v>8</v>
      </c>
      <c r="AM10" s="11">
        <v>6.7</v>
      </c>
      <c r="AN10" s="11" t="s">
        <v>135</v>
      </c>
    </row>
    <row r="11" spans="1:41" x14ac:dyDescent="0.2">
      <c r="A11" s="129" t="s">
        <v>5</v>
      </c>
      <c r="B11" s="129"/>
      <c r="C11" s="60">
        <f>Secanim!C11</f>
        <v>2</v>
      </c>
      <c r="D11" s="60">
        <f>Secanim!D11</f>
        <v>2</v>
      </c>
      <c r="E11" s="60">
        <f>Secanim!E11</f>
        <v>2</v>
      </c>
      <c r="F11" s="60">
        <f>Secanim!F11</f>
        <v>2</v>
      </c>
      <c r="G11" s="60">
        <f>Secanim!G11</f>
        <v>2</v>
      </c>
      <c r="H11" s="60">
        <f>Secanim!H11</f>
        <v>2</v>
      </c>
      <c r="I11" s="60">
        <f>Secanim!I11</f>
        <v>2</v>
      </c>
      <c r="J11" s="60">
        <f>Secanim!J11</f>
        <v>3</v>
      </c>
      <c r="K11" s="60">
        <f>Secanim!K11</f>
        <v>2</v>
      </c>
      <c r="L11" s="60">
        <f>Secanim!L11</f>
        <v>2</v>
      </c>
      <c r="M11" s="60">
        <f>Secanim!M11</f>
        <v>3</v>
      </c>
      <c r="N11" s="60">
        <f>Secanim!N11</f>
        <v>3</v>
      </c>
      <c r="O11" s="60">
        <f>Secanim!O11</f>
        <v>2</v>
      </c>
      <c r="P11" s="60">
        <f>Secanim!P11</f>
        <v>2</v>
      </c>
      <c r="Q11" s="60">
        <f>Secanim!Q11</f>
        <v>2</v>
      </c>
      <c r="R11" s="60">
        <f>Secanim!R11</f>
        <v>2</v>
      </c>
      <c r="S11" s="60">
        <f>Secanim!S11</f>
        <v>1</v>
      </c>
      <c r="T11" s="60">
        <f>Secanim!T11</f>
        <v>3</v>
      </c>
      <c r="U11" s="60">
        <f>Secanim!U11</f>
        <v>3</v>
      </c>
      <c r="V11" s="60">
        <f>Secanim!V11</f>
        <v>3</v>
      </c>
      <c r="AB11" s="17"/>
      <c r="AC11" s="17"/>
      <c r="AD11" s="52" t="s">
        <v>141</v>
      </c>
      <c r="AE11" s="30">
        <v>6</v>
      </c>
      <c r="AF11" s="17"/>
      <c r="AG11" s="18"/>
      <c r="AH11" s="18"/>
      <c r="AI11" s="53" t="s">
        <v>122</v>
      </c>
      <c r="AJ11" s="54">
        <v>15</v>
      </c>
      <c r="AK11" s="55">
        <v>17.5</v>
      </c>
      <c r="AL11" s="11">
        <v>9</v>
      </c>
      <c r="AM11" s="11">
        <v>7</v>
      </c>
      <c r="AN11" s="11" t="s">
        <v>135</v>
      </c>
    </row>
    <row r="12" spans="1:41" x14ac:dyDescent="0.2">
      <c r="A12" s="129" t="s">
        <v>6</v>
      </c>
      <c r="B12" s="129"/>
      <c r="C12" s="60">
        <f>Secanim!C12</f>
        <v>1</v>
      </c>
      <c r="D12" s="60">
        <f>Secanim!D12</f>
        <v>1</v>
      </c>
      <c r="E12" s="60">
        <f>Secanim!E12</f>
        <v>2</v>
      </c>
      <c r="F12" s="60">
        <f>Secanim!F12</f>
        <v>1</v>
      </c>
      <c r="G12" s="60">
        <f>Secanim!G12</f>
        <v>2</v>
      </c>
      <c r="H12" s="60">
        <f>Secanim!H12</f>
        <v>1</v>
      </c>
      <c r="I12" s="60">
        <f>Secanim!I12</f>
        <v>2</v>
      </c>
      <c r="J12" s="60">
        <f>Secanim!J12</f>
        <v>2</v>
      </c>
      <c r="K12" s="60">
        <f>Secanim!K12</f>
        <v>3</v>
      </c>
      <c r="L12" s="60">
        <f>Secanim!L12</f>
        <v>3</v>
      </c>
      <c r="M12" s="60">
        <f>Secanim!M12</f>
        <v>4</v>
      </c>
      <c r="N12" s="60">
        <f>Secanim!N12</f>
        <v>3</v>
      </c>
      <c r="O12" s="60">
        <f>Secanim!O12</f>
        <v>2</v>
      </c>
      <c r="P12" s="60">
        <f>Secanim!P12</f>
        <v>2</v>
      </c>
      <c r="Q12" s="60">
        <f>Secanim!Q12</f>
        <v>3</v>
      </c>
      <c r="R12" s="60">
        <f>Secanim!R12</f>
        <v>2</v>
      </c>
      <c r="S12" s="60">
        <f>Secanim!S12</f>
        <v>2</v>
      </c>
      <c r="T12" s="60">
        <f>Secanim!T12</f>
        <v>4</v>
      </c>
      <c r="U12" s="60">
        <f>Secanim!U12</f>
        <v>2</v>
      </c>
      <c r="V12" s="60">
        <f>Secanim!V12</f>
        <v>2</v>
      </c>
      <c r="AB12" s="17"/>
      <c r="AC12" s="17"/>
      <c r="AD12" s="52" t="s">
        <v>142</v>
      </c>
      <c r="AE12" s="30">
        <v>7.5</v>
      </c>
      <c r="AF12" s="17"/>
      <c r="AG12" s="18"/>
      <c r="AH12" s="18"/>
      <c r="AI12" s="53" t="s">
        <v>121</v>
      </c>
      <c r="AJ12" s="54">
        <v>14</v>
      </c>
      <c r="AK12" s="55">
        <v>11</v>
      </c>
      <c r="AL12" s="11">
        <v>10</v>
      </c>
      <c r="AM12" s="11">
        <v>7</v>
      </c>
      <c r="AN12" s="11" t="s">
        <v>135</v>
      </c>
    </row>
    <row r="13" spans="1:41" x14ac:dyDescent="0.2">
      <c r="A13" s="129" t="s">
        <v>7</v>
      </c>
      <c r="B13" s="129"/>
      <c r="C13" s="60">
        <f>Secanim!C13</f>
        <v>3</v>
      </c>
      <c r="D13" s="60">
        <f>Secanim!D13</f>
        <v>2</v>
      </c>
      <c r="E13" s="60">
        <f>Secanim!E13</f>
        <v>2</v>
      </c>
      <c r="F13" s="60">
        <f>Secanim!F13</f>
        <v>2</v>
      </c>
      <c r="G13" s="60">
        <f>Secanim!G13</f>
        <v>2</v>
      </c>
      <c r="H13" s="60">
        <f>Secanim!H13</f>
        <v>2</v>
      </c>
      <c r="I13" s="60">
        <f>Secanim!I13</f>
        <v>3</v>
      </c>
      <c r="J13" s="60">
        <f>Secanim!J13</f>
        <v>3</v>
      </c>
      <c r="K13" s="60">
        <f>Secanim!K13</f>
        <v>3</v>
      </c>
      <c r="L13" s="60">
        <f>Secanim!L13</f>
        <v>2</v>
      </c>
      <c r="M13" s="60">
        <f>Secanim!M13</f>
        <v>3</v>
      </c>
      <c r="N13" s="60">
        <f>Secanim!N13</f>
        <v>3</v>
      </c>
      <c r="O13" s="60">
        <f>Secanim!O13</f>
        <v>3</v>
      </c>
      <c r="P13" s="60">
        <f>Secanim!P13</f>
        <v>3</v>
      </c>
      <c r="Q13" s="60">
        <f>Secanim!Q13</f>
        <v>3</v>
      </c>
      <c r="R13" s="60">
        <f>Secanim!R13</f>
        <v>3</v>
      </c>
      <c r="S13" s="60">
        <f>Secanim!S13</f>
        <v>3</v>
      </c>
      <c r="T13" s="60">
        <f>Secanim!T13</f>
        <v>4</v>
      </c>
      <c r="U13" s="60">
        <f>Secanim!U13</f>
        <v>3</v>
      </c>
      <c r="V13" s="60">
        <f>Secanim!V13</f>
        <v>2</v>
      </c>
      <c r="AB13" s="17"/>
      <c r="AC13" s="17"/>
      <c r="AD13" s="52" t="s">
        <v>143</v>
      </c>
      <c r="AE13" s="30">
        <v>12</v>
      </c>
      <c r="AF13" s="17"/>
      <c r="AG13" s="18"/>
      <c r="AH13" s="18"/>
      <c r="AI13" s="53" t="s">
        <v>120</v>
      </c>
      <c r="AJ13" s="54">
        <v>1.9</v>
      </c>
      <c r="AK13" s="55">
        <v>7.5</v>
      </c>
      <c r="AL13" s="11">
        <v>11</v>
      </c>
      <c r="AM13" s="11">
        <v>6.7</v>
      </c>
      <c r="AN13" s="11" t="s">
        <v>135</v>
      </c>
    </row>
    <row r="14" spans="1:41" x14ac:dyDescent="0.2">
      <c r="A14" s="138" t="s">
        <v>8</v>
      </c>
      <c r="B14" s="138"/>
      <c r="C14" s="102" t="str">
        <f>Secanim!C14</f>
        <v xml:space="preserve">Grass Silage (25% DM) </v>
      </c>
      <c r="D14" s="102" t="str">
        <f>Secanim!D14</f>
        <v xml:space="preserve">Grass Silage (25% DM) </v>
      </c>
      <c r="E14" s="102" t="str">
        <f>Secanim!E14</f>
        <v xml:space="preserve">Grass Silage (25% DM) </v>
      </c>
      <c r="F14" s="102" t="str">
        <f>Secanim!F14</f>
        <v xml:space="preserve">Grass Silage (25% DM) </v>
      </c>
      <c r="G14" s="102" t="str">
        <f>Secanim!G14</f>
        <v>Maize- Silage (30% DM)</v>
      </c>
      <c r="H14" s="102" t="str">
        <f>Secanim!H14</f>
        <v xml:space="preserve">Grass Silage (25% DM) </v>
      </c>
      <c r="I14" s="102" t="str">
        <f>Secanim!I14</f>
        <v>Maize- Silage (30% DM)</v>
      </c>
      <c r="J14" s="102" t="str">
        <f>Secanim!J14</f>
        <v>Maize- Silage (30% DM)</v>
      </c>
      <c r="K14" s="102" t="str">
        <f>Secanim!K14</f>
        <v xml:space="preserve">Grass Silage (25% DM) </v>
      </c>
      <c r="L14" s="102" t="str">
        <f>Secanim!L14</f>
        <v xml:space="preserve">Grass Silage (25% DM) </v>
      </c>
      <c r="M14" s="102" t="str">
        <f>Secanim!M14</f>
        <v xml:space="preserve">Grass Silage (25% DM) </v>
      </c>
      <c r="N14" s="102" t="str">
        <f>Secanim!N14</f>
        <v xml:space="preserve">Grass Silage (25% DM) </v>
      </c>
      <c r="O14" s="102" t="str">
        <f>Secanim!O14</f>
        <v xml:space="preserve">Grass Silage (25% DM) </v>
      </c>
      <c r="P14" s="102" t="str">
        <f>Secanim!P14</f>
        <v xml:space="preserve">Grass Silage (25% DM) </v>
      </c>
      <c r="Q14" s="102" t="str">
        <f>Secanim!Q14</f>
        <v xml:space="preserve">Grass Silage (25% DM) </v>
      </c>
      <c r="R14" s="102" t="str">
        <f>Secanim!R14</f>
        <v xml:space="preserve">Grass Silage (25% DM) </v>
      </c>
      <c r="S14" s="102" t="str">
        <f>Secanim!S14</f>
        <v xml:space="preserve">Grass Silage (25% DM) </v>
      </c>
      <c r="T14" s="102" t="str">
        <f>Secanim!T14</f>
        <v xml:space="preserve">Grass Silage (25% DM) </v>
      </c>
      <c r="U14" s="102" t="str">
        <f>Secanim!U14</f>
        <v xml:space="preserve">Grass Silage (25% DM) </v>
      </c>
      <c r="V14" s="102" t="str">
        <f>Secanim!V14</f>
        <v xml:space="preserve">Grass Silage (25% DM) </v>
      </c>
      <c r="AD14" s="30" t="s">
        <v>138</v>
      </c>
      <c r="AE14" s="30">
        <v>6</v>
      </c>
      <c r="AI14" s="53" t="s">
        <v>119</v>
      </c>
      <c r="AJ14" s="54">
        <v>0.8</v>
      </c>
      <c r="AK14" s="55">
        <v>1.7</v>
      </c>
      <c r="AL14" s="11">
        <v>12</v>
      </c>
      <c r="AM14" s="11">
        <v>6.7</v>
      </c>
      <c r="AN14" s="11" t="s">
        <v>135</v>
      </c>
    </row>
    <row r="15" spans="1:41" x14ac:dyDescent="0.2">
      <c r="A15" s="137" t="s">
        <v>9</v>
      </c>
      <c r="B15" s="137"/>
      <c r="C15" s="60">
        <f>Secanim!C15</f>
        <v>38</v>
      </c>
      <c r="D15" s="60">
        <f>Secanim!D15</f>
        <v>38</v>
      </c>
      <c r="E15" s="60">
        <f>Secanim!E15</f>
        <v>38</v>
      </c>
      <c r="F15" s="60">
        <f>Secanim!F15</f>
        <v>38</v>
      </c>
      <c r="G15" s="60">
        <f>Secanim!G15</f>
        <v>40</v>
      </c>
      <c r="H15" s="60">
        <f>Secanim!H15</f>
        <v>38</v>
      </c>
      <c r="I15" s="60">
        <f>Secanim!I15</f>
        <v>40</v>
      </c>
      <c r="J15" s="60">
        <f>Secanim!J15</f>
        <v>40</v>
      </c>
      <c r="K15" s="60">
        <f>Secanim!K15</f>
        <v>38</v>
      </c>
      <c r="L15" s="60">
        <f>Secanim!L15</f>
        <v>38</v>
      </c>
      <c r="M15" s="60">
        <f>Secanim!M15</f>
        <v>38</v>
      </c>
      <c r="N15" s="60">
        <f>Secanim!N15</f>
        <v>38</v>
      </c>
      <c r="O15" s="60">
        <f>Secanim!O15</f>
        <v>38</v>
      </c>
      <c r="P15" s="60">
        <f>Secanim!P15</f>
        <v>38</v>
      </c>
      <c r="Q15" s="60">
        <f>Secanim!Q15</f>
        <v>38</v>
      </c>
      <c r="R15" s="60">
        <f>Secanim!R15</f>
        <v>38</v>
      </c>
      <c r="S15" s="60">
        <f>Secanim!S15</f>
        <v>38</v>
      </c>
      <c r="T15" s="60">
        <f>Secanim!T15</f>
        <v>38</v>
      </c>
      <c r="U15" s="60">
        <f>Secanim!U15</f>
        <v>38</v>
      </c>
      <c r="V15" s="60">
        <f>Secanim!V15</f>
        <v>38</v>
      </c>
      <c r="AD15" s="30" t="s">
        <v>144</v>
      </c>
      <c r="AE15" s="30">
        <v>7</v>
      </c>
      <c r="AI15" s="53" t="s">
        <v>101</v>
      </c>
      <c r="AJ15" s="62">
        <v>1.8</v>
      </c>
      <c r="AK15" s="55">
        <v>5.4</v>
      </c>
      <c r="AL15" s="11">
        <v>13</v>
      </c>
      <c r="AM15" s="11">
        <v>6.7</v>
      </c>
      <c r="AN15" s="11" t="s">
        <v>135</v>
      </c>
    </row>
    <row r="16" spans="1:41" ht="13.5" thickBot="1" x14ac:dyDescent="0.25">
      <c r="A16" s="139" t="s">
        <v>44</v>
      </c>
      <c r="B16" s="139"/>
      <c r="C16" s="103" t="str">
        <f>Secanim!C16</f>
        <v>Medium/Clay</v>
      </c>
      <c r="D16" s="103" t="str">
        <f>Secanim!D16</f>
        <v>Medium/Clay</v>
      </c>
      <c r="E16" s="103" t="str">
        <f>Secanim!E16</f>
        <v>Medium/Clay</v>
      </c>
      <c r="F16" s="103" t="str">
        <f>Secanim!F16</f>
        <v>Medium/Clay</v>
      </c>
      <c r="G16" s="103" t="str">
        <f>Secanim!G16</f>
        <v>Medium/Clay</v>
      </c>
      <c r="H16" s="103" t="str">
        <f>Secanim!H16</f>
        <v>Medium/Clay</v>
      </c>
      <c r="I16" s="103" t="str">
        <f>Secanim!I16</f>
        <v>Medium/Clay</v>
      </c>
      <c r="J16" s="103" t="str">
        <f>Secanim!J16</f>
        <v>Medium/Clay</v>
      </c>
      <c r="K16" s="103" t="str">
        <f>Secanim!K16</f>
        <v>Medium/Clay</v>
      </c>
      <c r="L16" s="103" t="str">
        <f>Secanim!L16</f>
        <v>Medium/Clay</v>
      </c>
      <c r="M16" s="103" t="str">
        <f>Secanim!M16</f>
        <v>Medium/Clay</v>
      </c>
      <c r="N16" s="103" t="str">
        <f>Secanim!N16</f>
        <v>Medium/Clay</v>
      </c>
      <c r="O16" s="103" t="str">
        <f>Secanim!O16</f>
        <v>Medium/Clay</v>
      </c>
      <c r="P16" s="103" t="str">
        <f>Secanim!P16</f>
        <v>Medium/Clay</v>
      </c>
      <c r="Q16" s="103" t="str">
        <f>Secanim!Q16</f>
        <v>Medium/Clay</v>
      </c>
      <c r="R16" s="103" t="str">
        <f>Secanim!R16</f>
        <v>Medium/Clay</v>
      </c>
      <c r="S16" s="103" t="str">
        <f>Secanim!S16</f>
        <v>Medium/Clay</v>
      </c>
      <c r="T16" s="103" t="str">
        <f>Secanim!T16</f>
        <v>Medium/Clay</v>
      </c>
      <c r="U16" s="103" t="str">
        <f>Secanim!U16</f>
        <v>Medium/Clay</v>
      </c>
      <c r="V16" s="103" t="str">
        <f>Secanim!V16</f>
        <v>Medium/Clay</v>
      </c>
      <c r="AD16" s="52" t="s">
        <v>145</v>
      </c>
      <c r="AE16" s="30">
        <v>8</v>
      </c>
      <c r="AI16" s="53" t="s">
        <v>118</v>
      </c>
      <c r="AJ16" s="54">
        <v>8</v>
      </c>
      <c r="AK16" s="55">
        <v>5.5</v>
      </c>
      <c r="AL16" s="12">
        <v>14</v>
      </c>
      <c r="AM16" s="11">
        <v>6.7</v>
      </c>
      <c r="AN16" s="11" t="s">
        <v>135</v>
      </c>
    </row>
    <row r="17" spans="1:40" x14ac:dyDescent="0.2">
      <c r="A17" s="135" t="s">
        <v>69</v>
      </c>
      <c r="B17" s="136"/>
      <c r="C17" s="28">
        <f>(VLOOKUP(C$14,$AI2:$AK26,2,FALSE))*C$15</f>
        <v>64.599999999999994</v>
      </c>
      <c r="D17" s="28">
        <f t="shared" ref="D17:V17" si="0">(VLOOKUP(D$14,$AI2:$AK26,2,FALSE))*D$15</f>
        <v>64.599999999999994</v>
      </c>
      <c r="E17" s="28">
        <f t="shared" si="0"/>
        <v>64.599999999999994</v>
      </c>
      <c r="F17" s="28">
        <f t="shared" si="0"/>
        <v>64.599999999999994</v>
      </c>
      <c r="G17" s="28">
        <f t="shared" si="0"/>
        <v>56</v>
      </c>
      <c r="H17" s="28">
        <f t="shared" si="0"/>
        <v>64.599999999999994</v>
      </c>
      <c r="I17" s="28">
        <f t="shared" si="0"/>
        <v>56</v>
      </c>
      <c r="J17" s="28">
        <f t="shared" si="0"/>
        <v>56</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x14ac:dyDescent="0.2">
      <c r="A18" s="133" t="s">
        <v>23</v>
      </c>
      <c r="B18" s="13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3" t="s">
        <v>90</v>
      </c>
      <c r="B19" s="134"/>
      <c r="C19" s="16">
        <f>C18-C17</f>
        <v>-64.599999999999994</v>
      </c>
      <c r="D19" s="16">
        <f t="shared" ref="D19:V19" si="1">D18-D17</f>
        <v>-64.599999999999994</v>
      </c>
      <c r="E19" s="16">
        <f t="shared" si="1"/>
        <v>-64.599999999999994</v>
      </c>
      <c r="F19" s="16">
        <f t="shared" si="1"/>
        <v>-64.599999999999994</v>
      </c>
      <c r="G19" s="16">
        <f t="shared" si="1"/>
        <v>-56</v>
      </c>
      <c r="H19" s="16">
        <f t="shared" si="1"/>
        <v>-64.599999999999994</v>
      </c>
      <c r="I19" s="16">
        <f t="shared" si="1"/>
        <v>-56</v>
      </c>
      <c r="J19" s="16">
        <f t="shared" si="1"/>
        <v>-56</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25">
      <c r="A20" s="131" t="s">
        <v>91</v>
      </c>
      <c r="B20" s="132"/>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5" t="s">
        <v>88</v>
      </c>
      <c r="B21" s="136"/>
      <c r="C21" s="28">
        <f>(VLOOKUP(C$14,$AI2:$AK26,3,FALSE))*C$15</f>
        <v>228</v>
      </c>
      <c r="D21" s="28">
        <f t="shared" ref="D21:V21" si="2">(VLOOKUP(D$14,$AI2:$AK26,3,FALSE))*D$15</f>
        <v>228</v>
      </c>
      <c r="E21" s="28">
        <f t="shared" si="2"/>
        <v>228</v>
      </c>
      <c r="F21" s="28">
        <f t="shared" si="2"/>
        <v>228</v>
      </c>
      <c r="G21" s="28">
        <f t="shared" si="2"/>
        <v>176</v>
      </c>
      <c r="H21" s="28">
        <f t="shared" si="2"/>
        <v>228</v>
      </c>
      <c r="I21" s="28">
        <f t="shared" si="2"/>
        <v>176</v>
      </c>
      <c r="J21" s="28">
        <f t="shared" si="2"/>
        <v>176</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x14ac:dyDescent="0.2">
      <c r="A22" s="133" t="s">
        <v>89</v>
      </c>
      <c r="B22" s="13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3" t="s">
        <v>92</v>
      </c>
      <c r="B23" s="134"/>
      <c r="C23" s="16">
        <f>C22-C21</f>
        <v>-228</v>
      </c>
      <c r="D23" s="16">
        <f t="shared" ref="D23:V23" si="3">D22-D21</f>
        <v>-228</v>
      </c>
      <c r="E23" s="16">
        <f t="shared" si="3"/>
        <v>-228</v>
      </c>
      <c r="F23" s="16">
        <f t="shared" si="3"/>
        <v>-228</v>
      </c>
      <c r="G23" s="16">
        <f t="shared" si="3"/>
        <v>-176</v>
      </c>
      <c r="H23" s="16">
        <f t="shared" si="3"/>
        <v>-228</v>
      </c>
      <c r="I23" s="16">
        <f t="shared" si="3"/>
        <v>-176</v>
      </c>
      <c r="J23" s="16">
        <f t="shared" si="3"/>
        <v>-176</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25">
      <c r="A24" s="131" t="s">
        <v>93</v>
      </c>
      <c r="B24" s="132"/>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2991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3799</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5694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5813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716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9596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2211</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1390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3398</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2881</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2565</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4279</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5490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5905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6418</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7605</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7887</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5974</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3581</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2946</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2991</v>
      </c>
      <c r="C57" s="8">
        <f t="shared" ref="C57:U57" si="13">D8</f>
        <v>3799</v>
      </c>
      <c r="D57" s="8">
        <f t="shared" si="13"/>
        <v>5694</v>
      </c>
      <c r="E57" s="8">
        <f t="shared" si="13"/>
        <v>5813</v>
      </c>
      <c r="F57" s="8">
        <f t="shared" si="13"/>
        <v>716</v>
      </c>
      <c r="G57" s="8">
        <f t="shared" si="13"/>
        <v>9596</v>
      </c>
      <c r="H57" s="8">
        <f t="shared" si="13"/>
        <v>2211</v>
      </c>
      <c r="I57" s="8">
        <f t="shared" si="13"/>
        <v>1390</v>
      </c>
      <c r="J57" s="8">
        <f t="shared" si="13"/>
        <v>3398</v>
      </c>
      <c r="K57" s="8">
        <f t="shared" si="13"/>
        <v>2881</v>
      </c>
      <c r="L57" s="8">
        <f t="shared" si="13"/>
        <v>2565</v>
      </c>
      <c r="M57" s="8">
        <f t="shared" si="13"/>
        <v>4279</v>
      </c>
      <c r="N57" s="8">
        <f t="shared" si="13"/>
        <v>5490</v>
      </c>
      <c r="O57" s="8">
        <f t="shared" si="13"/>
        <v>5905</v>
      </c>
      <c r="P57" s="8">
        <f t="shared" si="13"/>
        <v>6418</v>
      </c>
      <c r="Q57" s="8">
        <f t="shared" si="13"/>
        <v>7605</v>
      </c>
      <c r="R57" s="8">
        <f t="shared" si="13"/>
        <v>7887</v>
      </c>
      <c r="S57" s="8">
        <f t="shared" si="13"/>
        <v>5974</v>
      </c>
      <c r="T57" s="8">
        <f t="shared" si="13"/>
        <v>3581</v>
      </c>
      <c r="U57" s="8">
        <f t="shared" si="13"/>
        <v>2946</v>
      </c>
    </row>
    <row r="58" spans="1:35" s="19" customFormat="1" x14ac:dyDescent="0.2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Grass</v>
      </c>
      <c r="H58" s="13" t="str">
        <f>I16&amp;" I "&amp;(VLOOKUP(I14,Table2456[],6,FALSE))</f>
        <v>Medium/Clay I Arable</v>
      </c>
      <c r="I58" s="13" t="str">
        <f>J16&amp;" I "&amp;(VLOOKUP(J14,Table2456[],6,FALSE))</f>
        <v>Medium/Clay I Arable</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str">
        <f>V16&amp;" I "&amp;(VLOOKUP(V14,Table2456[],6,FALSE))</f>
        <v>Medium/Clay I Grass</v>
      </c>
    </row>
    <row r="59" spans="1:35" s="19" customFormat="1" x14ac:dyDescent="0.2">
      <c r="A59" s="111" t="s">
        <v>132</v>
      </c>
      <c r="B59" s="76">
        <f>VLOOKUP(C$14,Table2456[],5,FALSE)</f>
        <v>6.2</v>
      </c>
      <c r="C59" s="76">
        <f>VLOOKUP(D$14,Table2456[],5,FALSE)</f>
        <v>6.2</v>
      </c>
      <c r="D59" s="76">
        <f>VLOOKUP(E$14,Table2456[],5,FALSE)</f>
        <v>6.2</v>
      </c>
      <c r="E59" s="76">
        <f>VLOOKUP(F$14,Table2456[],5,FALSE)</f>
        <v>6.2</v>
      </c>
      <c r="F59" s="76">
        <f>VLOOKUP(G$14,Table2456[],5,FALSE)</f>
        <v>6.7</v>
      </c>
      <c r="G59" s="76">
        <f>VLOOKUP(H$14,Table2456[],5,FALSE)</f>
        <v>6.2</v>
      </c>
      <c r="H59" s="76">
        <f>VLOOKUP(I$14,Table2456[],5,FALSE)</f>
        <v>6.7</v>
      </c>
      <c r="I59" s="76">
        <f>VLOOKUP(J$14,Table2456[],5,FALSE)</f>
        <v>6.7</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x14ac:dyDescent="0.2">
      <c r="A60" s="111" t="s">
        <v>4</v>
      </c>
      <c r="B60" s="76">
        <f>C10</f>
        <v>5.7</v>
      </c>
      <c r="C60" s="76">
        <f t="shared" ref="C60:U60" si="14">D10</f>
        <v>6.4</v>
      </c>
      <c r="D60" s="76">
        <f t="shared" si="14"/>
        <v>6.5</v>
      </c>
      <c r="E60" s="76">
        <f t="shared" si="14"/>
        <v>6.7</v>
      </c>
      <c r="F60" s="76">
        <f t="shared" si="14"/>
        <v>6.4</v>
      </c>
      <c r="G60" s="76">
        <f t="shared" si="14"/>
        <v>5.5</v>
      </c>
      <c r="H60" s="76">
        <f t="shared" si="14"/>
        <v>6</v>
      </c>
      <c r="I60" s="76">
        <f t="shared" si="14"/>
        <v>5.4</v>
      </c>
      <c r="J60" s="76">
        <f t="shared" si="14"/>
        <v>5.9</v>
      </c>
      <c r="K60" s="76">
        <f t="shared" si="14"/>
        <v>5.6</v>
      </c>
      <c r="L60" s="76">
        <f t="shared" si="14"/>
        <v>5.5</v>
      </c>
      <c r="M60" s="76">
        <f t="shared" si="14"/>
        <v>5.6</v>
      </c>
      <c r="N60" s="76">
        <f t="shared" si="14"/>
        <v>6.1</v>
      </c>
      <c r="O60" s="76">
        <f t="shared" si="14"/>
        <v>6.2</v>
      </c>
      <c r="P60" s="76">
        <f t="shared" si="14"/>
        <v>5.8</v>
      </c>
      <c r="Q60" s="76">
        <f t="shared" si="14"/>
        <v>6.3</v>
      </c>
      <c r="R60" s="76">
        <f t="shared" si="14"/>
        <v>6.1</v>
      </c>
      <c r="S60" s="76">
        <f t="shared" si="14"/>
        <v>6</v>
      </c>
      <c r="T60" s="76">
        <f t="shared" si="14"/>
        <v>6</v>
      </c>
      <c r="U60" s="76">
        <f t="shared" si="14"/>
        <v>5.5</v>
      </c>
    </row>
    <row r="61" spans="1:35" s="19" customFormat="1" x14ac:dyDescent="0.2">
      <c r="A61" s="111" t="s">
        <v>133</v>
      </c>
      <c r="B61" s="76">
        <f t="shared" ref="B61:U61" si="15">VLOOKUP(B58,$AD9:$AE18,2,FALSE)</f>
        <v>6</v>
      </c>
      <c r="C61" s="76">
        <f t="shared" si="15"/>
        <v>6</v>
      </c>
      <c r="D61" s="76">
        <f t="shared" si="15"/>
        <v>6</v>
      </c>
      <c r="E61" s="76">
        <f t="shared" si="15"/>
        <v>6</v>
      </c>
      <c r="F61" s="76">
        <f t="shared" si="15"/>
        <v>8</v>
      </c>
      <c r="G61" s="76">
        <f t="shared" si="15"/>
        <v>6</v>
      </c>
      <c r="H61" s="76">
        <f t="shared" si="15"/>
        <v>8</v>
      </c>
      <c r="I61" s="76">
        <f t="shared" si="15"/>
        <v>8</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3</v>
      </c>
      <c r="C64" s="77">
        <f t="shared" ref="C64:U64" si="17">(C59-C60)*C61</f>
        <v>-1.2000000000000011</v>
      </c>
      <c r="D64" s="77">
        <f t="shared" si="17"/>
        <v>-1.7999999999999989</v>
      </c>
      <c r="E64" s="77">
        <f t="shared" si="17"/>
        <v>-3</v>
      </c>
      <c r="F64" s="77">
        <f t="shared" si="17"/>
        <v>2.3999999999999986</v>
      </c>
      <c r="G64" s="77">
        <f t="shared" si="17"/>
        <v>4.2000000000000011</v>
      </c>
      <c r="H64" s="77">
        <f t="shared" si="17"/>
        <v>5.6000000000000014</v>
      </c>
      <c r="I64" s="77">
        <f t="shared" si="17"/>
        <v>10.399999999999999</v>
      </c>
      <c r="J64" s="77">
        <f t="shared" si="17"/>
        <v>1.7999999999999989</v>
      </c>
      <c r="K64" s="77">
        <f t="shared" si="17"/>
        <v>3.6000000000000032</v>
      </c>
      <c r="L64" s="77">
        <f t="shared" si="17"/>
        <v>4.2000000000000011</v>
      </c>
      <c r="M64" s="77">
        <f t="shared" si="17"/>
        <v>3.6000000000000032</v>
      </c>
      <c r="N64" s="77">
        <f t="shared" si="17"/>
        <v>0.6000000000000032</v>
      </c>
      <c r="O64" s="77">
        <f t="shared" si="17"/>
        <v>0</v>
      </c>
      <c r="P64" s="77">
        <f t="shared" si="17"/>
        <v>2.4000000000000021</v>
      </c>
      <c r="Q64" s="77">
        <f t="shared" si="17"/>
        <v>-0.59999999999999787</v>
      </c>
      <c r="R64" s="77">
        <f t="shared" si="17"/>
        <v>0.6000000000000032</v>
      </c>
      <c r="S64" s="77">
        <f t="shared" si="17"/>
        <v>1.2000000000000011</v>
      </c>
      <c r="T64" s="77">
        <f t="shared" si="17"/>
        <v>1.2000000000000011</v>
      </c>
      <c r="U64" s="77">
        <f t="shared" si="17"/>
        <v>4.2000000000000011</v>
      </c>
    </row>
    <row r="65" spans="1:21" s="19" customFormat="1" ht="51" x14ac:dyDescent="0.2">
      <c r="A65" s="112" t="s">
        <v>157</v>
      </c>
      <c r="B65" s="77">
        <f>B63-B64</f>
        <v>-3</v>
      </c>
      <c r="C65" s="77">
        <f t="shared" ref="C65:U65" si="18">C63-C64</f>
        <v>1.2000000000000011</v>
      </c>
      <c r="D65" s="77">
        <f t="shared" si="18"/>
        <v>1.7999999999999989</v>
      </c>
      <c r="E65" s="77">
        <f t="shared" si="18"/>
        <v>3</v>
      </c>
      <c r="F65" s="77">
        <f t="shared" si="18"/>
        <v>-2.3999999999999986</v>
      </c>
      <c r="G65" s="77">
        <f t="shared" si="18"/>
        <v>-4.2000000000000011</v>
      </c>
      <c r="H65" s="77">
        <f t="shared" si="18"/>
        <v>-5.6000000000000014</v>
      </c>
      <c r="I65" s="77">
        <f t="shared" si="18"/>
        <v>-10.399999999999999</v>
      </c>
      <c r="J65" s="77">
        <f t="shared" si="18"/>
        <v>-1.7999999999999989</v>
      </c>
      <c r="K65" s="77">
        <f t="shared" si="18"/>
        <v>-3.6000000000000032</v>
      </c>
      <c r="L65" s="77">
        <f t="shared" si="18"/>
        <v>-4.2000000000000011</v>
      </c>
      <c r="M65" s="77">
        <f t="shared" si="18"/>
        <v>-3.6000000000000032</v>
      </c>
      <c r="N65" s="77">
        <f t="shared" si="18"/>
        <v>-0.6000000000000032</v>
      </c>
      <c r="O65" s="77">
        <f t="shared" si="18"/>
        <v>0</v>
      </c>
      <c r="P65" s="77">
        <f t="shared" si="18"/>
        <v>-2.4000000000000021</v>
      </c>
      <c r="Q65" s="77">
        <f t="shared" si="18"/>
        <v>0.59999999999999787</v>
      </c>
      <c r="R65" s="77">
        <f t="shared" si="18"/>
        <v>-0.6000000000000032</v>
      </c>
      <c r="S65" s="77">
        <f t="shared" si="18"/>
        <v>-1.2000000000000011</v>
      </c>
      <c r="T65" s="77">
        <f t="shared" si="18"/>
        <v>-1.2000000000000011</v>
      </c>
      <c r="U65" s="77">
        <f t="shared" si="18"/>
        <v>-4.2000000000000011</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C19" sqref="C19"/>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6"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6"/>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32</v>
      </c>
      <c r="C3" s="33">
        <f>Secanim!C31</f>
        <v>96</v>
      </c>
      <c r="D3" s="33">
        <f>Secanim!D31</f>
        <v>63.341567999999995</v>
      </c>
      <c r="E3" s="33">
        <f>Secanim!E31</f>
        <v>20.128320000000002</v>
      </c>
      <c r="F3" s="33">
        <f>Secanim!F31</f>
        <v>3.3372223999999999</v>
      </c>
      <c r="G3" s="33">
        <f>Secanim!G31</f>
        <v>7.4880000000000002E-2</v>
      </c>
      <c r="H3" s="33">
        <f>Secanim!H31</f>
        <v>1.7247999999999999</v>
      </c>
      <c r="I3" s="33">
        <f>Secanim!I31</f>
        <v>0.10272000000000001</v>
      </c>
      <c r="J3" s="33">
        <f>Secanim!J31</f>
        <v>1.5680000000000002E-3</v>
      </c>
      <c r="K3" s="33">
        <f>Secanim!K31</f>
        <v>1.6000000000000001E-3</v>
      </c>
      <c r="L3" s="33">
        <f>Secanim!L31</f>
        <v>2.4960000000000003E-2</v>
      </c>
      <c r="M3" s="33">
        <f>Secanim!M31</f>
        <v>2.9888000000000001E-2</v>
      </c>
      <c r="N3" s="33">
        <f>Secanim!N31</f>
        <v>0</v>
      </c>
      <c r="O3" s="33">
        <f>Secanim!O31</f>
        <v>0</v>
      </c>
      <c r="P3" s="33">
        <f>Secanim!P31</f>
        <v>48.864000000000004</v>
      </c>
      <c r="Q3" s="33">
        <f>Secanim!Q31</f>
        <v>0</v>
      </c>
      <c r="R3" s="33">
        <f>Secanim!R31</f>
        <v>0</v>
      </c>
      <c r="S3" s="33">
        <f>Secanim!S31</f>
        <v>0</v>
      </c>
      <c r="T3" s="33">
        <f>Secanim!T31</f>
        <v>0</v>
      </c>
      <c r="U3" s="33">
        <f>Secanim!U31</f>
        <v>0</v>
      </c>
    </row>
    <row r="4" spans="1:21" x14ac:dyDescent="0.2">
      <c r="A4" s="36">
        <v>2</v>
      </c>
      <c r="B4" s="33">
        <f>'Croda Goole'!B31</f>
        <v>125</v>
      </c>
      <c r="C4" s="33">
        <f>'Croda Goole'!C31</f>
        <v>87.500000000000014</v>
      </c>
      <c r="D4" s="33">
        <f>'Croda Goole'!D31</f>
        <v>59.852374999999995</v>
      </c>
      <c r="E4" s="33">
        <f>'Croda Goole'!E31</f>
        <v>10.167187500000001</v>
      </c>
      <c r="F4" s="33">
        <f>'Croda Goole'!F31</f>
        <v>5.2434250000000002</v>
      </c>
      <c r="G4" s="33">
        <f>'Croda Goole'!G31</f>
        <v>5.8749999999999997E-2</v>
      </c>
      <c r="H4" s="33">
        <f>'Croda Goole'!H31</f>
        <v>0.88624999999999998</v>
      </c>
      <c r="I4" s="33">
        <f>'Croda Goole'!I31</f>
        <v>6.25E-2</v>
      </c>
      <c r="J4" s="33">
        <f>'Croda Goole'!J31</f>
        <v>1.25E-3</v>
      </c>
      <c r="K4" s="33">
        <f>'Croda Goole'!K31</f>
        <v>6.2500000000000003E-3</v>
      </c>
      <c r="L4" s="33">
        <f>'Croda Goole'!L31</f>
        <v>2.8750000000000001E-2</v>
      </c>
      <c r="M4" s="33">
        <f>'Croda Goole'!M31</f>
        <v>0.25</v>
      </c>
      <c r="N4" s="33">
        <f>'Croda Goole'!N31</f>
        <v>0</v>
      </c>
      <c r="O4" s="33">
        <f>'Croda Goole'!O31</f>
        <v>0</v>
      </c>
      <c r="P4" s="33">
        <f>'Croda Goole'!P31</f>
        <v>352.375</v>
      </c>
      <c r="Q4" s="33">
        <f>'Croda Goole'!Q31</f>
        <v>398.43750000000006</v>
      </c>
      <c r="R4" s="33">
        <f>'Croda Goole'!R31</f>
        <v>0</v>
      </c>
      <c r="S4" s="33">
        <f>'Croda Goole'!S31</f>
        <v>0</v>
      </c>
      <c r="T4" s="33">
        <f>'Croda Goole'!T31</f>
        <v>0</v>
      </c>
      <c r="U4" s="33">
        <f>'Croda Goole'!U31</f>
        <v>0</v>
      </c>
    </row>
    <row r="5" spans="1:21" x14ac:dyDescent="0.2">
      <c r="A5" s="36">
        <v>3</v>
      </c>
      <c r="B5" s="33">
        <f>'Croda Widnes'!B31</f>
        <v>170</v>
      </c>
      <c r="C5" s="33">
        <f>'Croda Widnes'!C31</f>
        <v>187.00000000000003</v>
      </c>
      <c r="D5" s="33">
        <f>'Croda Widnes'!D31</f>
        <v>64.262550000000005</v>
      </c>
      <c r="E5" s="33">
        <f>'Croda Widnes'!E31</f>
        <v>19.112504999999999</v>
      </c>
      <c r="F5" s="33">
        <f>'Croda Widnes'!F31</f>
        <v>22.520614000000002</v>
      </c>
      <c r="G5" s="33">
        <f>'Croda Widnes'!G31</f>
        <v>0.11628000000000001</v>
      </c>
      <c r="H5" s="33">
        <f>'Croda Widnes'!H31</f>
        <v>0.64429999999999998</v>
      </c>
      <c r="I5" s="33">
        <f>'Croda Widnes'!I31</f>
        <v>8.5000000000000006E-2</v>
      </c>
      <c r="J5" s="33">
        <f>'Croda Widnes'!J31</f>
        <v>1.7000000000000001E-3</v>
      </c>
      <c r="K5" s="33">
        <f>'Croda Widnes'!K31</f>
        <v>8.5000000000000006E-3</v>
      </c>
      <c r="L5" s="33">
        <f>'Croda Widnes'!L31</f>
        <v>3.4000000000000002E-2</v>
      </c>
      <c r="M5" s="33">
        <f>'Croda Widnes'!M31</f>
        <v>3.8420000000000003E-2</v>
      </c>
      <c r="N5" s="33">
        <f>'Croda Widnes'!N31</f>
        <v>0</v>
      </c>
      <c r="O5" s="33">
        <f>'Croda Widnes'!O31</f>
        <v>0</v>
      </c>
      <c r="P5" s="33">
        <f>'Croda Widnes'!P31</f>
        <v>57.120000000000005</v>
      </c>
      <c r="Q5" s="33">
        <f>'Croda Widnes'!Q31</f>
        <v>82.875</v>
      </c>
      <c r="R5" s="33">
        <f>'Croda Widnes'!R31</f>
        <v>0</v>
      </c>
      <c r="S5" s="33">
        <f>'Croda Widnes'!S31</f>
        <v>0</v>
      </c>
      <c r="T5" s="33">
        <f>'Croda Widnes'!T31</f>
        <v>0</v>
      </c>
      <c r="U5" s="33">
        <f>'Croda Widnes'!U31</f>
        <v>0</v>
      </c>
    </row>
    <row r="6" spans="1:21" x14ac:dyDescent="0.2">
      <c r="A6" s="36">
        <v>4</v>
      </c>
      <c r="B6" s="33">
        <f>Maelor!B31</f>
        <v>39</v>
      </c>
      <c r="C6" s="33">
        <f>Maelor!C31</f>
        <v>132.60000000000002</v>
      </c>
      <c r="D6" s="33">
        <f>Maelor!D31</f>
        <v>63.705836999999995</v>
      </c>
      <c r="E6" s="33">
        <f>Maelor!E31</f>
        <v>8.0361450000000012</v>
      </c>
      <c r="F6" s="33">
        <f>Maelor!F31</f>
        <v>11.121864</v>
      </c>
      <c r="G6" s="33">
        <f>Maelor!G31</f>
        <v>0.12909000000000001</v>
      </c>
      <c r="H6" s="33">
        <f>Maelor!H31</f>
        <v>0.71760000000000002</v>
      </c>
      <c r="I6" s="33">
        <f>Maelor!I31</f>
        <v>1.95E-2</v>
      </c>
      <c r="J6" s="33">
        <f>Maelor!J31</f>
        <v>4.6799999999999999E-4</v>
      </c>
      <c r="K6" s="33">
        <f>Maelor!K31</f>
        <v>1.9500000000000001E-3</v>
      </c>
      <c r="L6" s="33">
        <f>Maelor!L31</f>
        <v>5.2260000000000001E-2</v>
      </c>
      <c r="M6" s="33">
        <f>Maelor!M31</f>
        <v>3.5217000000000005E-2</v>
      </c>
      <c r="N6" s="33">
        <f>Maelor!N31</f>
        <v>0</v>
      </c>
      <c r="O6" s="33">
        <f>Maelor!O31</f>
        <v>0</v>
      </c>
      <c r="P6" s="33">
        <f>Maelor!P31</f>
        <v>33.500999999999998</v>
      </c>
      <c r="Q6" s="33">
        <f>Maelor!Q31</f>
        <v>51.3825</v>
      </c>
      <c r="R6" s="33">
        <f>Maelor!R31</f>
        <v>0</v>
      </c>
      <c r="S6" s="33">
        <f>Maelor!S31</f>
        <v>0</v>
      </c>
      <c r="T6" s="33">
        <f>Maelor!T31</f>
        <v>0</v>
      </c>
      <c r="U6" s="33">
        <f>Maelor!U31</f>
        <v>0</v>
      </c>
    </row>
    <row r="7" spans="1:21" x14ac:dyDescent="0.2">
      <c r="A7" s="36">
        <v>5</v>
      </c>
      <c r="B7" s="33">
        <f>Encirc!B31</f>
        <v>19</v>
      </c>
      <c r="C7" s="33">
        <f>Encirc!C31</f>
        <v>116.07099999999998</v>
      </c>
      <c r="D7" s="33">
        <f>Encirc!D31</f>
        <v>61.550354231999989</v>
      </c>
      <c r="E7" s="33">
        <f>Encirc!E31</f>
        <v>14.057896320000001</v>
      </c>
      <c r="F7" s="33">
        <f>Encirc!F31</f>
        <v>6.5095732799999988</v>
      </c>
      <c r="G7" s="33">
        <f>Encirc!G31</f>
        <v>3.723619999999999E-2</v>
      </c>
      <c r="H7" s="33">
        <f>Encirc!H31</f>
        <v>0.27576599999999996</v>
      </c>
      <c r="I7" s="33">
        <f>Encirc!I31</f>
        <v>3.6301399999999996E-3</v>
      </c>
      <c r="J7" s="33">
        <f>Encirc!J31</f>
        <v>1.5579999999999999E-4</v>
      </c>
      <c r="K7" s="33">
        <f>Encirc!K31</f>
        <v>1.5579999999999999E-4</v>
      </c>
      <c r="L7" s="33">
        <f>Encirc!L31</f>
        <v>2.5395400000000002E-2</v>
      </c>
      <c r="M7" s="33">
        <f>Encirc!M31</f>
        <v>6.6059199999999985E-2</v>
      </c>
      <c r="N7" s="33">
        <f>Encirc!N31</f>
        <v>0</v>
      </c>
      <c r="O7" s="33">
        <f>Encirc!O31</f>
        <v>0</v>
      </c>
      <c r="P7" s="33">
        <f>Encirc!P31</f>
        <v>16.541285999999999</v>
      </c>
      <c r="Q7" s="33">
        <f>Encirc!Q31</f>
        <v>72.419734999999989</v>
      </c>
      <c r="R7" s="33">
        <f>Encirc!R31</f>
        <v>0</v>
      </c>
      <c r="S7" s="33">
        <f>Encirc!S31</f>
        <v>0</v>
      </c>
      <c r="T7" s="33">
        <f>Encirc!T31</f>
        <v>0</v>
      </c>
      <c r="U7" s="33">
        <f>Encirc!U31</f>
        <v>0</v>
      </c>
    </row>
    <row r="8" spans="1:21" x14ac:dyDescent="0.2">
      <c r="A8" s="36">
        <v>6</v>
      </c>
      <c r="B8" s="33">
        <f>'Penderyn Distillary'!B31</f>
        <v>140</v>
      </c>
      <c r="C8" s="33">
        <f>'Penderyn Distillary'!C31</f>
        <v>98.000000000000014</v>
      </c>
      <c r="D8" s="33">
        <f>'Penderyn Distillary'!D31</f>
        <v>63.506520000000002</v>
      </c>
      <c r="E8" s="33">
        <f>'Penderyn Distillary'!E31</f>
        <v>84.51870000000001</v>
      </c>
      <c r="F8" s="33">
        <f>'Penderyn Distillary'!F31</f>
        <v>16.201975999999998</v>
      </c>
      <c r="G8" s="33">
        <f>'Penderyn Distillary'!G31</f>
        <v>0.66080000000000005</v>
      </c>
      <c r="H8" s="33">
        <f>'Penderyn Distillary'!H31</f>
        <v>0.2828</v>
      </c>
      <c r="I8" s="33">
        <f>'Penderyn Distillary'!I31</f>
        <v>7.0000000000000007E-2</v>
      </c>
      <c r="J8" s="33">
        <f>'Penderyn Distillary'!J31</f>
        <v>1.4000000000000002E-3</v>
      </c>
      <c r="K8" s="33">
        <f>'Penderyn Distillary'!K31</f>
        <v>7.0000000000000001E-3</v>
      </c>
      <c r="L8" s="33">
        <f>'Penderyn Distillary'!L31</f>
        <v>2.8000000000000001E-2</v>
      </c>
      <c r="M8" s="33">
        <f>'Penderyn Distillary'!M31</f>
        <v>2.8000000000000001E-2</v>
      </c>
      <c r="N8" s="33">
        <f>'Penderyn Distillary'!N31</f>
        <v>0</v>
      </c>
      <c r="O8" s="33">
        <f>'Penderyn Distillary'!O31</f>
        <v>0</v>
      </c>
      <c r="P8" s="33">
        <f>'Penderyn Distillary'!P31</f>
        <v>3.6819999999999999</v>
      </c>
      <c r="Q8" s="33">
        <f>'Penderyn Distillary'!Q31</f>
        <v>31.605000000000004</v>
      </c>
      <c r="R8" s="33">
        <f>'Penderyn Distillary'!R31</f>
        <v>0</v>
      </c>
      <c r="S8" s="33">
        <f>'Penderyn Distillary'!S31</f>
        <v>0</v>
      </c>
      <c r="T8" s="33">
        <f>'Penderyn Distillary'!T31</f>
        <v>0</v>
      </c>
      <c r="U8" s="33">
        <f>'Penderyn Distillary'!U31</f>
        <v>0</v>
      </c>
    </row>
    <row r="9" spans="1:21" x14ac:dyDescent="0.2">
      <c r="A9" s="36">
        <v>7</v>
      </c>
      <c r="B9" s="33">
        <f>Kelloggs!B31</f>
        <v>53</v>
      </c>
      <c r="C9" s="33">
        <f>Kelloggs!C31</f>
        <v>169.60000000000002</v>
      </c>
      <c r="D9" s="33">
        <f>Kelloggs!D31</f>
        <v>64.23276700000001</v>
      </c>
      <c r="E9" s="33">
        <f>Kelloggs!E31</f>
        <v>16.093980000000002</v>
      </c>
      <c r="F9" s="33">
        <f>Kelloggs!F31</f>
        <v>5.6678729999999993</v>
      </c>
      <c r="G9" s="33">
        <f>Kelloggs!G31</f>
        <v>6.4129999999999993E-2</v>
      </c>
      <c r="H9" s="33">
        <f>Kelloggs!H31</f>
        <v>0.12349</v>
      </c>
      <c r="I9" s="33">
        <f>Kelloggs!I31</f>
        <v>2.6499999999999999E-2</v>
      </c>
      <c r="J9" s="33">
        <f>Kelloggs!J31</f>
        <v>5.3000000000000009E-4</v>
      </c>
      <c r="K9" s="33">
        <f>Kelloggs!K31</f>
        <v>2.65E-3</v>
      </c>
      <c r="L9" s="33">
        <f>Kelloggs!L31</f>
        <v>1.06E-2</v>
      </c>
      <c r="M9" s="33">
        <f>Kelloggs!M31</f>
        <v>2.4909999999999998E-2</v>
      </c>
      <c r="N9" s="33">
        <f>Kelloggs!N31</f>
        <v>0</v>
      </c>
      <c r="O9" s="33">
        <f>Kelloggs!O31</f>
        <v>0</v>
      </c>
      <c r="P9" s="33">
        <f>Kelloggs!P31</f>
        <v>3.2701000000000002</v>
      </c>
      <c r="Q9" s="33">
        <f>Kelloggs!Q31</f>
        <v>23.452500000000001</v>
      </c>
      <c r="R9" s="33">
        <f>Kelloggs!R31</f>
        <v>0</v>
      </c>
      <c r="S9" s="33">
        <f>Kelloggs!S31</f>
        <v>0</v>
      </c>
      <c r="T9" s="33">
        <f>Kelloggs!T31</f>
        <v>0</v>
      </c>
      <c r="U9" s="33">
        <f>Kelloggs!U31</f>
        <v>0</v>
      </c>
    </row>
    <row r="10" spans="1:21" x14ac:dyDescent="0.2">
      <c r="A10" s="36">
        <v>8</v>
      </c>
      <c r="B10" s="33">
        <f>Beechdean!B31</f>
        <v>250</v>
      </c>
      <c r="C10" s="33">
        <f>Beechdean!C31</f>
        <v>75</v>
      </c>
      <c r="D10" s="33">
        <f>Beechdean!D31</f>
        <v>38.259699999999995</v>
      </c>
      <c r="E10" s="33">
        <f>Beechdean!E31</f>
        <v>43.078750000000014</v>
      </c>
      <c r="F10" s="33">
        <f>Beechdean!F31</f>
        <v>6.2174999999999994</v>
      </c>
      <c r="G10" s="33">
        <f>Beechdean!G31</f>
        <v>0.05</v>
      </c>
      <c r="H10" s="33">
        <f>Beechdean!H31</f>
        <v>0.20924999999999999</v>
      </c>
      <c r="I10" s="33">
        <f>Beechdean!I31</f>
        <v>0.125</v>
      </c>
      <c r="J10" s="33">
        <f>Beechdean!J31</f>
        <v>2.5000000000000001E-3</v>
      </c>
      <c r="K10" s="33">
        <f>Beechdean!K31</f>
        <v>1.2500000000000001E-2</v>
      </c>
      <c r="L10" s="33">
        <f>Beechdean!L31</f>
        <v>0.05</v>
      </c>
      <c r="M10" s="33">
        <f>Beechdean!M31</f>
        <v>0.05</v>
      </c>
      <c r="N10" s="33">
        <f>Beechdean!N31</f>
        <v>0</v>
      </c>
      <c r="O10" s="33">
        <f>Beechdean!O31</f>
        <v>0</v>
      </c>
      <c r="P10" s="33">
        <f>Beechdean!P31</f>
        <v>100</v>
      </c>
      <c r="Q10" s="33">
        <f>Beechdean!Q31</f>
        <v>26.125</v>
      </c>
      <c r="R10" s="33">
        <f>Beechdean!R31</f>
        <v>0</v>
      </c>
      <c r="S10" s="33">
        <f>Beechdean!S31</f>
        <v>0</v>
      </c>
      <c r="T10" s="33">
        <f>Beechdean!T31</f>
        <v>0</v>
      </c>
      <c r="U10" s="33">
        <f>Beechdean!U31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828</v>
      </c>
      <c r="C13" s="81">
        <f t="shared" ref="C13:U13" si="0">SUM(C3:C12)</f>
        <v>961.77100000000007</v>
      </c>
      <c r="D13" s="81">
        <f t="shared" si="0"/>
        <v>478.71167123200007</v>
      </c>
      <c r="E13" s="81">
        <f t="shared" si="0"/>
        <v>215.19348382000004</v>
      </c>
      <c r="F13" s="81">
        <f t="shared" si="0"/>
        <v>76.820047680000002</v>
      </c>
      <c r="G13" s="81">
        <f t="shared" si="0"/>
        <v>1.1911662000000001</v>
      </c>
      <c r="H13" s="81">
        <f t="shared" si="0"/>
        <v>4.8642560000000001</v>
      </c>
      <c r="I13" s="81">
        <f t="shared" si="0"/>
        <v>0.49485014000000005</v>
      </c>
      <c r="J13" s="81">
        <f t="shared" si="0"/>
        <v>9.5718000000000001E-3</v>
      </c>
      <c r="K13" s="81">
        <f t="shared" si="0"/>
        <v>4.0605800000000004E-2</v>
      </c>
      <c r="L13" s="81">
        <f t="shared" si="0"/>
        <v>0.25396540000000001</v>
      </c>
      <c r="M13" s="81">
        <f t="shared" si="0"/>
        <v>0.52249420000000002</v>
      </c>
      <c r="N13" s="81">
        <f t="shared" si="0"/>
        <v>0</v>
      </c>
      <c r="O13" s="81">
        <f t="shared" si="0"/>
        <v>0</v>
      </c>
      <c r="P13" s="81">
        <f t="shared" si="0"/>
        <v>615.353386</v>
      </c>
      <c r="Q13" s="81">
        <f t="shared" si="0"/>
        <v>686.297235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7"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7"/>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32</v>
      </c>
      <c r="D3" s="33">
        <f>Secanim!C31</f>
        <v>96</v>
      </c>
      <c r="E3" s="33">
        <f>Secanim!D31</f>
        <v>63.341567999999995</v>
      </c>
      <c r="F3" s="33">
        <f>Secanim!E31</f>
        <v>20.128320000000002</v>
      </c>
      <c r="G3" s="33">
        <f>Secanim!F31</f>
        <v>3.3372223999999999</v>
      </c>
      <c r="H3" s="33">
        <f>Secanim!G31</f>
        <v>7.4880000000000002E-2</v>
      </c>
      <c r="I3" s="33">
        <f>Secanim!H31</f>
        <v>1.7247999999999999</v>
      </c>
      <c r="J3" s="33">
        <f>Secanim!I31</f>
        <v>0.10272000000000001</v>
      </c>
      <c r="K3" s="33">
        <f>Secanim!J31</f>
        <v>1.5680000000000002E-3</v>
      </c>
      <c r="L3" s="33">
        <f>Secanim!K31</f>
        <v>1.6000000000000001E-3</v>
      </c>
      <c r="M3" s="33">
        <f>Secanim!L31</f>
        <v>2.4960000000000003E-2</v>
      </c>
      <c r="N3" s="33">
        <f>Secanim!M31</f>
        <v>2.9888000000000001E-2</v>
      </c>
      <c r="O3" s="33">
        <f>Secanim!N31</f>
        <v>0</v>
      </c>
      <c r="P3" s="33">
        <f>Secanim!O31</f>
        <v>0</v>
      </c>
      <c r="Q3" s="33">
        <f>Secanim!P31</f>
        <v>48.864000000000004</v>
      </c>
      <c r="R3" s="33">
        <f>Secanim!Q31</f>
        <v>0</v>
      </c>
      <c r="S3" s="33">
        <f>Secanim!R31</f>
        <v>0</v>
      </c>
      <c r="T3" s="33">
        <f>Secanim!S31</f>
        <v>0</v>
      </c>
      <c r="U3" s="33">
        <f>Secanim!T31</f>
        <v>0</v>
      </c>
      <c r="V3" s="33">
        <f>Secanim!U31</f>
        <v>0</v>
      </c>
    </row>
    <row r="4" spans="1:22" x14ac:dyDescent="0.2">
      <c r="A4" s="36">
        <v>2</v>
      </c>
      <c r="B4" s="91"/>
      <c r="C4" s="33">
        <f>'Croda Goole'!B31</f>
        <v>125</v>
      </c>
      <c r="D4" s="33">
        <f>'Croda Goole'!C31</f>
        <v>87.500000000000014</v>
      </c>
      <c r="E4" s="33">
        <f>'Croda Goole'!D31</f>
        <v>59.852374999999995</v>
      </c>
      <c r="F4" s="33">
        <f>'Croda Goole'!E31</f>
        <v>10.167187500000001</v>
      </c>
      <c r="G4" s="33">
        <f>'Croda Goole'!F31</f>
        <v>5.2434250000000002</v>
      </c>
      <c r="H4" s="33">
        <f>'Croda Goole'!G31</f>
        <v>5.8749999999999997E-2</v>
      </c>
      <c r="I4" s="33">
        <f>'Croda Goole'!H31</f>
        <v>0.88624999999999998</v>
      </c>
      <c r="J4" s="33">
        <f>'Croda Goole'!I31</f>
        <v>6.25E-2</v>
      </c>
      <c r="K4" s="33">
        <f>'Croda Goole'!J31</f>
        <v>1.25E-3</v>
      </c>
      <c r="L4" s="33">
        <f>'Croda Goole'!K31</f>
        <v>6.2500000000000003E-3</v>
      </c>
      <c r="M4" s="33">
        <f>'Croda Goole'!L31</f>
        <v>2.8750000000000001E-2</v>
      </c>
      <c r="N4" s="33">
        <f>'Croda Goole'!M31</f>
        <v>0.25</v>
      </c>
      <c r="O4" s="33">
        <f>'Croda Goole'!N31</f>
        <v>0</v>
      </c>
      <c r="P4" s="33">
        <f>'Croda Goole'!O31</f>
        <v>0</v>
      </c>
      <c r="Q4" s="33">
        <f>'Croda Goole'!P31</f>
        <v>352.375</v>
      </c>
      <c r="R4" s="33">
        <f>'Croda Goole'!Q31</f>
        <v>398.43750000000006</v>
      </c>
      <c r="S4" s="33">
        <f>'Croda Goole'!R31</f>
        <v>0</v>
      </c>
      <c r="T4" s="33">
        <f>'Croda Goole'!S31</f>
        <v>0</v>
      </c>
      <c r="U4" s="33">
        <f>'Croda Goole'!T31</f>
        <v>0</v>
      </c>
      <c r="V4" s="33">
        <f>'Croda Goole'!U31</f>
        <v>0</v>
      </c>
    </row>
    <row r="5" spans="1:22" x14ac:dyDescent="0.2">
      <c r="A5" s="36">
        <v>3</v>
      </c>
      <c r="B5" s="91"/>
      <c r="C5" s="33">
        <f>'Croda Widnes'!B31</f>
        <v>170</v>
      </c>
      <c r="D5" s="33">
        <f>'Croda Widnes'!C31</f>
        <v>187.00000000000003</v>
      </c>
      <c r="E5" s="33">
        <f>'Croda Widnes'!D31</f>
        <v>64.262550000000005</v>
      </c>
      <c r="F5" s="33">
        <f>'Croda Widnes'!E31</f>
        <v>19.112504999999999</v>
      </c>
      <c r="G5" s="33">
        <f>'Croda Widnes'!F31</f>
        <v>22.520614000000002</v>
      </c>
      <c r="H5" s="33">
        <f>'Croda Widnes'!G31</f>
        <v>0.11628000000000001</v>
      </c>
      <c r="I5" s="33">
        <f>'Croda Widnes'!H31</f>
        <v>0.64429999999999998</v>
      </c>
      <c r="J5" s="33">
        <f>'Croda Widnes'!I31</f>
        <v>8.5000000000000006E-2</v>
      </c>
      <c r="K5" s="33">
        <f>'Croda Widnes'!J31</f>
        <v>1.7000000000000001E-3</v>
      </c>
      <c r="L5" s="33">
        <f>'Croda Widnes'!K31</f>
        <v>8.5000000000000006E-3</v>
      </c>
      <c r="M5" s="33">
        <f>'Croda Widnes'!L31</f>
        <v>3.4000000000000002E-2</v>
      </c>
      <c r="N5" s="33">
        <f>'Croda Widnes'!M31</f>
        <v>3.8420000000000003E-2</v>
      </c>
      <c r="O5" s="33">
        <f>'Croda Widnes'!N31</f>
        <v>0</v>
      </c>
      <c r="P5" s="33">
        <f>'Croda Widnes'!O31</f>
        <v>0</v>
      </c>
      <c r="Q5" s="33">
        <f>'Croda Widnes'!P31</f>
        <v>57.120000000000005</v>
      </c>
      <c r="R5" s="33">
        <f>'Croda Widnes'!Q31</f>
        <v>82.875</v>
      </c>
      <c r="S5" s="33">
        <f>'Croda Widnes'!R31</f>
        <v>0</v>
      </c>
      <c r="T5" s="33">
        <f>'Croda Widnes'!S31</f>
        <v>0</v>
      </c>
      <c r="U5" s="33">
        <f>'Croda Widnes'!T31</f>
        <v>0</v>
      </c>
      <c r="V5" s="33">
        <f>'Croda Widnes'!U31</f>
        <v>0</v>
      </c>
    </row>
    <row r="6" spans="1:22" x14ac:dyDescent="0.2">
      <c r="A6" s="36">
        <v>4</v>
      </c>
      <c r="B6" s="91"/>
      <c r="C6" s="33">
        <f>Maelor!B31</f>
        <v>39</v>
      </c>
      <c r="D6" s="33">
        <f>Maelor!C31</f>
        <v>132.60000000000002</v>
      </c>
      <c r="E6" s="33">
        <f>Maelor!D31</f>
        <v>63.705836999999995</v>
      </c>
      <c r="F6" s="33">
        <f>Maelor!E31</f>
        <v>8.0361450000000012</v>
      </c>
      <c r="G6" s="33">
        <f>Maelor!F31</f>
        <v>11.121864</v>
      </c>
      <c r="H6" s="33">
        <f>Maelor!G31</f>
        <v>0.12909000000000001</v>
      </c>
      <c r="I6" s="33">
        <f>Maelor!H31</f>
        <v>0.71760000000000002</v>
      </c>
      <c r="J6" s="33">
        <f>Maelor!I31</f>
        <v>1.95E-2</v>
      </c>
      <c r="K6" s="33">
        <f>Maelor!J31</f>
        <v>4.6799999999999999E-4</v>
      </c>
      <c r="L6" s="33">
        <f>Maelor!K31</f>
        <v>1.9500000000000001E-3</v>
      </c>
      <c r="M6" s="33">
        <f>Maelor!L31</f>
        <v>5.2260000000000001E-2</v>
      </c>
      <c r="N6" s="33">
        <f>Maelor!M31</f>
        <v>3.5217000000000005E-2</v>
      </c>
      <c r="O6" s="33">
        <f>Maelor!N31</f>
        <v>0</v>
      </c>
      <c r="P6" s="33">
        <f>Maelor!O31</f>
        <v>0</v>
      </c>
      <c r="Q6" s="33">
        <f>Maelor!P31</f>
        <v>33.500999999999998</v>
      </c>
      <c r="R6" s="33">
        <f>Maelor!Q31</f>
        <v>51.3825</v>
      </c>
      <c r="S6" s="33">
        <f>Maelor!R31</f>
        <v>0</v>
      </c>
      <c r="T6" s="33">
        <f>Maelor!S31</f>
        <v>0</v>
      </c>
      <c r="U6" s="33">
        <f>Maelor!T31</f>
        <v>0</v>
      </c>
      <c r="V6" s="33">
        <f>Maelor!U31</f>
        <v>0</v>
      </c>
    </row>
    <row r="7" spans="1:22" x14ac:dyDescent="0.2">
      <c r="A7" s="36">
        <v>5</v>
      </c>
      <c r="B7" s="91"/>
      <c r="C7" s="33">
        <f>Encirc!B31</f>
        <v>19</v>
      </c>
      <c r="D7" s="33">
        <f>Encirc!C31</f>
        <v>116.07099999999998</v>
      </c>
      <c r="E7" s="33">
        <f>Encirc!D31</f>
        <v>61.550354231999989</v>
      </c>
      <c r="F7" s="33">
        <f>Encirc!E31</f>
        <v>14.057896320000001</v>
      </c>
      <c r="G7" s="33">
        <f>Encirc!F31</f>
        <v>6.5095732799999988</v>
      </c>
      <c r="H7" s="33">
        <f>Encirc!G31</f>
        <v>3.723619999999999E-2</v>
      </c>
      <c r="I7" s="33">
        <f>Encirc!H31</f>
        <v>0.27576599999999996</v>
      </c>
      <c r="J7" s="33">
        <f>Encirc!I31</f>
        <v>3.6301399999999996E-3</v>
      </c>
      <c r="K7" s="33">
        <f>Encirc!J31</f>
        <v>1.5579999999999999E-4</v>
      </c>
      <c r="L7" s="33">
        <f>Encirc!K31</f>
        <v>1.5579999999999999E-4</v>
      </c>
      <c r="M7" s="33">
        <f>Encirc!L31</f>
        <v>2.5395400000000002E-2</v>
      </c>
      <c r="N7" s="33">
        <f>Encirc!M31</f>
        <v>6.6059199999999985E-2</v>
      </c>
      <c r="O7" s="33">
        <f>Encirc!N31</f>
        <v>0</v>
      </c>
      <c r="P7" s="33">
        <f>Encirc!O31</f>
        <v>0</v>
      </c>
      <c r="Q7" s="33">
        <f>Encirc!P31</f>
        <v>16.541285999999999</v>
      </c>
      <c r="R7" s="33">
        <f>Encirc!Q31</f>
        <v>72.419734999999989</v>
      </c>
      <c r="S7" s="33">
        <f>Encirc!R31</f>
        <v>0</v>
      </c>
      <c r="T7" s="33">
        <f>Encirc!S31</f>
        <v>0</v>
      </c>
      <c r="U7" s="33">
        <f>Encirc!T31</f>
        <v>0</v>
      </c>
      <c r="V7" s="33">
        <f>Encirc!U31</f>
        <v>0</v>
      </c>
    </row>
    <row r="8" spans="1:22" x14ac:dyDescent="0.2">
      <c r="A8" s="36">
        <v>6</v>
      </c>
      <c r="B8" s="91"/>
      <c r="C8" s="33">
        <f>'Penderyn Distillary'!B31</f>
        <v>140</v>
      </c>
      <c r="D8" s="33">
        <f>'Penderyn Distillary'!C31</f>
        <v>98.000000000000014</v>
      </c>
      <c r="E8" s="33">
        <f>'Penderyn Distillary'!D31</f>
        <v>63.506520000000002</v>
      </c>
      <c r="F8" s="33">
        <f>'Penderyn Distillary'!E31</f>
        <v>84.51870000000001</v>
      </c>
      <c r="G8" s="33">
        <f>'Penderyn Distillary'!F31</f>
        <v>16.201975999999998</v>
      </c>
      <c r="H8" s="33">
        <f>'Penderyn Distillary'!G31</f>
        <v>0.66080000000000005</v>
      </c>
      <c r="I8" s="33">
        <f>'Penderyn Distillary'!H31</f>
        <v>0.2828</v>
      </c>
      <c r="J8" s="33">
        <f>'Penderyn Distillary'!I31</f>
        <v>7.0000000000000007E-2</v>
      </c>
      <c r="K8" s="33">
        <f>'Penderyn Distillary'!J31</f>
        <v>1.4000000000000002E-3</v>
      </c>
      <c r="L8" s="33">
        <f>'Penderyn Distillary'!K31</f>
        <v>7.0000000000000001E-3</v>
      </c>
      <c r="M8" s="33">
        <f>'Penderyn Distillary'!L31</f>
        <v>2.8000000000000001E-2</v>
      </c>
      <c r="N8" s="33">
        <f>'Penderyn Distillary'!M31</f>
        <v>2.8000000000000001E-2</v>
      </c>
      <c r="O8" s="33">
        <f>'Penderyn Distillary'!N31</f>
        <v>0</v>
      </c>
      <c r="P8" s="33">
        <f>'Penderyn Distillary'!O31</f>
        <v>0</v>
      </c>
      <c r="Q8" s="33">
        <f>'Penderyn Distillary'!P31</f>
        <v>3.6819999999999999</v>
      </c>
      <c r="R8" s="33">
        <f>'Penderyn Distillary'!Q31</f>
        <v>31.605000000000004</v>
      </c>
      <c r="S8" s="33">
        <f>'Penderyn Distillary'!R31</f>
        <v>0</v>
      </c>
      <c r="T8" s="33">
        <f>'Penderyn Distillary'!S31</f>
        <v>0</v>
      </c>
      <c r="U8" s="33">
        <f>'Penderyn Distillary'!T31</f>
        <v>0</v>
      </c>
      <c r="V8" s="33">
        <f>'Penderyn Distillary'!U31</f>
        <v>0</v>
      </c>
    </row>
    <row r="9" spans="1:22" x14ac:dyDescent="0.2">
      <c r="A9" s="36">
        <v>7</v>
      </c>
      <c r="B9" s="91"/>
      <c r="C9" s="33">
        <f>Kelloggs!B31</f>
        <v>53</v>
      </c>
      <c r="D9" s="33">
        <f>Kelloggs!C31</f>
        <v>169.60000000000002</v>
      </c>
      <c r="E9" s="33">
        <f>Kelloggs!D31</f>
        <v>64.23276700000001</v>
      </c>
      <c r="F9" s="33">
        <f>Kelloggs!E31</f>
        <v>16.093980000000002</v>
      </c>
      <c r="G9" s="33">
        <f>Kelloggs!F31</f>
        <v>5.6678729999999993</v>
      </c>
      <c r="H9" s="33">
        <f>Kelloggs!G31</f>
        <v>6.4129999999999993E-2</v>
      </c>
      <c r="I9" s="33">
        <f>Kelloggs!H31</f>
        <v>0.12349</v>
      </c>
      <c r="J9" s="33">
        <f>Kelloggs!I31</f>
        <v>2.6499999999999999E-2</v>
      </c>
      <c r="K9" s="33">
        <f>Kelloggs!J31</f>
        <v>5.3000000000000009E-4</v>
      </c>
      <c r="L9" s="33">
        <f>Kelloggs!K31</f>
        <v>2.65E-3</v>
      </c>
      <c r="M9" s="33">
        <f>Kelloggs!L31</f>
        <v>1.06E-2</v>
      </c>
      <c r="N9" s="33">
        <f>Kelloggs!M31</f>
        <v>2.4909999999999998E-2</v>
      </c>
      <c r="O9" s="33">
        <f>Kelloggs!N31</f>
        <v>0</v>
      </c>
      <c r="P9" s="33">
        <f>Kelloggs!O31</f>
        <v>0</v>
      </c>
      <c r="Q9" s="33">
        <f>Kelloggs!P31</f>
        <v>3.2701000000000002</v>
      </c>
      <c r="R9" s="33">
        <f>Kelloggs!Q31</f>
        <v>23.452500000000001</v>
      </c>
      <c r="S9" s="33">
        <f>Kelloggs!R31</f>
        <v>0</v>
      </c>
      <c r="T9" s="33">
        <f>Kelloggs!S31</f>
        <v>0</v>
      </c>
      <c r="U9" s="33">
        <f>Kelloggs!T31</f>
        <v>0</v>
      </c>
      <c r="V9" s="33">
        <f>Kelloggs!U31</f>
        <v>0</v>
      </c>
    </row>
    <row r="10" spans="1:22" x14ac:dyDescent="0.2">
      <c r="A10" s="36">
        <v>8</v>
      </c>
      <c r="B10" s="91"/>
      <c r="C10" s="33">
        <f>Beechdean!B31</f>
        <v>250</v>
      </c>
      <c r="D10" s="33">
        <f>Beechdean!C31</f>
        <v>75</v>
      </c>
      <c r="E10" s="33">
        <f>Beechdean!D31</f>
        <v>38.259699999999995</v>
      </c>
      <c r="F10" s="33">
        <f>Beechdean!E31</f>
        <v>43.078750000000014</v>
      </c>
      <c r="G10" s="33">
        <f>Beechdean!F31</f>
        <v>6.2174999999999994</v>
      </c>
      <c r="H10" s="33">
        <f>Beechdean!G31</f>
        <v>0.05</v>
      </c>
      <c r="I10" s="33">
        <f>Beechdean!H31</f>
        <v>0.20924999999999999</v>
      </c>
      <c r="J10" s="33">
        <f>Beechdean!I31</f>
        <v>0.125</v>
      </c>
      <c r="K10" s="33">
        <f>Beechdean!J31</f>
        <v>2.5000000000000001E-3</v>
      </c>
      <c r="L10" s="33">
        <f>Beechdean!K31</f>
        <v>1.2500000000000001E-2</v>
      </c>
      <c r="M10" s="33">
        <f>Beechdean!L31</f>
        <v>0.05</v>
      </c>
      <c r="N10" s="33">
        <f>Beechdean!M31</f>
        <v>0.05</v>
      </c>
      <c r="O10" s="33">
        <f>Beechdean!N31</f>
        <v>0</v>
      </c>
      <c r="P10" s="33">
        <f>Beechdean!O31</f>
        <v>0</v>
      </c>
      <c r="Q10" s="33">
        <f>Beechdean!P31</f>
        <v>100</v>
      </c>
      <c r="R10" s="33">
        <f>Beechdean!Q31</f>
        <v>26.125</v>
      </c>
      <c r="S10" s="33">
        <f>Beechdean!R31</f>
        <v>0</v>
      </c>
      <c r="T10" s="33">
        <f>Beechdean!S31</f>
        <v>0</v>
      </c>
      <c r="U10" s="33">
        <f>Beechdean!T31</f>
        <v>0</v>
      </c>
      <c r="V10" s="33">
        <f>Beechdean!U31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6" t="s">
        <v>84</v>
      </c>
      <c r="B15" s="35" t="s">
        <v>152</v>
      </c>
      <c r="C15" s="35">
        <f>Secanim!B43</f>
        <v>32</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6"/>
      <c r="B16" s="32" t="s">
        <v>46</v>
      </c>
      <c r="C16" s="35">
        <f>Secanim!B44</f>
        <v>32</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125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170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39</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19</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140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53</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8" t="s">
        <v>85</v>
      </c>
      <c r="B27" s="148"/>
      <c r="C27" s="148"/>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REGU-204-2748277</_dlc_DocId>
    <_dlc_DocIdUrl xmlns="9be56660-2c31-41ef-bc00-23e72f632f2a">
      <Url>https://cyfoethnaturiolcymru.sharepoint.com/teams/Regulatory/Permitting/_layouts/15/DocIdRedir.aspx?ID=REGU-204-2748277</Url>
      <Description>REGU-204-2748277</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2023-08-21T23:00:00+00:00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837ca842b30c535095deb999738cdd7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1d4feae109efff267e35211588c20c82"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ED18E819-2CF5-4EF7-8F21-9A5365A989DF}"/>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5.xml><?xml version="1.0" encoding="utf-8"?>
<ds:datastoreItem xmlns:ds="http://schemas.openxmlformats.org/officeDocument/2006/customXml" ds:itemID="{B4E3F797-0FC4-471C-9619-A153E8CFB0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Penderyn Distillary</vt:lpstr>
      <vt:lpstr>Kelloggs</vt:lpstr>
      <vt:lpstr>Beechdean</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2023-08-21T10:32:01Z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10cf80d5-8df2-4143-809f-db9ae76747f9</vt:lpwstr>
  </property>
  <property fmtid="{D5CDD505-2E9C-101B-9397-08002B2CF9AE}" pid="4" name="MediaServiceImageTags">
    <vt:lpwstr/>
  </property>
</Properties>
</file>