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Owen Clee/PAN-022455/"/>
    </mc:Choice>
  </mc:AlternateContent>
  <xr:revisionPtr revIDLastSave="0" documentId="13_ncr:1_{9E427926-6F39-4040-9158-9172F74D6DFB}" xr6:coauthVersionLast="47" xr6:coauthVersionMax="47" xr10:uidLastSave="{00000000-0000-0000-0000-000000000000}"/>
  <bookViews>
    <workbookView xWindow="-28920" yWindow="0" windowWidth="29040" windowHeight="15840" tabRatio="870" xr2:uid="{00000000-000D-0000-FFFF-FFFF00000000}"/>
  </bookViews>
  <sheets>
    <sheet name="DCWW Bryn Cowlyd" sheetId="1" r:id="rId1"/>
    <sheet name="DCWW Cefni" sheetId="27" r:id="rId2"/>
    <sheet name="DCWW cwellyn" sheetId="28" r:id="rId3"/>
    <sheet name="DCWW dolbenmaen" sheetId="30" r:id="rId4"/>
    <sheet name="DCWW garreglwyd" sheetId="26" r:id="rId5"/>
    <sheet name="DCWW llyn conwy" sheetId="24" r:id="rId6"/>
    <sheet name="DCWW myndd" sheetId="29" r:id="rId7"/>
    <sheet name="Additions" sheetId="20" r:id="rId8"/>
    <sheet name="Ratios" sheetId="19" r:id="rId9"/>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9" l="1"/>
  <c r="L3" i="24"/>
  <c r="L3" i="26"/>
  <c r="L3" i="30"/>
  <c r="L3" i="28"/>
  <c r="L3" i="27"/>
  <c r="L3" i="1"/>
  <c r="K65" i="27" l="1"/>
  <c r="L65" i="27"/>
  <c r="M65" i="27"/>
  <c r="N65" i="27"/>
  <c r="O65" i="27"/>
  <c r="P65" i="27"/>
  <c r="Q65" i="27"/>
  <c r="R65" i="27"/>
  <c r="S65" i="27"/>
  <c r="T65" i="27"/>
  <c r="U65" i="27"/>
  <c r="K65" i="28"/>
  <c r="L65" i="28"/>
  <c r="M65" i="28"/>
  <c r="N65" i="28"/>
  <c r="O65" i="28"/>
  <c r="P65" i="28"/>
  <c r="Q65" i="28"/>
  <c r="R65" i="28"/>
  <c r="S65" i="28"/>
  <c r="T65" i="28"/>
  <c r="U65" i="28"/>
  <c r="K65" i="30"/>
  <c r="L65" i="30"/>
  <c r="M65" i="30"/>
  <c r="N65" i="30"/>
  <c r="O65" i="30"/>
  <c r="P65" i="30"/>
  <c r="Q65" i="30"/>
  <c r="R65" i="30"/>
  <c r="S65" i="30"/>
  <c r="T65" i="30"/>
  <c r="U65" i="30"/>
  <c r="K65" i="26"/>
  <c r="L65" i="26"/>
  <c r="M65" i="26"/>
  <c r="N65" i="26"/>
  <c r="O65" i="26"/>
  <c r="P65" i="26"/>
  <c r="Q65" i="26"/>
  <c r="R65" i="26"/>
  <c r="S65" i="26"/>
  <c r="T65" i="26"/>
  <c r="U65" i="26"/>
  <c r="L65" i="24"/>
  <c r="M65" i="24"/>
  <c r="N65" i="24"/>
  <c r="O65" i="24"/>
  <c r="P65" i="24"/>
  <c r="Q65" i="24"/>
  <c r="R65" i="24"/>
  <c r="S65" i="24"/>
  <c r="T65" i="24"/>
  <c r="U65" i="24"/>
  <c r="K65" i="29"/>
  <c r="L65" i="29"/>
  <c r="M65" i="29"/>
  <c r="N65" i="29"/>
  <c r="O65" i="29"/>
  <c r="P65" i="29"/>
  <c r="Q65" i="29"/>
  <c r="R65" i="29"/>
  <c r="S65" i="29"/>
  <c r="T65" i="29"/>
  <c r="U65" i="29"/>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C26" i="19"/>
  <c r="C25" i="19"/>
  <c r="C10" i="19"/>
  <c r="C24" i="19" s="1"/>
  <c r="C9" i="19"/>
  <c r="C23" i="19" s="1"/>
  <c r="C8" i="19"/>
  <c r="C22" i="19" s="1"/>
  <c r="C7" i="19"/>
  <c r="C21" i="19" s="1"/>
  <c r="C6" i="19"/>
  <c r="C20" i="19" s="1"/>
  <c r="C5" i="19"/>
  <c r="C19" i="19" s="1"/>
  <c r="C4" i="19"/>
  <c r="C18" i="19" s="1"/>
  <c r="C3" i="19"/>
  <c r="C17" i="19" s="1"/>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2" i="30"/>
  <c r="S22" i="30"/>
  <c r="Q22" i="30"/>
  <c r="K22" i="30"/>
  <c r="I22" i="30"/>
  <c r="V20" i="30"/>
  <c r="U20" i="30"/>
  <c r="T20" i="30"/>
  <c r="S20" i="30"/>
  <c r="R20" i="30"/>
  <c r="Q20" i="30"/>
  <c r="P20" i="30"/>
  <c r="O20" i="30"/>
  <c r="N20" i="30"/>
  <c r="M20" i="30"/>
  <c r="L20" i="30"/>
  <c r="V18" i="30"/>
  <c r="T18" i="30"/>
  <c r="Q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V18" i="29" s="1"/>
  <c r="C50" i="29"/>
  <c r="U49" i="29"/>
  <c r="T49" i="29"/>
  <c r="S49" i="29"/>
  <c r="R49" i="29"/>
  <c r="Q49" i="29"/>
  <c r="P49" i="29"/>
  <c r="O49" i="29"/>
  <c r="N49" i="29"/>
  <c r="M49" i="29"/>
  <c r="L49" i="29"/>
  <c r="K49" i="29"/>
  <c r="J49" i="29"/>
  <c r="I49" i="29"/>
  <c r="H49" i="29"/>
  <c r="G49" i="29"/>
  <c r="F49" i="29"/>
  <c r="E49" i="29"/>
  <c r="U22" i="29" s="1"/>
  <c r="D49" i="29"/>
  <c r="U18" i="29" s="1"/>
  <c r="C49" i="29"/>
  <c r="U48" i="29"/>
  <c r="T48" i="29"/>
  <c r="S48" i="29"/>
  <c r="R48" i="29"/>
  <c r="Q48" i="29"/>
  <c r="P48" i="29"/>
  <c r="O48" i="29"/>
  <c r="N48" i="29"/>
  <c r="M48" i="29"/>
  <c r="L48" i="29"/>
  <c r="K48" i="29"/>
  <c r="J48" i="29"/>
  <c r="I48" i="29"/>
  <c r="H48" i="29"/>
  <c r="G48" i="29"/>
  <c r="F48" i="29"/>
  <c r="E48" i="29"/>
  <c r="D48" i="29"/>
  <c r="T18" i="29" s="1"/>
  <c r="C48" i="29"/>
  <c r="U47" i="29"/>
  <c r="T47" i="29"/>
  <c r="S47" i="29"/>
  <c r="R47" i="29"/>
  <c r="Q47" i="29"/>
  <c r="P47" i="29"/>
  <c r="O47" i="29"/>
  <c r="N47" i="29"/>
  <c r="M47" i="29"/>
  <c r="L47" i="29"/>
  <c r="K47" i="29"/>
  <c r="J47" i="29"/>
  <c r="I47" i="29"/>
  <c r="H47" i="29"/>
  <c r="G47" i="29"/>
  <c r="F47" i="29"/>
  <c r="E47" i="29"/>
  <c r="S22" i="29" s="1"/>
  <c r="D47" i="29"/>
  <c r="S18" i="29" s="1"/>
  <c r="C47" i="29"/>
  <c r="U46" i="29"/>
  <c r="T46" i="29"/>
  <c r="S46" i="29"/>
  <c r="R46" i="29"/>
  <c r="Q46" i="29"/>
  <c r="P46" i="29"/>
  <c r="O46" i="29"/>
  <c r="N46" i="29"/>
  <c r="M46" i="29"/>
  <c r="L46" i="29"/>
  <c r="K46" i="29"/>
  <c r="J46" i="29"/>
  <c r="I46" i="29"/>
  <c r="H46" i="29"/>
  <c r="G46" i="29"/>
  <c r="F46" i="29"/>
  <c r="E46" i="29"/>
  <c r="R22" i="29" s="1"/>
  <c r="D46" i="29"/>
  <c r="R18" i="29" s="1"/>
  <c r="C46" i="29"/>
  <c r="U45" i="29"/>
  <c r="T45" i="29"/>
  <c r="S45" i="29"/>
  <c r="R45" i="29"/>
  <c r="Q45" i="29"/>
  <c r="P45" i="29"/>
  <c r="O45" i="29"/>
  <c r="N45" i="29"/>
  <c r="M45" i="29"/>
  <c r="L45" i="29"/>
  <c r="K45" i="29"/>
  <c r="J45" i="29"/>
  <c r="I45" i="29"/>
  <c r="H45" i="29"/>
  <c r="G45" i="29"/>
  <c r="F45" i="29"/>
  <c r="E45" i="29"/>
  <c r="Q22" i="29" s="1"/>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N18" i="29" s="1"/>
  <c r="C42" i="29"/>
  <c r="U41" i="29"/>
  <c r="T41" i="29"/>
  <c r="S41" i="29"/>
  <c r="R41" i="29"/>
  <c r="Q41" i="29"/>
  <c r="P41" i="29"/>
  <c r="O41" i="29"/>
  <c r="N41" i="29"/>
  <c r="M41" i="29"/>
  <c r="L41" i="29"/>
  <c r="K41" i="29"/>
  <c r="J41" i="29"/>
  <c r="I41" i="29"/>
  <c r="H41" i="29"/>
  <c r="G41" i="29"/>
  <c r="F41" i="29"/>
  <c r="E41" i="29"/>
  <c r="M22" i="29" s="1"/>
  <c r="D41" i="29"/>
  <c r="M18" i="29" s="1"/>
  <c r="C41" i="29"/>
  <c r="U40" i="29"/>
  <c r="T40" i="29"/>
  <c r="S40" i="29"/>
  <c r="R40" i="29"/>
  <c r="Q40" i="29"/>
  <c r="P40" i="29"/>
  <c r="O40" i="29"/>
  <c r="N40" i="29"/>
  <c r="M40" i="29"/>
  <c r="L40" i="29"/>
  <c r="K40" i="29"/>
  <c r="J40" i="29"/>
  <c r="I40" i="29"/>
  <c r="H40" i="29"/>
  <c r="G40" i="29"/>
  <c r="F40" i="29"/>
  <c r="E40" i="29"/>
  <c r="L22" i="29" s="1"/>
  <c r="D40" i="29"/>
  <c r="L18" i="29" s="1"/>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J22" i="29" s="1"/>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T22" i="29"/>
  <c r="V20" i="29"/>
  <c r="U20" i="29"/>
  <c r="T20" i="29"/>
  <c r="S20" i="29"/>
  <c r="R20" i="29"/>
  <c r="Q20" i="29"/>
  <c r="P20" i="29"/>
  <c r="O20" i="29"/>
  <c r="N20" i="29"/>
  <c r="M20" i="29"/>
  <c r="L20" i="29"/>
  <c r="P18" i="29"/>
  <c r="H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U22" i="28"/>
  <c r="O22" i="28"/>
  <c r="M22" i="28"/>
  <c r="V20" i="28"/>
  <c r="U20" i="28"/>
  <c r="T20" i="28"/>
  <c r="S20" i="28"/>
  <c r="R20" i="28"/>
  <c r="Q20" i="28"/>
  <c r="P20" i="28"/>
  <c r="O20" i="28"/>
  <c r="N20" i="28"/>
  <c r="M20" i="28"/>
  <c r="L20" i="28"/>
  <c r="R18" i="28"/>
  <c r="P18" i="28"/>
  <c r="M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O22" i="27"/>
  <c r="V20" i="27"/>
  <c r="U20" i="27"/>
  <c r="T20" i="27"/>
  <c r="S20" i="27"/>
  <c r="R20" i="27"/>
  <c r="Q20" i="27"/>
  <c r="P20" i="27"/>
  <c r="O20" i="27"/>
  <c r="N20" i="27"/>
  <c r="M20" i="27"/>
  <c r="L20" i="27"/>
  <c r="U18" i="27"/>
  <c r="E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S18" i="26" s="1"/>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Q22" i="26" s="1"/>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O22" i="26"/>
  <c r="G22" i="26"/>
  <c r="V20" i="26"/>
  <c r="U20" i="26"/>
  <c r="T20" i="26"/>
  <c r="S20" i="26"/>
  <c r="R20" i="26"/>
  <c r="Q20" i="26"/>
  <c r="P20" i="26"/>
  <c r="O20" i="26"/>
  <c r="N20" i="26"/>
  <c r="M20" i="26"/>
  <c r="L20" i="26"/>
  <c r="T18" i="26"/>
  <c r="O18" i="26"/>
  <c r="L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U22" i="24" s="1"/>
  <c r="D49" i="24"/>
  <c r="U18" i="24" s="1"/>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P18" i="24" s="1"/>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M18" i="24" s="1"/>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E18" i="24" s="1"/>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Q22" i="24"/>
  <c r="V20" i="24"/>
  <c r="U20" i="24"/>
  <c r="T20" i="24"/>
  <c r="S20" i="24"/>
  <c r="R20" i="24"/>
  <c r="Q20" i="24"/>
  <c r="P20" i="24"/>
  <c r="O20" i="24"/>
  <c r="N20" i="24"/>
  <c r="M20"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T4" i="20"/>
  <c r="S4" i="20"/>
  <c r="P4" i="20"/>
  <c r="N4" i="20"/>
  <c r="L4" i="20"/>
  <c r="K4" i="20"/>
  <c r="H4" i="20"/>
  <c r="F4" i="20"/>
  <c r="C4" i="20"/>
  <c r="H10" i="19" l="1"/>
  <c r="H24" i="19" s="1"/>
  <c r="T6" i="19"/>
  <c r="T20" i="19" s="1"/>
  <c r="T63" i="26"/>
  <c r="U63" i="26"/>
  <c r="S9" i="19"/>
  <c r="S23" i="19" s="1"/>
  <c r="L6" i="19"/>
  <c r="L20" i="19" s="1"/>
  <c r="R26" i="19"/>
  <c r="K9" i="19"/>
  <c r="K23" i="19" s="1"/>
  <c r="D6" i="19"/>
  <c r="D20" i="19" s="1"/>
  <c r="J26" i="19"/>
  <c r="V8" i="19"/>
  <c r="V22" i="19" s="1"/>
  <c r="U25" i="19"/>
  <c r="N8" i="19"/>
  <c r="N22" i="19" s="1"/>
  <c r="M25" i="19"/>
  <c r="F8" i="19"/>
  <c r="F22" i="19" s="1"/>
  <c r="G17" i="27"/>
  <c r="G19" i="27" s="1"/>
  <c r="G20" i="27" s="1"/>
  <c r="O17" i="27"/>
  <c r="O19" i="27" s="1"/>
  <c r="E25" i="19"/>
  <c r="Q7" i="19"/>
  <c r="Q21" i="19" s="1"/>
  <c r="I7" i="20"/>
  <c r="P10" i="19"/>
  <c r="P24" i="19" s="1"/>
  <c r="I7" i="19"/>
  <c r="I21" i="19" s="1"/>
  <c r="E59" i="26"/>
  <c r="F17" i="26"/>
  <c r="F19" i="26" s="1"/>
  <c r="F20" i="26" s="1"/>
  <c r="F21" i="26"/>
  <c r="F23" i="26" s="1"/>
  <c r="F24" i="26" s="1"/>
  <c r="M59" i="26"/>
  <c r="N17" i="26"/>
  <c r="N21" i="26"/>
  <c r="U59" i="26"/>
  <c r="V21" i="26"/>
  <c r="V17" i="26"/>
  <c r="V19" i="26" s="1"/>
  <c r="C8" i="20"/>
  <c r="D8" i="19"/>
  <c r="D22" i="19" s="1"/>
  <c r="K8" i="20"/>
  <c r="L8" i="19"/>
  <c r="L22" i="19" s="1"/>
  <c r="S8" i="20"/>
  <c r="T8" i="19"/>
  <c r="T22" i="19" s="1"/>
  <c r="C59" i="29"/>
  <c r="D21" i="29"/>
  <c r="D17" i="29"/>
  <c r="D19" i="29" s="1"/>
  <c r="D20" i="29" s="1"/>
  <c r="K59" i="29"/>
  <c r="L21" i="29"/>
  <c r="L17" i="29"/>
  <c r="S59" i="29"/>
  <c r="T21" i="29"/>
  <c r="T17" i="29"/>
  <c r="O4" i="20"/>
  <c r="P4" i="19"/>
  <c r="P18" i="19" s="1"/>
  <c r="G6" i="20"/>
  <c r="H6" i="19"/>
  <c r="H20" i="19" s="1"/>
  <c r="O6" i="20"/>
  <c r="P6" i="19"/>
  <c r="P20" i="19" s="1"/>
  <c r="G4" i="20"/>
  <c r="H4" i="19"/>
  <c r="H18" i="19" s="1"/>
  <c r="G26" i="19"/>
  <c r="O26" i="19"/>
  <c r="U63" i="24"/>
  <c r="F63" i="24"/>
  <c r="N63" i="24"/>
  <c r="D59" i="28"/>
  <c r="E17" i="28"/>
  <c r="E21" i="28"/>
  <c r="E23" i="28" s="1"/>
  <c r="E24" i="28" s="1"/>
  <c r="L59" i="28"/>
  <c r="L64" i="28" s="1"/>
  <c r="M17" i="28"/>
  <c r="M21" i="28"/>
  <c r="T59" i="28"/>
  <c r="U17" i="28"/>
  <c r="U21" i="28"/>
  <c r="U23" i="28" s="1"/>
  <c r="U24" i="28" s="1"/>
  <c r="I4" i="20"/>
  <c r="J4" i="19"/>
  <c r="J18" i="19" s="1"/>
  <c r="P26" i="19"/>
  <c r="Q9" i="20"/>
  <c r="R9" i="19"/>
  <c r="R23" i="19" s="1"/>
  <c r="F5" i="20"/>
  <c r="G5" i="19"/>
  <c r="G19" i="19" s="1"/>
  <c r="N5" i="20"/>
  <c r="O5" i="19"/>
  <c r="O19" i="19" s="1"/>
  <c r="Q4" i="20"/>
  <c r="R4" i="19"/>
  <c r="R18" i="19" s="1"/>
  <c r="H26" i="19"/>
  <c r="J4" i="20"/>
  <c r="K4" i="19"/>
  <c r="K18" i="19" s="1"/>
  <c r="D59" i="27"/>
  <c r="E17" i="27"/>
  <c r="E19" i="27" s="1"/>
  <c r="E20" i="27" s="1"/>
  <c r="L59" i="27"/>
  <c r="M17" i="27"/>
  <c r="M19" i="27" s="1"/>
  <c r="T59" i="27"/>
  <c r="U17" i="27"/>
  <c r="I9" i="20"/>
  <c r="J9" i="19"/>
  <c r="J23" i="19" s="1"/>
  <c r="R4" i="20"/>
  <c r="S4" i="19"/>
  <c r="S18" i="19" s="1"/>
  <c r="S25" i="19"/>
  <c r="I59" i="24"/>
  <c r="J21" i="24"/>
  <c r="J17" i="24"/>
  <c r="J19" i="24" s="1"/>
  <c r="J20" i="24" s="1"/>
  <c r="Q59" i="24"/>
  <c r="R21" i="24"/>
  <c r="R17" i="24"/>
  <c r="L10" i="20"/>
  <c r="M10" i="19"/>
  <c r="M24" i="19" s="1"/>
  <c r="T10" i="20"/>
  <c r="U10" i="19"/>
  <c r="U24" i="19" s="1"/>
  <c r="K25" i="19"/>
  <c r="C18" i="29"/>
  <c r="E10" i="19"/>
  <c r="E24" i="19" s="1"/>
  <c r="F4" i="19"/>
  <c r="F18" i="19" s="1"/>
  <c r="M4" i="20"/>
  <c r="N4" i="19"/>
  <c r="N18" i="19" s="1"/>
  <c r="U4" i="20"/>
  <c r="V4" i="19"/>
  <c r="V18" i="19" s="1"/>
  <c r="H21" i="24"/>
  <c r="H17" i="24"/>
  <c r="H19" i="24" s="1"/>
  <c r="H20" i="24" s="1"/>
  <c r="P17" i="24"/>
  <c r="P21" i="24"/>
  <c r="C59" i="26"/>
  <c r="D21" i="26"/>
  <c r="D23" i="26" s="1"/>
  <c r="D24" i="26" s="1"/>
  <c r="D17" i="26"/>
  <c r="D19" i="26" s="1"/>
  <c r="D20" i="26" s="1"/>
  <c r="K59" i="26"/>
  <c r="L21" i="26"/>
  <c r="L17" i="26"/>
  <c r="S59" i="26"/>
  <c r="T21" i="26"/>
  <c r="T17" i="26"/>
  <c r="N63" i="26"/>
  <c r="J59" i="27"/>
  <c r="K17" i="27"/>
  <c r="K19" i="27" s="1"/>
  <c r="K20" i="27" s="1"/>
  <c r="R59" i="27"/>
  <c r="S17" i="27"/>
  <c r="S19" i="27" s="1"/>
  <c r="J59" i="28"/>
  <c r="K17" i="28"/>
  <c r="K21" i="28"/>
  <c r="R59" i="28"/>
  <c r="S17" i="28"/>
  <c r="S21" i="28"/>
  <c r="S23" i="28" s="1"/>
  <c r="S24" i="28" s="1"/>
  <c r="I59" i="29"/>
  <c r="J17" i="29"/>
  <c r="J19" i="29" s="1"/>
  <c r="J20" i="29" s="1"/>
  <c r="J21" i="29"/>
  <c r="Q59" i="29"/>
  <c r="R21" i="29"/>
  <c r="R23" i="29" s="1"/>
  <c r="R24" i="29" s="1"/>
  <c r="R17" i="29"/>
  <c r="H59" i="30"/>
  <c r="I17" i="30"/>
  <c r="I19" i="30" s="1"/>
  <c r="I20" i="30" s="1"/>
  <c r="I21" i="30"/>
  <c r="Q17" i="30"/>
  <c r="Q21" i="30"/>
  <c r="S10" i="20"/>
  <c r="T26" i="19"/>
  <c r="L26" i="19"/>
  <c r="D26" i="19"/>
  <c r="O25" i="19"/>
  <c r="G25" i="19"/>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I17" i="24"/>
  <c r="I19" i="24" s="1"/>
  <c r="I20" i="24" s="1"/>
  <c r="I21" i="24"/>
  <c r="Q17" i="24"/>
  <c r="Q19" i="24" s="1"/>
  <c r="Q21" i="24"/>
  <c r="Q23" i="24" s="1"/>
  <c r="Q24" i="24" s="1"/>
  <c r="D59" i="26"/>
  <c r="E21" i="26"/>
  <c r="E17" i="26"/>
  <c r="E19" i="26" s="1"/>
  <c r="E20" i="26" s="1"/>
  <c r="L59" i="26"/>
  <c r="M21" i="26"/>
  <c r="M17" i="26"/>
  <c r="T59" i="26"/>
  <c r="U21" i="26"/>
  <c r="U23" i="26" s="1"/>
  <c r="U24" i="26" s="1"/>
  <c r="U17" i="26"/>
  <c r="U19" i="26" s="1"/>
  <c r="C59" i="27"/>
  <c r="D17" i="27"/>
  <c r="D19" i="27" s="1"/>
  <c r="D20" i="27" s="1"/>
  <c r="K59" i="27"/>
  <c r="L17" i="27"/>
  <c r="S59" i="27"/>
  <c r="T17" i="27"/>
  <c r="T19" i="27" s="1"/>
  <c r="C59" i="28"/>
  <c r="D21" i="28"/>
  <c r="D23" i="28" s="1"/>
  <c r="D24" i="28" s="1"/>
  <c r="D17" i="28"/>
  <c r="D19" i="28" s="1"/>
  <c r="D20" i="28" s="1"/>
  <c r="K59" i="28"/>
  <c r="L21" i="28"/>
  <c r="L17" i="28"/>
  <c r="S59" i="28"/>
  <c r="T21" i="28"/>
  <c r="T17" i="28"/>
  <c r="T19" i="28" s="1"/>
  <c r="J59" i="29"/>
  <c r="K17" i="29"/>
  <c r="K21" i="29"/>
  <c r="R59" i="29"/>
  <c r="S21" i="29"/>
  <c r="S17" i="29"/>
  <c r="I59" i="30"/>
  <c r="J21" i="30"/>
  <c r="J23" i="30" s="1"/>
  <c r="J24" i="30" s="1"/>
  <c r="J17" i="30"/>
  <c r="J19" i="30" s="1"/>
  <c r="J20" i="30" s="1"/>
  <c r="Q59" i="30"/>
  <c r="R21" i="30"/>
  <c r="R23" i="30" s="1"/>
  <c r="R24" i="30" s="1"/>
  <c r="R17" i="30"/>
  <c r="Q7" i="20"/>
  <c r="S26" i="19"/>
  <c r="K26" i="19"/>
  <c r="V25" i="19"/>
  <c r="N25" i="19"/>
  <c r="F25" i="19"/>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J59" i="24"/>
  <c r="K21" i="24"/>
  <c r="K17" i="24"/>
  <c r="K19" i="24" s="1"/>
  <c r="K20" i="24" s="1"/>
  <c r="R59" i="24"/>
  <c r="S21" i="24"/>
  <c r="S23" i="24" s="1"/>
  <c r="S24" i="24" s="1"/>
  <c r="S17" i="24"/>
  <c r="G21" i="26"/>
  <c r="G23" i="26" s="1"/>
  <c r="G24" i="26" s="1"/>
  <c r="G17" i="26"/>
  <c r="O17" i="26"/>
  <c r="O21" i="26"/>
  <c r="E59" i="27"/>
  <c r="F17" i="27"/>
  <c r="F19" i="27" s="1"/>
  <c r="F20" i="27" s="1"/>
  <c r="M59" i="27"/>
  <c r="N17" i="27"/>
  <c r="U59" i="27"/>
  <c r="V17" i="27"/>
  <c r="E59" i="28"/>
  <c r="F17" i="28"/>
  <c r="F19" i="28" s="1"/>
  <c r="F20" i="28" s="1"/>
  <c r="F21" i="28"/>
  <c r="F23" i="28" s="1"/>
  <c r="F24" i="28" s="1"/>
  <c r="M59" i="28"/>
  <c r="N17" i="28"/>
  <c r="N19" i="28" s="1"/>
  <c r="N21" i="28"/>
  <c r="U59" i="28"/>
  <c r="V17" i="28"/>
  <c r="V21" i="28"/>
  <c r="D59" i="29"/>
  <c r="E17" i="29"/>
  <c r="E21" i="29"/>
  <c r="E23" i="29" s="1"/>
  <c r="E24" i="29" s="1"/>
  <c r="L59" i="29"/>
  <c r="M17" i="29"/>
  <c r="M21" i="29"/>
  <c r="T59" i="29"/>
  <c r="U17" i="29"/>
  <c r="U21" i="29"/>
  <c r="C59" i="30"/>
  <c r="D17" i="30"/>
  <c r="D19" i="30" s="1"/>
  <c r="D20" i="30" s="1"/>
  <c r="D21" i="30"/>
  <c r="D23" i="30" s="1"/>
  <c r="D24" i="30" s="1"/>
  <c r="K59" i="30"/>
  <c r="L17" i="30"/>
  <c r="L19" i="30" s="1"/>
  <c r="L21" i="30"/>
  <c r="S59" i="30"/>
  <c r="T17" i="30"/>
  <c r="T21" i="30"/>
  <c r="L5" i="20"/>
  <c r="Q26" i="19"/>
  <c r="I26" i="19"/>
  <c r="T25" i="19"/>
  <c r="L25" i="19"/>
  <c r="D25" i="19"/>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C59" i="24"/>
  <c r="D17" i="24"/>
  <c r="D19" i="24" s="1"/>
  <c r="D20" i="24" s="1"/>
  <c r="D21" i="24"/>
  <c r="D23" i="24" s="1"/>
  <c r="D24" i="24" s="1"/>
  <c r="K59" i="24"/>
  <c r="L21" i="24"/>
  <c r="L17" i="24"/>
  <c r="L19" i="24" s="1"/>
  <c r="L20" i="24" s="1"/>
  <c r="S59" i="24"/>
  <c r="T21" i="24"/>
  <c r="T17" i="24"/>
  <c r="T19" i="24" s="1"/>
  <c r="H21" i="26"/>
  <c r="H23" i="26" s="1"/>
  <c r="H24" i="26" s="1"/>
  <c r="H17" i="26"/>
  <c r="H19" i="26" s="1"/>
  <c r="H20" i="26" s="1"/>
  <c r="P21" i="26"/>
  <c r="P17" i="26"/>
  <c r="F59" i="28"/>
  <c r="G17" i="28"/>
  <c r="G19" i="28" s="1"/>
  <c r="G20" i="28" s="1"/>
  <c r="G21" i="28"/>
  <c r="G23" i="28" s="1"/>
  <c r="G24" i="28" s="1"/>
  <c r="N59" i="28"/>
  <c r="O17" i="28"/>
  <c r="O19" i="28" s="1"/>
  <c r="O21" i="28"/>
  <c r="E59" i="29"/>
  <c r="F17" i="29"/>
  <c r="F21" i="29"/>
  <c r="M59" i="29"/>
  <c r="N17" i="29"/>
  <c r="N21" i="29"/>
  <c r="U59" i="29"/>
  <c r="V17" i="29"/>
  <c r="V21" i="29"/>
  <c r="V23" i="29" s="1"/>
  <c r="V24" i="29" s="1"/>
  <c r="D59" i="30"/>
  <c r="E17" i="30"/>
  <c r="E19" i="30" s="1"/>
  <c r="E20" i="30" s="1"/>
  <c r="E21" i="30"/>
  <c r="L59" i="30"/>
  <c r="M17" i="30"/>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D59" i="24"/>
  <c r="E17" i="24"/>
  <c r="E21" i="24"/>
  <c r="E23" i="24" s="1"/>
  <c r="E24" i="24" s="1"/>
  <c r="L59" i="24"/>
  <c r="M17" i="24"/>
  <c r="M19" i="24" s="1"/>
  <c r="M21" i="24"/>
  <c r="M23" i="24" s="1"/>
  <c r="M24" i="24" s="1"/>
  <c r="T59" i="24"/>
  <c r="U21" i="24"/>
  <c r="U17" i="24"/>
  <c r="H59" i="26"/>
  <c r="I17" i="26"/>
  <c r="I19" i="26" s="1"/>
  <c r="I20" i="26" s="1"/>
  <c r="I21" i="26"/>
  <c r="I23" i="26" s="1"/>
  <c r="I24" i="26" s="1"/>
  <c r="P59" i="26"/>
  <c r="Q17" i="26"/>
  <c r="Q19" i="26" s="1"/>
  <c r="Q21" i="26"/>
  <c r="E63" i="26"/>
  <c r="H17" i="27"/>
  <c r="P17" i="27"/>
  <c r="P19" i="27" s="1"/>
  <c r="H21" i="28"/>
  <c r="H23" i="28" s="1"/>
  <c r="H24" i="28" s="1"/>
  <c r="H17" i="28"/>
  <c r="P21" i="28"/>
  <c r="P17" i="28"/>
  <c r="P19" i="28" s="1"/>
  <c r="G17" i="29"/>
  <c r="G19" i="29" s="1"/>
  <c r="G20" i="29" s="1"/>
  <c r="G21" i="29"/>
  <c r="G23" i="29" s="1"/>
  <c r="G24" i="29" s="1"/>
  <c r="O17" i="29"/>
  <c r="O21" i="29"/>
  <c r="E59" i="30"/>
  <c r="F21" i="30"/>
  <c r="F17" i="30"/>
  <c r="F19" i="30" s="1"/>
  <c r="F20" i="30" s="1"/>
  <c r="M59" i="30"/>
  <c r="N21" i="30"/>
  <c r="N17" i="30"/>
  <c r="U59" i="30"/>
  <c r="V21" i="30"/>
  <c r="V23" i="30" s="1"/>
  <c r="V24" i="30" s="1"/>
  <c r="V17" i="30"/>
  <c r="R25" i="19"/>
  <c r="J25" i="19"/>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E59" i="24"/>
  <c r="F21" i="24"/>
  <c r="F17" i="24"/>
  <c r="F19" i="24" s="1"/>
  <c r="F20" i="24" s="1"/>
  <c r="M59" i="24"/>
  <c r="N21" i="24"/>
  <c r="N23" i="24" s="1"/>
  <c r="N24" i="24" s="1"/>
  <c r="N17" i="24"/>
  <c r="N19" i="24" s="1"/>
  <c r="U59" i="24"/>
  <c r="V21" i="24"/>
  <c r="V17" i="24"/>
  <c r="V19" i="24" s="1"/>
  <c r="I58" i="26"/>
  <c r="I61" i="26" s="1"/>
  <c r="J17" i="26"/>
  <c r="J19" i="26" s="1"/>
  <c r="J20" i="26" s="1"/>
  <c r="J21" i="26"/>
  <c r="Q58" i="26"/>
  <c r="Q61" i="26" s="1"/>
  <c r="R21" i="26"/>
  <c r="R23" i="26" s="1"/>
  <c r="R24" i="26" s="1"/>
  <c r="R17" i="26"/>
  <c r="R19" i="26" s="1"/>
  <c r="F63" i="26"/>
  <c r="I17" i="27"/>
  <c r="I19" i="27" s="1"/>
  <c r="I20" i="27" s="1"/>
  <c r="Q17" i="27"/>
  <c r="I21" i="28"/>
  <c r="I23" i="28" s="1"/>
  <c r="I24" i="28" s="1"/>
  <c r="I17" i="28"/>
  <c r="Q21" i="28"/>
  <c r="Q23" i="28" s="1"/>
  <c r="Q24" i="28" s="1"/>
  <c r="Q17" i="28"/>
  <c r="Q19" i="28" s="1"/>
  <c r="H21" i="29"/>
  <c r="H23" i="29" s="1"/>
  <c r="H24" i="29" s="1"/>
  <c r="H17" i="29"/>
  <c r="H19" i="29" s="1"/>
  <c r="H20" i="29" s="1"/>
  <c r="P21" i="29"/>
  <c r="P23" i="29" s="1"/>
  <c r="P24" i="29" s="1"/>
  <c r="P17" i="29"/>
  <c r="G21" i="30"/>
  <c r="G23" i="30" s="1"/>
  <c r="G24" i="30" s="1"/>
  <c r="G17" i="30"/>
  <c r="O21" i="30"/>
  <c r="O17" i="30"/>
  <c r="O19" i="30" s="1"/>
  <c r="V26" i="19"/>
  <c r="N26" i="19"/>
  <c r="F26" i="19"/>
  <c r="Q25" i="19"/>
  <c r="I25" i="19"/>
  <c r="L10" i="19"/>
  <c r="L24" i="19" s="1"/>
  <c r="D10" i="19"/>
  <c r="D24" i="19" s="1"/>
  <c r="O9" i="19"/>
  <c r="O23" i="19" s="1"/>
  <c r="G9" i="19"/>
  <c r="G23" i="19" s="1"/>
  <c r="R8" i="19"/>
  <c r="R22" i="19" s="1"/>
  <c r="J8" i="19"/>
  <c r="J22" i="19" s="1"/>
  <c r="U7" i="19"/>
  <c r="U21" i="19" s="1"/>
  <c r="M7" i="19"/>
  <c r="M21" i="19" s="1"/>
  <c r="E7" i="19"/>
  <c r="E21" i="19" s="1"/>
  <c r="S5" i="19"/>
  <c r="S19" i="19" s="1"/>
  <c r="K5" i="19"/>
  <c r="K19" i="19" s="1"/>
  <c r="G17" i="24"/>
  <c r="G19" i="24" s="1"/>
  <c r="G20" i="24" s="1"/>
  <c r="G21" i="24"/>
  <c r="G23" i="24" s="1"/>
  <c r="G24" i="24" s="1"/>
  <c r="O17" i="24"/>
  <c r="O21" i="24"/>
  <c r="J59" i="26"/>
  <c r="K17" i="26"/>
  <c r="K19" i="26" s="1"/>
  <c r="K20" i="26" s="1"/>
  <c r="K21" i="26"/>
  <c r="R59" i="26"/>
  <c r="S17" i="26"/>
  <c r="S19" i="26" s="1"/>
  <c r="S21" i="26"/>
  <c r="S23" i="26" s="1"/>
  <c r="S24" i="26" s="1"/>
  <c r="M63" i="26"/>
  <c r="I59" i="27"/>
  <c r="J17" i="27"/>
  <c r="Q59" i="27"/>
  <c r="R17" i="27"/>
  <c r="I59" i="28"/>
  <c r="J17" i="28"/>
  <c r="J19" i="28" s="1"/>
  <c r="J20" i="28" s="1"/>
  <c r="J21" i="28"/>
  <c r="J23" i="28" s="1"/>
  <c r="J24" i="28" s="1"/>
  <c r="Q59" i="28"/>
  <c r="R21" i="28"/>
  <c r="R23" i="28" s="1"/>
  <c r="R24" i="28" s="1"/>
  <c r="R17" i="28"/>
  <c r="I21" i="29"/>
  <c r="I23" i="29" s="1"/>
  <c r="I24" i="29" s="1"/>
  <c r="I17" i="29"/>
  <c r="I19" i="29" s="1"/>
  <c r="I20" i="29" s="1"/>
  <c r="Q21" i="29"/>
  <c r="Q17" i="29"/>
  <c r="Q19" i="29" s="1"/>
  <c r="H17" i="30"/>
  <c r="H19" i="30" s="1"/>
  <c r="H20" i="30" s="1"/>
  <c r="H21" i="30"/>
  <c r="H23" i="30" s="1"/>
  <c r="H24" i="30" s="1"/>
  <c r="P17" i="30"/>
  <c r="P21" i="30"/>
  <c r="P23" i="30" s="1"/>
  <c r="P24" i="30" s="1"/>
  <c r="U26" i="19"/>
  <c r="M26" i="19"/>
  <c r="E26" i="19"/>
  <c r="P25" i="19"/>
  <c r="H25" i="19"/>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6"/>
  <c r="C21" i="26"/>
  <c r="C23" i="26" s="1"/>
  <c r="C24" i="26" s="1"/>
  <c r="C17" i="26"/>
  <c r="C19" i="26" s="1"/>
  <c r="C20" i="26" s="1"/>
  <c r="R19" i="24"/>
  <c r="I21" i="27"/>
  <c r="I23" i="27" s="1"/>
  <c r="I24" i="27" s="1"/>
  <c r="Q21" i="27"/>
  <c r="D58" i="29"/>
  <c r="D61" i="29" s="1"/>
  <c r="P23" i="26"/>
  <c r="P24" i="26" s="1"/>
  <c r="G21" i="27"/>
  <c r="G23" i="27" s="1"/>
  <c r="G24" i="27" s="1"/>
  <c r="O21" i="27"/>
  <c r="O23" i="27" s="1"/>
  <c r="O24" i="27" s="1"/>
  <c r="D58" i="30"/>
  <c r="D61" i="30" s="1"/>
  <c r="L58" i="30"/>
  <c r="L61" i="30" s="1"/>
  <c r="L64" i="30" s="1"/>
  <c r="H21" i="27"/>
  <c r="H23" i="27" s="1"/>
  <c r="H24" i="27" s="1"/>
  <c r="P21" i="27"/>
  <c r="J58" i="26"/>
  <c r="J61" i="26" s="1"/>
  <c r="J58" i="27"/>
  <c r="J61" i="27" s="1"/>
  <c r="J64" i="27" s="1"/>
  <c r="R58" i="27"/>
  <c r="R61" i="27" s="1"/>
  <c r="R64" i="27" s="1"/>
  <c r="R58" i="28"/>
  <c r="R61" i="28" s="1"/>
  <c r="R64" i="28" s="1"/>
  <c r="L21" i="27"/>
  <c r="L23" i="27" s="1"/>
  <c r="L24" i="27" s="1"/>
  <c r="T21" i="27"/>
  <c r="H57" i="29"/>
  <c r="R58" i="26"/>
  <c r="R61" i="26" s="1"/>
  <c r="K58" i="29"/>
  <c r="K61" i="29" s="1"/>
  <c r="L58" i="29"/>
  <c r="L61" i="29" s="1"/>
  <c r="T58" i="29"/>
  <c r="T61" i="29" s="1"/>
  <c r="T64" i="29" s="1"/>
  <c r="I23" i="30"/>
  <c r="I24" i="30" s="1"/>
  <c r="Q23" i="30"/>
  <c r="Q24" i="30" s="1"/>
  <c r="E23" i="30"/>
  <c r="E24" i="30" s="1"/>
  <c r="U23" i="30"/>
  <c r="U24" i="30" s="1"/>
  <c r="J58" i="28"/>
  <c r="J61" i="28" s="1"/>
  <c r="J58" i="24"/>
  <c r="J61" i="24" s="1"/>
  <c r="J64" i="24" s="1"/>
  <c r="R58" i="24"/>
  <c r="R61" i="24" s="1"/>
  <c r="F57" i="24"/>
  <c r="T58" i="30"/>
  <c r="T61" i="30" s="1"/>
  <c r="T64" i="30" s="1"/>
  <c r="F58" i="26"/>
  <c r="F61" i="26" s="1"/>
  <c r="D58" i="27"/>
  <c r="D61" i="27" s="1"/>
  <c r="D64" i="27" s="1"/>
  <c r="L58" i="27"/>
  <c r="L61" i="27" s="1"/>
  <c r="T58" i="27"/>
  <c r="T61" i="27" s="1"/>
  <c r="T64" i="27" s="1"/>
  <c r="J58" i="30"/>
  <c r="J61" i="30" s="1"/>
  <c r="J64" i="30" s="1"/>
  <c r="R58" i="30"/>
  <c r="R61" i="30" s="1"/>
  <c r="R64" i="30" s="1"/>
  <c r="P57" i="30"/>
  <c r="J19" i="27"/>
  <c r="J20" i="27" s="1"/>
  <c r="R21" i="27"/>
  <c r="R23" i="27" s="1"/>
  <c r="R24" i="27" s="1"/>
  <c r="E58" i="27"/>
  <c r="E61" i="27" s="1"/>
  <c r="E64" i="27" s="1"/>
  <c r="M58" i="27"/>
  <c r="M61" i="27" s="1"/>
  <c r="U58" i="27"/>
  <c r="U61" i="27" s="1"/>
  <c r="I58" i="29"/>
  <c r="I61" i="29" s="1"/>
  <c r="I64" i="29" s="1"/>
  <c r="Q58" i="29"/>
  <c r="Q61" i="29" s="1"/>
  <c r="Q64" i="29" s="1"/>
  <c r="F58" i="30"/>
  <c r="F61" i="30" s="1"/>
  <c r="N58" i="30"/>
  <c r="N61" i="30" s="1"/>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L24" i="30" s="1"/>
  <c r="T23" i="30"/>
  <c r="T24" i="30" s="1"/>
  <c r="G58" i="30"/>
  <c r="G61" i="30" s="1"/>
  <c r="O58" i="30"/>
  <c r="O61" i="30" s="1"/>
  <c r="Q57" i="30"/>
  <c r="G58" i="27"/>
  <c r="G61" i="27" s="1"/>
  <c r="T58" i="28"/>
  <c r="T61" i="28" s="1"/>
  <c r="T64" i="28" s="1"/>
  <c r="C58" i="29"/>
  <c r="C61" i="29" s="1"/>
  <c r="C64" i="29" s="1"/>
  <c r="H58" i="30"/>
  <c r="H61" i="30" s="1"/>
  <c r="H64" i="30" s="1"/>
  <c r="N59" i="30"/>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P59" i="30"/>
  <c r="L58" i="24"/>
  <c r="L61" i="24" s="1"/>
  <c r="L64" i="24" s="1"/>
  <c r="P58" i="26"/>
  <c r="P61" i="26" s="1"/>
  <c r="F59" i="26"/>
  <c r="O58" i="27"/>
  <c r="O61" i="27" s="1"/>
  <c r="O23" i="24"/>
  <c r="O24" i="24" s="1"/>
  <c r="F58" i="24"/>
  <c r="F61" i="24" s="1"/>
  <c r="N58" i="24"/>
  <c r="N61" i="24" s="1"/>
  <c r="F59" i="24"/>
  <c r="I58" i="27"/>
  <c r="I61" i="27" s="1"/>
  <c r="Q58" i="27"/>
  <c r="Q61" i="27" s="1"/>
  <c r="Q64"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H64" i="26" s="1"/>
  <c r="L58" i="28"/>
  <c r="L61" i="28" s="1"/>
  <c r="S58" i="29"/>
  <c r="S61" i="29" s="1"/>
  <c r="S64" i="29" s="1"/>
  <c r="L23" i="24"/>
  <c r="L24" i="24" s="1"/>
  <c r="T23" i="24"/>
  <c r="T24" i="24" s="1"/>
  <c r="G58" i="24"/>
  <c r="G61" i="24" s="1"/>
  <c r="O58" i="24"/>
  <c r="O61" i="24" s="1"/>
  <c r="N59" i="24"/>
  <c r="C58" i="26"/>
  <c r="C61" i="26" s="1"/>
  <c r="C64" i="26" s="1"/>
  <c r="K58" i="26"/>
  <c r="K61" i="26" s="1"/>
  <c r="S58" i="26"/>
  <c r="S61" i="26" s="1"/>
  <c r="S64" i="26" s="1"/>
  <c r="P23" i="27"/>
  <c r="P24" i="27" s="1"/>
  <c r="N57" i="27"/>
  <c r="H59" i="27"/>
  <c r="G58" i="28"/>
  <c r="G61" i="28" s="1"/>
  <c r="O58" i="28"/>
  <c r="O61" i="28" s="1"/>
  <c r="F57" i="28"/>
  <c r="F58" i="29"/>
  <c r="F61" i="29" s="1"/>
  <c r="N58" i="29"/>
  <c r="N61" i="29" s="1"/>
  <c r="H59" i="29"/>
  <c r="C58" i="30"/>
  <c r="C61" i="30" s="1"/>
  <c r="K58" i="30"/>
  <c r="K61" i="30" s="1"/>
  <c r="K64" i="30" s="1"/>
  <c r="S58" i="30"/>
  <c r="S61" i="30" s="1"/>
  <c r="H57" i="30"/>
  <c r="D58" i="24"/>
  <c r="D61" i="24" s="1"/>
  <c r="D64" i="24" s="1"/>
  <c r="D58" i="28"/>
  <c r="D61" i="28" s="1"/>
  <c r="D64" i="28" s="1"/>
  <c r="P58" i="30"/>
  <c r="P61" i="30" s="1"/>
  <c r="I23" i="24"/>
  <c r="I24" i="24" s="1"/>
  <c r="H58" i="24"/>
  <c r="H61" i="24" s="1"/>
  <c r="P58" i="24"/>
  <c r="P61" i="24" s="1"/>
  <c r="Q23" i="26"/>
  <c r="Q24" i="26" s="1"/>
  <c r="D58" i="26"/>
  <c r="D61" i="26" s="1"/>
  <c r="L58" i="26"/>
  <c r="L61" i="26" s="1"/>
  <c r="L64" i="26" s="1"/>
  <c r="T58" i="26"/>
  <c r="T61" i="26" s="1"/>
  <c r="F57" i="26"/>
  <c r="C58" i="27"/>
  <c r="C61" i="27" s="1"/>
  <c r="K58" i="27"/>
  <c r="K61" i="27" s="1"/>
  <c r="K64" i="27" s="1"/>
  <c r="S58" i="27"/>
  <c r="S61" i="27" s="1"/>
  <c r="S64" i="27" s="1"/>
  <c r="P57" i="27"/>
  <c r="N59" i="27"/>
  <c r="H58" i="28"/>
  <c r="H61" i="28" s="1"/>
  <c r="P58" i="28"/>
  <c r="P61" i="28" s="1"/>
  <c r="N57" i="28"/>
  <c r="D23" i="29"/>
  <c r="D24" i="29" s="1"/>
  <c r="L23" i="29"/>
  <c r="L24" i="29" s="1"/>
  <c r="T23" i="29"/>
  <c r="T24" i="29" s="1"/>
  <c r="G58" i="29"/>
  <c r="G61" i="29" s="1"/>
  <c r="O58" i="29"/>
  <c r="O61" i="29" s="1"/>
  <c r="P59" i="29"/>
  <c r="D64" i="30"/>
  <c r="I57" i="30"/>
  <c r="I58" i="24"/>
  <c r="I61" i="24" s="1"/>
  <c r="Q58" i="24"/>
  <c r="Q61" i="24" s="1"/>
  <c r="Q64" i="24" s="1"/>
  <c r="E58" i="26"/>
  <c r="E61" i="26" s="1"/>
  <c r="M58" i="26"/>
  <c r="M61" i="26" s="1"/>
  <c r="M64" i="26" s="1"/>
  <c r="M66" i="26" s="1"/>
  <c r="U58" i="26"/>
  <c r="U61" i="26" s="1"/>
  <c r="N57" i="26"/>
  <c r="P59" i="27"/>
  <c r="I58" i="28"/>
  <c r="I61" i="28" s="1"/>
  <c r="I64" i="28" s="1"/>
  <c r="Q58" i="28"/>
  <c r="Q61" i="28" s="1"/>
  <c r="Q64" i="28" s="1"/>
  <c r="P23" i="28"/>
  <c r="P24" i="28" s="1"/>
  <c r="H58" i="29"/>
  <c r="H61" i="29" s="1"/>
  <c r="P58" i="29"/>
  <c r="P61" i="29" s="1"/>
  <c r="E58" i="30"/>
  <c r="E61" i="30" s="1"/>
  <c r="M58" i="30"/>
  <c r="M61" i="30" s="1"/>
  <c r="U58" i="30"/>
  <c r="U61" i="30" s="1"/>
  <c r="U64" i="30" s="1"/>
  <c r="U66" i="30" s="1"/>
  <c r="N57" i="30"/>
  <c r="F59" i="30"/>
  <c r="B58" i="30"/>
  <c r="B61" i="30" s="1"/>
  <c r="B58" i="24"/>
  <c r="B61" i="24" s="1"/>
  <c r="B58" i="26"/>
  <c r="B61" i="26" s="1"/>
  <c r="B58" i="27"/>
  <c r="B61" i="27" s="1"/>
  <c r="B58" i="28"/>
  <c r="B61" i="28" s="1"/>
  <c r="B58" i="29"/>
  <c r="B61" i="29" s="1"/>
  <c r="D5" i="20"/>
  <c r="D6" i="20"/>
  <c r="D4" i="20"/>
  <c r="E9" i="20"/>
  <c r="D9" i="20"/>
  <c r="E8" i="20"/>
  <c r="D8" i="20"/>
  <c r="E10" i="20"/>
  <c r="D10" i="20"/>
  <c r="E7" i="20"/>
  <c r="D7" i="20"/>
  <c r="E6" i="20"/>
  <c r="E5" i="20"/>
  <c r="E4" i="20"/>
  <c r="O23" i="30"/>
  <c r="O24" i="30" s="1"/>
  <c r="R19" i="30"/>
  <c r="F63" i="30"/>
  <c r="N63" i="30"/>
  <c r="K19" i="30"/>
  <c r="K20" i="30" s="1"/>
  <c r="S19" i="30"/>
  <c r="S23" i="30"/>
  <c r="S24" i="30" s="1"/>
  <c r="A31" i="30"/>
  <c r="A33" i="30"/>
  <c r="A39" i="30"/>
  <c r="A41" i="30"/>
  <c r="A47" i="30"/>
  <c r="A49" i="30"/>
  <c r="G57" i="30"/>
  <c r="O57" i="30"/>
  <c r="G59" i="30"/>
  <c r="O59" i="30"/>
  <c r="G63" i="30"/>
  <c r="O63" i="30"/>
  <c r="P63" i="30"/>
  <c r="I63" i="30"/>
  <c r="Q63" i="30"/>
  <c r="T19" i="30"/>
  <c r="N19" i="30"/>
  <c r="V19" i="30"/>
  <c r="F23" i="30"/>
  <c r="F24" i="30" s="1"/>
  <c r="N23" i="30"/>
  <c r="N24" i="30" s="1"/>
  <c r="B63" i="30"/>
  <c r="J63" i="30"/>
  <c r="R63" i="30"/>
  <c r="M19" i="30"/>
  <c r="G19" i="30"/>
  <c r="G20" i="30" s="1"/>
  <c r="A32" i="30"/>
  <c r="A34" i="30"/>
  <c r="A40" i="30"/>
  <c r="A42" i="30"/>
  <c r="A48" i="30"/>
  <c r="A50" i="30"/>
  <c r="C63" i="30"/>
  <c r="K63" i="30"/>
  <c r="S63" i="30"/>
  <c r="P19" i="30"/>
  <c r="D63" i="30"/>
  <c r="L63" i="30"/>
  <c r="T63" i="30"/>
  <c r="H63" i="30"/>
  <c r="Q19" i="30"/>
  <c r="E63" i="30"/>
  <c r="M63" i="30"/>
  <c r="Q23" i="29"/>
  <c r="Q24" i="29" s="1"/>
  <c r="O23" i="29"/>
  <c r="O24" i="29" s="1"/>
  <c r="T19" i="29"/>
  <c r="P63" i="29"/>
  <c r="R19" i="29"/>
  <c r="J23" i="29"/>
  <c r="J24" i="29" s="1"/>
  <c r="F57" i="29"/>
  <c r="N57" i="29"/>
  <c r="F59" i="29"/>
  <c r="N59" i="29"/>
  <c r="F63" i="29"/>
  <c r="N63" i="29"/>
  <c r="H63" i="29"/>
  <c r="K19" i="29"/>
  <c r="K20" i="29" s="1"/>
  <c r="S19" i="29"/>
  <c r="K23" i="29"/>
  <c r="K24" i="29" s="1"/>
  <c r="S23" i="29"/>
  <c r="S24" i="29" s="1"/>
  <c r="A31" i="29"/>
  <c r="A33" i="29"/>
  <c r="A39" i="29"/>
  <c r="A41" i="29"/>
  <c r="A47" i="29"/>
  <c r="A49" i="29"/>
  <c r="G57" i="29"/>
  <c r="O57" i="29"/>
  <c r="G59" i="29"/>
  <c r="O59" i="29"/>
  <c r="G63" i="29"/>
  <c r="O63" i="29"/>
  <c r="E19" i="29"/>
  <c r="E20" i="29" s="1"/>
  <c r="M19" i="29"/>
  <c r="U19" i="29"/>
  <c r="M23" i="29"/>
  <c r="M24" i="29" s="1"/>
  <c r="U23" i="29"/>
  <c r="U24" i="29" s="1"/>
  <c r="I57" i="29"/>
  <c r="Q57" i="29"/>
  <c r="I63" i="29"/>
  <c r="I65" i="29" s="1"/>
  <c r="Q63" i="29"/>
  <c r="F19" i="29"/>
  <c r="F20" i="29" s="1"/>
  <c r="N19" i="29"/>
  <c r="V19" i="29"/>
  <c r="F23" i="29"/>
  <c r="F24" i="29" s="1"/>
  <c r="N23" i="29"/>
  <c r="N24" i="29" s="1"/>
  <c r="B63" i="29"/>
  <c r="J63" i="29"/>
  <c r="R63" i="29"/>
  <c r="L19" i="29"/>
  <c r="O19" i="29"/>
  <c r="A32" i="29"/>
  <c r="A34" i="29"/>
  <c r="A40" i="29"/>
  <c r="A42" i="29"/>
  <c r="A48" i="29"/>
  <c r="A50" i="29"/>
  <c r="C63" i="29"/>
  <c r="K63" i="29"/>
  <c r="S63" i="29"/>
  <c r="P19" i="29"/>
  <c r="D63" i="29"/>
  <c r="L63" i="29"/>
  <c r="T63" i="29"/>
  <c r="E63" i="29"/>
  <c r="M63" i="29"/>
  <c r="K19" i="28"/>
  <c r="K20" i="28" s="1"/>
  <c r="S19" i="28"/>
  <c r="K23" i="28"/>
  <c r="K24" i="28" s="1"/>
  <c r="A31" i="28"/>
  <c r="A33" i="28"/>
  <c r="A37" i="28"/>
  <c r="A39" i="28"/>
  <c r="A41" i="28"/>
  <c r="A45" i="28"/>
  <c r="A47" i="28"/>
  <c r="A49" i="28"/>
  <c r="G57" i="28"/>
  <c r="O57" i="28"/>
  <c r="G59" i="28"/>
  <c r="O59" i="28"/>
  <c r="G63" i="28"/>
  <c r="O63" i="28"/>
  <c r="L19" i="28"/>
  <c r="L23" i="28"/>
  <c r="L24" i="28" s="1"/>
  <c r="T23" i="28"/>
  <c r="T24" i="28" s="1"/>
  <c r="H59" i="28"/>
  <c r="P59" i="28"/>
  <c r="H63" i="28"/>
  <c r="P63" i="28"/>
  <c r="E19" i="28"/>
  <c r="E20" i="28" s="1"/>
  <c r="M19" i="28"/>
  <c r="U19" i="28"/>
  <c r="M23" i="28"/>
  <c r="M24" i="28" s="1"/>
  <c r="I57" i="28"/>
  <c r="Q57" i="28"/>
  <c r="I63" i="28"/>
  <c r="Q63" i="28"/>
  <c r="R19" i="28"/>
  <c r="V19" i="28"/>
  <c r="N23" i="28"/>
  <c r="N24" i="28" s="1"/>
  <c r="V23" i="28"/>
  <c r="V24" i="28" s="1"/>
  <c r="B63" i="28"/>
  <c r="J63" i="28"/>
  <c r="R63" i="28"/>
  <c r="A32" i="28"/>
  <c r="A34" i="28"/>
  <c r="A40" i="28"/>
  <c r="A42" i="28"/>
  <c r="A48" i="28"/>
  <c r="A50" i="28"/>
  <c r="C63" i="28"/>
  <c r="K63" i="28"/>
  <c r="S63" i="28"/>
  <c r="H19" i="28"/>
  <c r="H20" i="28" s="1"/>
  <c r="D63" i="28"/>
  <c r="L63" i="28"/>
  <c r="T63" i="28"/>
  <c r="I19" i="28"/>
  <c r="I20" i="28" s="1"/>
  <c r="E63" i="28"/>
  <c r="M63" i="28"/>
  <c r="Q23" i="27"/>
  <c r="Q24" i="27" s="1"/>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V19" i="27"/>
  <c r="F21" i="27"/>
  <c r="F23" i="27" s="1"/>
  <c r="F24" i="27" s="1"/>
  <c r="N21" i="27"/>
  <c r="N23" i="27" s="1"/>
  <c r="N24" i="27" s="1"/>
  <c r="V21" i="27"/>
  <c r="V23" i="27" s="1"/>
  <c r="V24" i="27" s="1"/>
  <c r="B63" i="27"/>
  <c r="J63" i="27"/>
  <c r="R63" i="27"/>
  <c r="A32" i="27"/>
  <c r="A34" i="27"/>
  <c r="A40" i="27"/>
  <c r="A42" i="27"/>
  <c r="A48" i="27"/>
  <c r="A50" i="27"/>
  <c r="C63" i="27"/>
  <c r="K63" i="27"/>
  <c r="S63" i="27"/>
  <c r="L19" i="27"/>
  <c r="H19" i="27"/>
  <c r="H20" i="27" s="1"/>
  <c r="D63" i="27"/>
  <c r="D65" i="27" s="1"/>
  <c r="L63" i="27"/>
  <c r="T63" i="27"/>
  <c r="H63" i="27"/>
  <c r="Q19" i="27"/>
  <c r="E63" i="27"/>
  <c r="M63" i="27"/>
  <c r="U64" i="26"/>
  <c r="U66" i="26" s="1"/>
  <c r="O23" i="26"/>
  <c r="O24" i="26" s="1"/>
  <c r="J23" i="26"/>
  <c r="J24" i="26" s="1"/>
  <c r="K23" i="26"/>
  <c r="K24" i="26" s="1"/>
  <c r="A31" i="26"/>
  <c r="A33" i="26"/>
  <c r="A37" i="26"/>
  <c r="A39" i="26"/>
  <c r="A41" i="26"/>
  <c r="A45" i="26"/>
  <c r="A47" i="26"/>
  <c r="A49" i="26"/>
  <c r="G57" i="26"/>
  <c r="O57" i="26"/>
  <c r="G59" i="26"/>
  <c r="O59" i="26"/>
  <c r="G63" i="26"/>
  <c r="O63" i="26"/>
  <c r="L19" i="26"/>
  <c r="T19" i="26"/>
  <c r="L23" i="26"/>
  <c r="L24" i="26" s="1"/>
  <c r="T23" i="26"/>
  <c r="T24" i="26" s="1"/>
  <c r="H63" i="26"/>
  <c r="P63" i="26"/>
  <c r="M19" i="26"/>
  <c r="E23" i="26"/>
  <c r="E24" i="26" s="1"/>
  <c r="M23" i="26"/>
  <c r="M24" i="26" s="1"/>
  <c r="I57" i="26"/>
  <c r="Q57" i="26"/>
  <c r="I59" i="26"/>
  <c r="Q59" i="26"/>
  <c r="Q64" i="26" s="1"/>
  <c r="I63" i="26"/>
  <c r="Q63" i="26"/>
  <c r="N19" i="26"/>
  <c r="N23" i="26"/>
  <c r="N24" i="26" s="1"/>
  <c r="V23" i="26"/>
  <c r="V24" i="26" s="1"/>
  <c r="B63" i="26"/>
  <c r="J63" i="26"/>
  <c r="R63" i="26"/>
  <c r="G19" i="26"/>
  <c r="G20" i="26" s="1"/>
  <c r="O19" i="26"/>
  <c r="A32" i="26"/>
  <c r="A34" i="26"/>
  <c r="A40" i="26"/>
  <c r="A42" i="26"/>
  <c r="A48" i="26"/>
  <c r="A50" i="26"/>
  <c r="C63" i="26"/>
  <c r="K63" i="26"/>
  <c r="S63" i="26"/>
  <c r="P19" i="26"/>
  <c r="D63" i="26"/>
  <c r="L63" i="26"/>
  <c r="J23" i="24"/>
  <c r="J24" i="24" s="1"/>
  <c r="H23" i="24"/>
  <c r="H24" i="24" s="1"/>
  <c r="P23" i="24"/>
  <c r="P24" i="24" s="1"/>
  <c r="S19" i="24"/>
  <c r="K23" i="24"/>
  <c r="K24" i="24" s="1"/>
  <c r="A31" i="24"/>
  <c r="A33" i="24"/>
  <c r="A37" i="24"/>
  <c r="A39" i="24"/>
  <c r="A41" i="24"/>
  <c r="A45" i="24"/>
  <c r="A47" i="24"/>
  <c r="A49" i="24"/>
  <c r="G57" i="24"/>
  <c r="O57" i="24"/>
  <c r="G59" i="24"/>
  <c r="O59" i="24"/>
  <c r="G63" i="24"/>
  <c r="O63" i="24"/>
  <c r="H59" i="24"/>
  <c r="P59" i="24"/>
  <c r="H63" i="24"/>
  <c r="P63" i="24"/>
  <c r="E19" i="24"/>
  <c r="E20" i="24" s="1"/>
  <c r="U19" i="24"/>
  <c r="U23" i="24"/>
  <c r="U24" i="24" s="1"/>
  <c r="I57" i="24"/>
  <c r="Q57" i="24"/>
  <c r="I63" i="24"/>
  <c r="Q63" i="24"/>
  <c r="F23" i="24"/>
  <c r="F24" i="24" s="1"/>
  <c r="V23" i="24"/>
  <c r="V24" i="24" s="1"/>
  <c r="B63" i="24"/>
  <c r="J63" i="24"/>
  <c r="J65" i="24" s="1"/>
  <c r="R63" i="24"/>
  <c r="O19" i="24"/>
  <c r="A32" i="24"/>
  <c r="A34" i="24"/>
  <c r="A40" i="24"/>
  <c r="A42" i="24"/>
  <c r="A48" i="24"/>
  <c r="A50" i="24"/>
  <c r="C63" i="24"/>
  <c r="K63" i="24"/>
  <c r="K65" i="24" s="1"/>
  <c r="S63" i="24"/>
  <c r="R23" i="24"/>
  <c r="R24" i="24" s="1"/>
  <c r="P19" i="24"/>
  <c r="D63" i="24"/>
  <c r="D65" i="24" s="1"/>
  <c r="L63" i="24"/>
  <c r="T63" i="24"/>
  <c r="E63" i="24"/>
  <c r="M63" i="24"/>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G64" i="30" l="1"/>
  <c r="I64" i="26"/>
  <c r="I66" i="26" s="1"/>
  <c r="J65" i="30"/>
  <c r="C65" i="29"/>
  <c r="H65" i="30"/>
  <c r="E64" i="30"/>
  <c r="E66" i="30" s="1"/>
  <c r="F64" i="26"/>
  <c r="F66" i="26" s="1"/>
  <c r="I65" i="28"/>
  <c r="I64" i="27"/>
  <c r="I65" i="27" s="1"/>
  <c r="J64" i="28"/>
  <c r="J65" i="28" s="1"/>
  <c r="C65" i="26"/>
  <c r="C64" i="27"/>
  <c r="C65" i="27" s="1"/>
  <c r="C64" i="30"/>
  <c r="C65" i="30" s="1"/>
  <c r="B64" i="24"/>
  <c r="B66" i="24" s="1"/>
  <c r="B64" i="30"/>
  <c r="B66" i="30" s="1"/>
  <c r="J65" i="27"/>
  <c r="I65" i="30"/>
  <c r="H65" i="26"/>
  <c r="G65" i="30"/>
  <c r="E65" i="27"/>
  <c r="D65" i="30"/>
  <c r="D65" i="28"/>
  <c r="M64" i="29"/>
  <c r="D64" i="29"/>
  <c r="D66" i="29" s="1"/>
  <c r="O64" i="24"/>
  <c r="O66" i="24" s="1"/>
  <c r="I64" i="24"/>
  <c r="I65" i="24" s="1"/>
  <c r="M64" i="24"/>
  <c r="S64" i="24"/>
  <c r="T64" i="26"/>
  <c r="T66" i="26" s="1"/>
  <c r="E64" i="26"/>
  <c r="E66" i="26" s="1"/>
  <c r="M64" i="28"/>
  <c r="S64" i="28"/>
  <c r="P64" i="27"/>
  <c r="N64" i="28"/>
  <c r="N66" i="28" s="1"/>
  <c r="F64" i="24"/>
  <c r="F66" i="24" s="1"/>
  <c r="F64" i="28"/>
  <c r="D64" i="26"/>
  <c r="D65" i="26" s="1"/>
  <c r="H64" i="29"/>
  <c r="H66" i="29" s="1"/>
  <c r="S64" i="30"/>
  <c r="S66" i="30" s="1"/>
  <c r="F64" i="30"/>
  <c r="F66" i="30" s="1"/>
  <c r="R64" i="26"/>
  <c r="E64" i="24"/>
  <c r="E66" i="24" s="1"/>
  <c r="H64" i="28"/>
  <c r="H66" i="28" s="1"/>
  <c r="G64" i="28"/>
  <c r="G66" i="28" s="1"/>
  <c r="P64" i="26"/>
  <c r="E64" i="28"/>
  <c r="E66" i="28" s="1"/>
  <c r="J64" i="26"/>
  <c r="J65" i="26" s="1"/>
  <c r="M64" i="27"/>
  <c r="M66" i="27" s="1"/>
  <c r="H64" i="27"/>
  <c r="H66" i="27" s="1"/>
  <c r="L64" i="29"/>
  <c r="G64" i="24"/>
  <c r="G66" i="24" s="1"/>
  <c r="H64" i="24"/>
  <c r="H66" i="24" s="1"/>
  <c r="K64" i="24"/>
  <c r="P64" i="24"/>
  <c r="U64" i="29"/>
  <c r="U66" i="29" s="1"/>
  <c r="M64" i="30"/>
  <c r="M66" i="30" s="1"/>
  <c r="K64" i="26"/>
  <c r="K66" i="26" s="1"/>
  <c r="C64" i="28"/>
  <c r="C66" i="28" s="1"/>
  <c r="C64" i="24"/>
  <c r="C66" i="24" s="1"/>
  <c r="L64" i="27"/>
  <c r="L66" i="27" s="1"/>
  <c r="R64" i="24"/>
  <c r="R66" i="24" s="1"/>
  <c r="K64" i="29"/>
  <c r="K66" i="29" s="1"/>
  <c r="J64" i="29"/>
  <c r="J66" i="29" s="1"/>
  <c r="E64" i="29"/>
  <c r="E66" i="29" s="1"/>
  <c r="P64" i="28"/>
  <c r="P66" i="28" s="1"/>
  <c r="U64" i="28"/>
  <c r="U66" i="28" s="1"/>
  <c r="U64" i="24"/>
  <c r="U66" i="24" s="1"/>
  <c r="U64" i="27"/>
  <c r="U66" i="27" s="1"/>
  <c r="S66" i="27"/>
  <c r="D66" i="30"/>
  <c r="Q66" i="30"/>
  <c r="B64" i="29"/>
  <c r="B66" i="29" s="1"/>
  <c r="B64" i="28"/>
  <c r="B66" i="28" s="1"/>
  <c r="B64" i="27"/>
  <c r="B66" i="27" s="1"/>
  <c r="B64" i="26"/>
  <c r="B66" i="26" s="1"/>
  <c r="T66" i="29"/>
  <c r="O64" i="27"/>
  <c r="O66" i="27" s="1"/>
  <c r="O64" i="28"/>
  <c r="O66" i="28" s="1"/>
  <c r="N64" i="27"/>
  <c r="N66" i="27" s="1"/>
  <c r="N64" i="30"/>
  <c r="N66" i="30" s="1"/>
  <c r="L66" i="30"/>
  <c r="J66" i="28"/>
  <c r="G64" i="26"/>
  <c r="G66" i="26" s="1"/>
  <c r="G64" i="29"/>
  <c r="G66" i="29" s="1"/>
  <c r="O64" i="26"/>
  <c r="O66" i="26" s="1"/>
  <c r="T66" i="24"/>
  <c r="P64" i="30"/>
  <c r="P66" i="30" s="1"/>
  <c r="K66" i="27"/>
  <c r="Q66" i="24"/>
  <c r="R66" i="27"/>
  <c r="J66" i="27"/>
  <c r="G64" i="27"/>
  <c r="G66" i="27" s="1"/>
  <c r="G66" i="30"/>
  <c r="J66" i="30"/>
  <c r="F64" i="27"/>
  <c r="F66" i="27" s="1"/>
  <c r="T66" i="27"/>
  <c r="L66" i="29"/>
  <c r="H66" i="30"/>
  <c r="S66" i="24"/>
  <c r="S66" i="26"/>
  <c r="L66" i="28"/>
  <c r="L66" i="26"/>
  <c r="T66" i="30"/>
  <c r="C66" i="29"/>
  <c r="R66" i="28"/>
  <c r="N64" i="26"/>
  <c r="N66" i="26" s="1"/>
  <c r="O64" i="29"/>
  <c r="O66" i="29" s="1"/>
  <c r="P64" i="29"/>
  <c r="P66" i="29" s="1"/>
  <c r="S64" i="1"/>
  <c r="R66" i="26"/>
  <c r="D66" i="27"/>
  <c r="N64" i="29"/>
  <c r="N66" i="29" s="1"/>
  <c r="R66" i="30"/>
  <c r="R64" i="1"/>
  <c r="Q64" i="1"/>
  <c r="U64" i="1"/>
  <c r="P64" i="1"/>
  <c r="E66" i="27"/>
  <c r="J66" i="24"/>
  <c r="Q66" i="29"/>
  <c r="F64" i="29"/>
  <c r="F66" i="29" s="1"/>
  <c r="O64" i="30"/>
  <c r="O66" i="30" s="1"/>
  <c r="N64" i="24"/>
  <c r="N66" i="24" s="1"/>
  <c r="K66" i="30"/>
  <c r="I66" i="30"/>
  <c r="R66" i="29"/>
  <c r="M66" i="29"/>
  <c r="I66" i="29"/>
  <c r="S66" i="29"/>
  <c r="T66" i="28"/>
  <c r="D66" i="28"/>
  <c r="M66" i="28"/>
  <c r="Q66" i="28"/>
  <c r="I66" i="28"/>
  <c r="S66" i="28"/>
  <c r="K66" i="28"/>
  <c r="Q66" i="27"/>
  <c r="P66" i="27"/>
  <c r="Q66" i="26"/>
  <c r="P66" i="26"/>
  <c r="C66" i="26"/>
  <c r="H66" i="26"/>
  <c r="L66" i="24"/>
  <c r="P66" i="24"/>
  <c r="D66" i="24"/>
  <c r="K66" i="24"/>
  <c r="M66" i="24"/>
  <c r="N64" i="1"/>
  <c r="M64" i="1"/>
  <c r="T64" i="1"/>
  <c r="L64" i="1"/>
  <c r="J64" i="1"/>
  <c r="K64" i="1"/>
  <c r="O64" i="1"/>
  <c r="C64" i="1"/>
  <c r="I64" i="1"/>
  <c r="H64" i="1"/>
  <c r="G64" i="1"/>
  <c r="F64" i="1"/>
  <c r="E64" i="1"/>
  <c r="D64" i="1"/>
  <c r="B64" i="1"/>
  <c r="D63" i="1"/>
  <c r="L63" i="1"/>
  <c r="L65" i="1" s="1"/>
  <c r="F63" i="1"/>
  <c r="R63" i="1"/>
  <c r="R65" i="1" s="1"/>
  <c r="J63" i="1"/>
  <c r="Q63" i="1"/>
  <c r="I63" i="1"/>
  <c r="C63" i="1"/>
  <c r="K63" i="1"/>
  <c r="K65" i="1" s="1"/>
  <c r="P63" i="1"/>
  <c r="P65" i="1" s="1"/>
  <c r="H63" i="1"/>
  <c r="T63" i="1"/>
  <c r="S63" i="1"/>
  <c r="S65" i="1" s="1"/>
  <c r="O63" i="1"/>
  <c r="O65" i="1" s="1"/>
  <c r="G63" i="1"/>
  <c r="N63" i="1"/>
  <c r="N65" i="1" s="1"/>
  <c r="E63" i="1"/>
  <c r="B63" i="1"/>
  <c r="U63" i="1"/>
  <c r="U65" i="1" s="1"/>
  <c r="M63" i="1"/>
  <c r="M65" i="1" s="1"/>
  <c r="E65" i="1" l="1"/>
  <c r="I66" i="24"/>
  <c r="I66" i="27"/>
  <c r="G65" i="27"/>
  <c r="I65" i="26"/>
  <c r="J65" i="29"/>
  <c r="G65" i="24"/>
  <c r="T66" i="1"/>
  <c r="T65" i="1"/>
  <c r="Q66" i="1"/>
  <c r="Q65" i="1"/>
  <c r="E65" i="30"/>
  <c r="F65" i="24"/>
  <c r="H65" i="28"/>
  <c r="E65" i="28"/>
  <c r="F65" i="27"/>
  <c r="H65" i="27"/>
  <c r="F65" i="26"/>
  <c r="C65" i="1"/>
  <c r="G65" i="28"/>
  <c r="D66" i="26"/>
  <c r="H65" i="24"/>
  <c r="C66" i="27"/>
  <c r="C65" i="24"/>
  <c r="C66" i="30"/>
  <c r="B65" i="30"/>
  <c r="B65" i="27"/>
  <c r="B65" i="1"/>
  <c r="B65" i="24"/>
  <c r="B65" i="29"/>
  <c r="J65" i="1"/>
  <c r="J66" i="26"/>
  <c r="I65" i="1"/>
  <c r="H65" i="29"/>
  <c r="H65" i="1"/>
  <c r="G65" i="26"/>
  <c r="G65" i="1"/>
  <c r="G65" i="29"/>
  <c r="F65" i="1"/>
  <c r="F66" i="28"/>
  <c r="F65" i="28"/>
  <c r="F65" i="30"/>
  <c r="F65" i="29"/>
  <c r="E65" i="24"/>
  <c r="E65" i="29"/>
  <c r="E65" i="26"/>
  <c r="D65" i="1"/>
  <c r="D65" i="29"/>
  <c r="C65" i="28"/>
  <c r="B65" i="26"/>
  <c r="B65" i="28"/>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<sst xmlns="http://schemas.openxmlformats.org/spreadsheetml/2006/main" count="1586" uniqueCount="174">
  <si>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</si>
  <si>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</si>
  <si>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</si>
  <si>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</si>
  <si>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</si>
  <si>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</si>
  <si>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</si>
  <si>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</si>
  <si>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</si>
  <si>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</si>
  <si>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</si>
  <si>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</si>
  <si>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</si>
  <si>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</si>
  <si>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</si>
  <si>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</si>
  <si>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</si>
  <si>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</si>
  <si>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</si>
  <si>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</si>
  <si>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</si>
  <si>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</si>
  <si>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</si>
  <si>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</si>
  <si>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</si>
  <si>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</si>
  <si>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</si>
  <si>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</si>
  <si>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</si>
  <si>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</si>
  <si>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</si>
  <si>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</si>
  <si>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</si>
  <si>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</si>
  <si>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</si>
  <si>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</si>
  <si>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</si>
  <si>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</si>
  <si>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</si>
  <si>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</si>
  <si>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</si>
  <si>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</si>
  <si>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</si>
  <si>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</si>
  <si>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</si>
  <si>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</si>
  <si>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</si>
  <si>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</si>
  <si>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</si>
  <si>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</si>
  <si>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</si>
  <si>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</si>
  <si>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</si>
  <si>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</si>
  <si>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</si>
  <si>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</si>
  <si>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</si>
  <si>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</si>
  <si>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</si>
  <si>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</si>
  <si>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</si>
  <si>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</si>
  <si>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</si>
  <si>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</si>
  <si>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</si>
  <si>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</si>
  <si>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</si>
  <si>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</si>
  <si>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</si>
  <si>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</si>
  <si>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</si>
  <si>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</si>
  <si>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</si>
  <si>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</si>
  <si>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</si>
  <si>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</si>
  <si>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</si>
  <si>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</si>
  <si>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</si>
  <si>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</si>
  <si>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</si>
  <si>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</si>
  <si>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</si>
  <si>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</si>
  <si>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</si>
  <si>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</si>
  <si>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</si>
  <si>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</si>
  <si>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</si>
  <si>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</si>
  <si>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</si>
  <si>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</si>
  <si>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</si>
  <si>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</si>
  <si>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</si>
  <si>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</si>
  <si>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</si>
  <si>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</si>
  <si>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</si>
  <si>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</si>
  <si>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</si>
  <si>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</si>
  <si>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</si>
  <si>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</si>
  <si>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</si>
  <si>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</si>
  <si>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</si>
  <si>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</si>
  <si>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</si>
  <si>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</si>
  <si>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</si>
  <si>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</si>
  <si>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</si>
  <si>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</si>
  <si>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</si>
  <si>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</si>
  <si>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</si>
  <si>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</si>
  <si>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</si>
  <si>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</si>
  <si>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</si>
  <si>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</si>
  <si>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</si>
  <si>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</si>
  <si>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</si>
  <si>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</si>
  <si>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</si>
  <si>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</si>
  <si>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</si>
  <si>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</si>
  <si>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</si>
  <si>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</si>
  <si>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</si>
  <si>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</si>
  <si>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</si>
  <si>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</si>
  <si>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</si>
  <si>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</si>
  <si>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</si>
  <si>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</si>
  <si>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</si>
  <si>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</si>
  <si>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</si>
  <si>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</si>
  <si>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</si>
  <si>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</si>
  <si>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</si>
  <si>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</si>
  <si>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</si>
  <si>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</si>
  <si>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</si>
  <si>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</si>
  <si>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</si>
  <si>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</si>
  <si>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</si>
  <si>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</si>
  <si>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</si>
  <si>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</si>
  <si>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</si>
  <si>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</si>
  <si>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PAN-022455</t>
  </si>
  <si>
    <t>EPR/GP3792SK</t>
  </si>
  <si>
    <t>ByProduct recovery LTD</t>
  </si>
  <si>
    <t>Blaen Y Coed Farm, Betws-y-Coed, LL24 0NY</t>
  </si>
  <si>
    <t xml:space="preserve">Owen Clee </t>
  </si>
  <si>
    <t>Moderate</t>
  </si>
  <si>
    <t>BRYN COWLYD WTW</t>
  </si>
  <si>
    <t>CEFNI WTW SLUDGE</t>
  </si>
  <si>
    <t>CWELLYN WTW SLUDGE</t>
  </si>
  <si>
    <t>19 09 02</t>
  </si>
  <si>
    <t>DOLBENMAEN WTW SLUDGE</t>
  </si>
  <si>
    <t>LLYN CONWY SLUDGE</t>
  </si>
  <si>
    <t>DCWW garreglwyd</t>
  </si>
  <si>
    <t>DCWW myndd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</si>
</sst>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9">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xf numFmtId="0" fontId="5" fillId="3" borderId="3" xfId="0" applyFont="1" applyFill="1" applyBorder="1" applyAlignment="1" applyProtection="1">
      <alignment horizontal="left" vertical="top"/>
      <protection locked="0" hidden="1"/>
    </xf>
  </cellXfs>
  <cellStyles count="3">
    <cellStyle name="Normal" xfId="0" builtinId="0"/>
    <cellStyle name="Normal 2" xfId="1" xr:uid="{00000000-0005-0000-0000-000001000000}"/>
    <cellStyle name="Percent" xfId="2" builtinId="5"/>
  </cellStyles>
  <dxfs count="296">
    <dxf>
      <font>
        <color rgb="FFFF0000"/>
      </font>
    </dxf>
    <dxf>
      <font>
        <color rgb="FF9C0006"/>
      </font>
      <fill>
        <patternFill>
          <bgColor rgb="FFFFC7CE"/>
        </patternFill>
      </fill>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18" Type="http://schemas.openxmlformats.org/officeDocument/2006/relationships/customXml" Target="../customXml/item5.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4.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264" dataDxfId="262" headerRowBorderDxfId="263" tableBorderDxfId="261" totalsRowBorderDxfId="260">
  <autoFilter ref="AI1:AN26" xr:uid="{F8B5EC87-3095-445A-A980-2CFAA0A7B9A2}"/>
  <sortState xmlns:xlrd2="http://schemas.microsoft.com/office/spreadsheetml/2017/richdata2" ref="AI2:AL25">
    <sortCondition ref="AL1:AL25"/>
  </sortState>
  <tableColumns count="6">
    <tableColumn id="1" xr3:uid="{360F44E4-7249-415F-8D5E-41D249F9A162}" name="Crop" dataDxfId="259"/>
    <tableColumn id="2" xr3:uid="{55E07717-B4EC-4E8A-B9A9-34F3CF85E32D}" name="P Offtake" dataDxfId="258"/>
    <tableColumn id="3" xr3:uid="{7B25FA52-8104-4FE3-AED4-B53CBFDF89B2}" name="K Offtake" dataDxfId="257"/>
    <tableColumn id="4" xr3:uid="{0DBAE461-2D09-43C8-9342-3980D552AE4D}" name="Order" dataDxfId="256"/>
    <tableColumn id="5" xr3:uid="{52CACE7B-0CBA-46FC-9F24-02CBD6100239}" name="Lime pH requirement" dataDxfId="255"/>
    <tableColumn id="6" xr3:uid="{F1432630-9B16-4266-8147-CE754A715307}" name="Column1" dataDxfId="254"/>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222" dataDxfId="220" headerRowBorderDxfId="221" tableBorderDxfId="219" totalsRowBorderDxfId="218">
  <autoFilter ref="AI1:AN26" xr:uid="{F8B5EC87-3095-445A-A980-2CFAA0A7B9A2}"/>
  <sortState xmlns:xlrd2="http://schemas.microsoft.com/office/spreadsheetml/2017/richdata2" ref="AI2:AL25">
    <sortCondition ref="AL1:AL25"/>
  </sortState>
  <tableColumns count="6">
    <tableColumn id="1" xr3:uid="{06008BA1-A1E9-4286-B67A-352533C06A26}" name="Crop" dataDxfId="217"/>
    <tableColumn id="2" xr3:uid="{2AEB5EEB-C9D1-41DC-913E-953A33D1A4AF}" name="P Offtake" dataDxfId="216"/>
    <tableColumn id="3" xr3:uid="{8FA16A0B-1017-4CEE-862E-0A8CBD8EB3D3}" name="K Offtake" dataDxfId="215"/>
    <tableColumn id="4" xr3:uid="{E7A3B8CD-4036-47F4-B818-C3F22E80C749}" name="Order" dataDxfId="214"/>
    <tableColumn id="5" xr3:uid="{8F3EBD84-7904-4559-9B5C-63088B792C98}" name="Lime pH requirement" dataDxfId="213"/>
    <tableColumn id="6" xr3:uid="{A21DD95A-C955-4510-9114-E3F1CB645370}" name="Column1" dataDxfId="212"/>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180" dataDxfId="178" headerRowBorderDxfId="179" tableBorderDxfId="177" totalsRowBorderDxfId="176">
  <autoFilter ref="AI1:AN26" xr:uid="{F8B5EC87-3095-445A-A980-2CFAA0A7B9A2}"/>
  <sortState xmlns:xlrd2="http://schemas.microsoft.com/office/spreadsheetml/2017/richdata2" ref="AI2:AL25">
    <sortCondition ref="AL1:AL25"/>
  </sortState>
  <tableColumns count="6">
    <tableColumn id="1" xr3:uid="{11579FCC-3D9F-49AD-888D-5D79B801F6AE}" name="Crop" dataDxfId="175"/>
    <tableColumn id="2" xr3:uid="{05C08116-56D5-4CC6-A649-B06AF891B931}" name="P Offtake" dataDxfId="174"/>
    <tableColumn id="3" xr3:uid="{59CDE959-192B-4757-9203-A0F691CF0F96}" name="K Offtake" dataDxfId="173"/>
    <tableColumn id="4" xr3:uid="{9FB8E4F7-B91F-4CE0-AF39-D4895D0ECF2F}" name="Order" dataDxfId="172"/>
    <tableColumn id="5" xr3:uid="{688FF2A4-D7C6-4425-A915-A9ADD700A9EE}" name="Lime pH requirement" dataDxfId="171"/>
    <tableColumn id="6" xr3:uid="{05FC5CFF-3D81-4B5F-87C7-2364076F2714}" name="Column1" dataDxfId="170"/>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138" dataDxfId="136" headerRowBorderDxfId="137" tableBorderDxfId="135" totalsRowBorderDxfId="134">
  <autoFilter ref="AI1:AN26" xr:uid="{F8B5EC87-3095-445A-A980-2CFAA0A7B9A2}"/>
  <sortState xmlns:xlrd2="http://schemas.microsoft.com/office/spreadsheetml/2017/richdata2" ref="AI2:AL25">
    <sortCondition ref="AL1:AL25"/>
  </sortState>
  <tableColumns count="6">
    <tableColumn id="1" xr3:uid="{973D7FFB-D248-4199-9B2E-B3C6CC09D382}" name="Crop" dataDxfId="133"/>
    <tableColumn id="2" xr3:uid="{7F2A3986-EC86-4CF9-BD10-791170BA6682}" name="P Offtake" dataDxfId="132"/>
    <tableColumn id="3" xr3:uid="{D6129C35-9DC6-42E5-AE3F-EA3A083168E6}" name="K Offtake" dataDxfId="131"/>
    <tableColumn id="4" xr3:uid="{C1CC42B5-564A-4DE7-B817-B7D686FE9A11}" name="Order" dataDxfId="130"/>
    <tableColumn id="5" xr3:uid="{620F3ABD-564C-411A-8DEA-CE1A34F9FC36}" name="Lime pH requirement" dataDxfId="129"/>
    <tableColumn id="6" xr3:uid="{76C9BC4F-4FF3-4AFB-8E7B-16DC0CC3E97C}" name="Column1" dataDxfId="128"/>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96" dataDxfId="94" headerRowBorderDxfId="95" tableBorderDxfId="93" totalsRowBorderDxfId="92">
  <autoFilter ref="AI1:AN26" xr:uid="{F8B5EC87-3095-445A-A980-2CFAA0A7B9A2}"/>
  <sortState xmlns:xlrd2="http://schemas.microsoft.com/office/spreadsheetml/2017/richdata2" ref="AI2:AL25">
    <sortCondition ref="AL1:AL25"/>
  </sortState>
  <tableColumns count="6">
    <tableColumn id="1" xr3:uid="{D13A12FC-EAE6-4280-A219-C2622262E5F4}" name="Crop" dataDxfId="91"/>
    <tableColumn id="2" xr3:uid="{FD06C4A3-4B75-490D-88CF-232C7DC3EFC6}" name="P Offtake" dataDxfId="90"/>
    <tableColumn id="3" xr3:uid="{B043BEFF-10D4-4840-989B-BB13A502ECDF}" name="K Offtake" dataDxfId="89"/>
    <tableColumn id="4" xr3:uid="{48481FDC-5D20-466C-B554-D45886EA366A}" name="Order" dataDxfId="88"/>
    <tableColumn id="5" xr3:uid="{9E0852D2-9D0D-44AB-98B7-FBA51F331ACF}" name="Lime pH requirement" dataDxfId="87"/>
    <tableColumn id="6" xr3:uid="{29F9C4A5-6854-4F37-8BD1-0DD9B6024A55}" name="Column1" dataDxfId="8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54" dataDxfId="52" headerRowBorderDxfId="53" tableBorderDxfId="51" totalsRowBorderDxfId="50">
  <autoFilter ref="AI1:AN26" xr:uid="{F8B5EC87-3095-445A-A980-2CFAA0A7B9A2}"/>
  <sortState xmlns:xlrd2="http://schemas.microsoft.com/office/spreadsheetml/2017/richdata2" ref="AI2:AL25">
    <sortCondition ref="AL1:AL25"/>
  </sortState>
  <tableColumns count="6">
    <tableColumn id="1" xr3:uid="{1B554ED3-7AAF-4192-827C-B071945474B8}" name="Crop" dataDxfId="49"/>
    <tableColumn id="2" xr3:uid="{35F435E0-8D8E-44D1-84BD-C2FF51C3F944}" name="P Offtake" dataDxfId="48"/>
    <tableColumn id="3" xr3:uid="{38465C9D-AA8F-443A-80F5-96D1F6258317}" name="K Offtake" dataDxfId="47"/>
    <tableColumn id="4" xr3:uid="{E0C0E6AF-5628-4BC3-9625-81A87B93D279}" name="Order" dataDxfId="46"/>
    <tableColumn id="5" xr3:uid="{ACDE1D9A-7F94-4404-BDDC-1235C32C758F}" name="Lime pH requirement" dataDxfId="45"/>
    <tableColumn id="6" xr3:uid="{B093C9DF-C4CF-4906-9658-89F446EB9C12}" name="Column1" dataDxfId="44"/>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12" dataDxfId="10" headerRowBorderDxfId="11" tableBorderDxfId="9" totalsRowBorderDxfId="8">
  <autoFilter ref="AI1:AN26" xr:uid="{F8B5EC87-3095-445A-A980-2CFAA0A7B9A2}"/>
  <sortState xmlns:xlrd2="http://schemas.microsoft.com/office/spreadsheetml/2017/richdata2" ref="AI2:AL25">
    <sortCondition ref="AL1:AL25"/>
  </sortState>
  <tableColumns count="6">
    <tableColumn id="1" xr3:uid="{C4B2E6E9-5990-417D-9E04-7933BDF1FC69}" name="Crop" dataDxfId="7"/>
    <tableColumn id="2" xr3:uid="{E74EF8D0-6C68-49B8-AE52-40C276CA5FC9}" name="P Offtake" dataDxfId="6"/>
    <tableColumn id="3" xr3:uid="{9E0A7857-36E3-482D-B4B2-65B90760417F}" name="K Offtake" dataDxfId="5"/>
    <tableColumn id="4" xr3:uid="{A78867D2-7566-4070-AF99-15EE4CEB1699}" name="Order" dataDxfId="4"/>
    <tableColumn id="5" xr3:uid="{240FD5FA-5659-468E-8544-C93086800EC9}" name="Lime pH requirement" dataDxfId="3"/>
    <tableColumn id="6" xr3:uid="{D5C8E9C3-9076-473B-AE62-DA32692BAABC}" name="Column1" dataDxfId="2"/>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topLeftCell="A46" zoomScale="90" zoomScaleNormal="90" workbookViewId="0">
      <selection activeCell="M5" sqref="M5"/>
    </sheetView>
  </sheetViews>
  <sheetFormatPr defaultColWidth="13.109375" defaultRowHeight="13.2" x14ac:dyDescent="0.3"/>
  <cols>
    <col min="1" max="1" width="13.109375" style="11"/>
    <col min="2" max="2" width="15.88671875" style="11" customWidth="1"/>
    <col min="3" max="3" width="20.5546875" style="11" customWidth="1"/>
    <col min="4" max="4" width="20.33203125" style="11" bestFit="1" customWidth="1"/>
    <col min="5" max="22" width="21.33203125" style="11" customWidth="1"/>
    <col min="23" max="26" width="13.109375" style="11"/>
    <col min="27" max="27" width="13.109375" style="11" hidden="1" customWidth="1"/>
    <col min="28" max="29" width="10.6640625" style="19" hidden="1" customWidth="1"/>
    <col min="30" max="30" width="19.6640625" style="19" hidden="1" customWidth="1"/>
    <col min="31" max="34" width="12.44140625" style="19" hidden="1" customWidth="1"/>
    <col min="35" max="35" width="27.6640625" style="19" hidden="1" customWidth="1"/>
    <col min="36" max="41" width="13.109375" style="11" hidden="1" customWidth="1"/>
    <col min="42" max="42" width="0" style="11" hidden="1" customWidth="1"/>
    <col min="43" max="16384" width="13.109375" style="11"/>
  </cols>
  <sheetData>
    <row r="1" spans="1:40" x14ac:dyDescent="0.25">
      <c r="A1" s="120" t="s">
        <v>41</v>
      </c>
      <c r="B1" s="120"/>
      <c r="C1" s="136" t="s">
        <v>160</v>
      </c>
      <c r="D1" s="137"/>
      <c r="E1" s="93" t="s">
        <v>45</v>
      </c>
      <c r="F1" s="95">
        <v>27.8</v>
      </c>
      <c r="G1" s="121" t="s">
        <v>43</v>
      </c>
      <c r="H1" s="122"/>
      <c r="I1" s="119">
        <v>5.8</v>
      </c>
      <c r="J1" s="120" t="s">
        <v>153</v>
      </c>
      <c r="K1" s="120"/>
      <c r="L1" s="119">
        <v>268</v>
      </c>
      <c r="AB1" s="18"/>
      <c r="AC1" s="18"/>
      <c r="AD1" s="30" t="s">
        <v>126</v>
      </c>
      <c r="AE1" s="17"/>
      <c r="AF1" s="17"/>
      <c r="AG1" s="18"/>
      <c r="AH1" s="18"/>
      <c r="AI1" s="40" t="s">
        <v>79</v>
      </c>
      <c r="AJ1" s="41" t="s">
        <v>94</v>
      </c>
      <c r="AK1" s="42" t="s">
        <v>95</v>
      </c>
      <c r="AL1" s="43" t="s">
        <v>125</v>
      </c>
      <c r="AM1" s="43" t="s">
        <v>131</v>
      </c>
      <c r="AN1" s="43" t="s">
        <v>111</v>
      </c>
    </row>
    <row r="2" spans="1:40" x14ac:dyDescent="0.25">
      <c r="A2" s="120" t="s">
        <v>87</v>
      </c>
      <c r="B2" s="120"/>
      <c r="C2" s="134" t="s">
        <v>161</v>
      </c>
      <c r="D2" s="135"/>
      <c r="E2" s="93" t="s">
        <v>109</v>
      </c>
      <c r="F2" s="119" t="s">
        <v>169</v>
      </c>
      <c r="G2" s="139" t="s">
        <v>110</v>
      </c>
      <c r="H2" s="140"/>
      <c r="I2" s="95"/>
      <c r="J2" s="120" t="s">
        <v>158</v>
      </c>
      <c r="K2" s="120"/>
      <c r="L2" s="119">
        <v>0.71</v>
      </c>
      <c r="AB2" s="30" t="s">
        <v>56</v>
      </c>
      <c r="AC2" s="17"/>
      <c r="AD2" s="30" t="s">
        <v>70</v>
      </c>
      <c r="AE2" s="17"/>
      <c r="AF2" s="17"/>
      <c r="AG2" s="44" t="s">
        <v>76</v>
      </c>
      <c r="AH2" s="18"/>
      <c r="AI2" s="45" t="s">
        <v>126</v>
      </c>
      <c r="AJ2" s="46">
        <v>0</v>
      </c>
      <c r="AK2" s="47">
        <v>0</v>
      </c>
      <c r="AL2" s="10">
        <v>0</v>
      </c>
      <c r="AM2" s="11">
        <v>0</v>
      </c>
      <c r="AN2" s="11">
        <v>0</v>
      </c>
    </row>
    <row r="3" spans="1:40" x14ac:dyDescent="0.25">
      <c r="A3" s="121" t="s">
        <v>42</v>
      </c>
      <c r="B3" s="122"/>
      <c r="C3" s="134" t="s">
        <v>162</v>
      </c>
      <c r="D3" s="135"/>
      <c r="E3" s="93" t="s">
        <v>108</v>
      </c>
      <c r="F3" s="31" t="s">
        <v>78</v>
      </c>
      <c r="G3" s="120" t="s">
        <v>159</v>
      </c>
      <c r="H3" s="120"/>
      <c r="I3" s="95"/>
      <c r="J3" s="121" t="s">
        <v>154</v>
      </c>
      <c r="K3" s="122"/>
      <c r="L3" s="95">
        <f>(L1/(L2*10000))*100</f>
        <v>3.774647887323944</v>
      </c>
      <c r="AB3" s="30" t="s">
        <v>57</v>
      </c>
      <c r="AC3" s="17"/>
      <c r="AD3" s="30" t="s">
        <v>71</v>
      </c>
      <c r="AE3" s="17"/>
      <c r="AF3" s="17"/>
      <c r="AG3" s="44" t="s">
        <v>77</v>
      </c>
      <c r="AH3" s="18"/>
      <c r="AI3" s="48" t="s">
        <v>113</v>
      </c>
      <c r="AJ3" s="49">
        <v>1.7</v>
      </c>
      <c r="AK3" s="50">
        <v>6</v>
      </c>
      <c r="AL3" s="51">
        <v>1</v>
      </c>
      <c r="AM3" s="11">
        <v>6.2</v>
      </c>
      <c r="AN3" s="11" t="s">
        <v>112</v>
      </c>
    </row>
    <row r="4" spans="1:40" x14ac:dyDescent="0.25">
      <c r="A4" s="120" t="s">
        <v>0</v>
      </c>
      <c r="B4" s="120"/>
      <c r="C4" s="136" t="s">
        <v>163</v>
      </c>
      <c r="D4" s="137"/>
      <c r="E4" s="94" t="s">
        <v>1</v>
      </c>
      <c r="F4" s="119" t="s">
        <v>166</v>
      </c>
      <c r="G4" s="120"/>
      <c r="H4" s="120"/>
      <c r="I4" s="95"/>
      <c r="J4" s="121"/>
      <c r="K4" s="122"/>
      <c r="L4" s="95"/>
      <c r="AB4" s="30" t="s">
        <v>52</v>
      </c>
      <c r="AC4" s="17"/>
      <c r="AD4" s="52" t="s">
        <v>72</v>
      </c>
      <c r="AE4" s="17"/>
      <c r="AF4" s="17"/>
      <c r="AG4" s="44" t="s">
        <v>78</v>
      </c>
      <c r="AH4" s="18"/>
      <c r="AI4" s="53" t="s">
        <v>124</v>
      </c>
      <c r="AJ4" s="54">
        <v>7</v>
      </c>
      <c r="AK4" s="55">
        <v>10.5</v>
      </c>
      <c r="AL4" s="11">
        <v>2</v>
      </c>
      <c r="AM4" s="11">
        <v>6.7</v>
      </c>
      <c r="AN4" s="11" t="s">
        <v>135</v>
      </c>
    </row>
    <row r="5" spans="1:40" x14ac:dyDescent="0.25">
      <c r="A5" s="120" t="s">
        <v>47</v>
      </c>
      <c r="B5" s="120"/>
      <c r="C5" s="138" t="s">
        <v>164</v>
      </c>
      <c r="D5" s="138"/>
      <c r="E5" s="94"/>
      <c r="F5" s="148"/>
      <c r="G5" s="120"/>
      <c r="H5" s="120"/>
      <c r="I5" s="95"/>
      <c r="J5" s="121"/>
      <c r="K5" s="122"/>
      <c r="L5" s="95"/>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x14ac:dyDescent="0.25">
      <c r="A7" s="126" t="s">
        <v>63</v>
      </c>
      <c r="B7" s="12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x14ac:dyDescent="0.25">
      <c r="A8" s="120" t="s">
        <v>2</v>
      </c>
      <c r="B8" s="120"/>
      <c r="C8" s="15">
        <v>1</v>
      </c>
      <c r="D8" s="15">
        <v>2</v>
      </c>
      <c r="E8" s="15">
        <v>3</v>
      </c>
      <c r="F8" s="15">
        <v>4</v>
      </c>
      <c r="G8" s="15">
        <v>7</v>
      </c>
      <c r="H8" s="15">
        <v>8</v>
      </c>
      <c r="I8" s="15">
        <v>20</v>
      </c>
      <c r="J8" s="15">
        <v>21</v>
      </c>
      <c r="K8" s="15">
        <v>22</v>
      </c>
      <c r="L8" s="15"/>
      <c r="M8" s="15"/>
      <c r="N8" s="15"/>
      <c r="O8" s="15"/>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x14ac:dyDescent="0.25">
      <c r="A9" s="120" t="s">
        <v>3</v>
      </c>
      <c r="B9" s="120"/>
      <c r="C9" s="15" t="s">
        <v>165</v>
      </c>
      <c r="D9" s="15" t="s">
        <v>165</v>
      </c>
      <c r="E9" s="15" t="s">
        <v>165</v>
      </c>
      <c r="F9" s="15" t="s">
        <v>165</v>
      </c>
      <c r="G9" s="15" t="s">
        <v>165</v>
      </c>
      <c r="H9" s="15" t="s">
        <v>165</v>
      </c>
      <c r="I9" s="15" t="s">
        <v>165</v>
      </c>
      <c r="J9" s="15" t="s">
        <v>165</v>
      </c>
      <c r="K9" s="15" t="s">
        <v>165</v>
      </c>
      <c r="L9" s="15"/>
      <c r="M9" s="15"/>
      <c r="N9" s="15"/>
      <c r="O9" s="15"/>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x14ac:dyDescent="0.25">
      <c r="A10" s="120" t="s">
        <v>4</v>
      </c>
      <c r="B10" s="120"/>
      <c r="C10" s="15">
        <v>5.6</v>
      </c>
      <c r="D10" s="15">
        <v>5.7</v>
      </c>
      <c r="E10" s="15">
        <v>6.8</v>
      </c>
      <c r="F10" s="15">
        <v>6.4</v>
      </c>
      <c r="G10" s="15">
        <v>6.2</v>
      </c>
      <c r="H10" s="15">
        <v>6.2</v>
      </c>
      <c r="I10" s="15">
        <v>6.1</v>
      </c>
      <c r="J10" s="15">
        <v>6.2</v>
      </c>
      <c r="K10" s="15">
        <v>6</v>
      </c>
      <c r="L10" s="15"/>
      <c r="M10" s="15"/>
      <c r="N10" s="15"/>
      <c r="O10" s="15"/>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x14ac:dyDescent="0.25">
      <c r="A11" s="120" t="s">
        <v>5</v>
      </c>
      <c r="B11" s="120"/>
      <c r="C11" s="15">
        <v>2</v>
      </c>
      <c r="D11" s="15">
        <v>3</v>
      </c>
      <c r="E11" s="15">
        <v>1</v>
      </c>
      <c r="F11" s="15">
        <v>3</v>
      </c>
      <c r="G11" s="15">
        <v>1</v>
      </c>
      <c r="H11" s="15">
        <v>1</v>
      </c>
      <c r="I11" s="15">
        <v>2</v>
      </c>
      <c r="J11" s="15">
        <v>1</v>
      </c>
      <c r="K11" s="15">
        <v>1</v>
      </c>
      <c r="L11" s="15"/>
      <c r="M11" s="15"/>
      <c r="N11" s="15"/>
      <c r="O11" s="15"/>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x14ac:dyDescent="0.25">
      <c r="A12" s="120" t="s">
        <v>6</v>
      </c>
      <c r="B12" s="120"/>
      <c r="C12" s="15">
        <v>2</v>
      </c>
      <c r="D12" s="15">
        <v>2</v>
      </c>
      <c r="E12" s="15">
        <v>1</v>
      </c>
      <c r="F12" s="15">
        <v>2</v>
      </c>
      <c r="G12" s="15">
        <v>1</v>
      </c>
      <c r="H12" s="15">
        <v>0</v>
      </c>
      <c r="I12" s="15">
        <v>1</v>
      </c>
      <c r="J12" s="15">
        <v>0</v>
      </c>
      <c r="K12" s="15">
        <v>0</v>
      </c>
      <c r="L12" s="15"/>
      <c r="M12" s="15"/>
      <c r="N12" s="15"/>
      <c r="O12" s="15"/>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x14ac:dyDescent="0.25">
      <c r="A13" s="120" t="s">
        <v>7</v>
      </c>
      <c r="B13" s="120"/>
      <c r="C13" s="15">
        <v>2</v>
      </c>
      <c r="D13" s="15">
        <v>2</v>
      </c>
      <c r="E13" s="15">
        <v>2</v>
      </c>
      <c r="F13" s="15">
        <v>3</v>
      </c>
      <c r="G13" s="15">
        <v>2</v>
      </c>
      <c r="H13" s="15">
        <v>2</v>
      </c>
      <c r="I13" s="15">
        <v>2</v>
      </c>
      <c r="J13" s="15">
        <v>2</v>
      </c>
      <c r="K13" s="15">
        <v>2</v>
      </c>
      <c r="L13" s="15"/>
      <c r="M13" s="15"/>
      <c r="N13" s="15"/>
      <c r="O13" s="15"/>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x14ac:dyDescent="0.25">
      <c r="A14" s="132" t="s">
        <v>8</v>
      </c>
      <c r="B14" s="132"/>
      <c r="C14" s="99" t="s">
        <v>113</v>
      </c>
      <c r="D14" s="99" t="s">
        <v>113</v>
      </c>
      <c r="E14" s="99" t="s">
        <v>113</v>
      </c>
      <c r="F14" s="99" t="s">
        <v>113</v>
      </c>
      <c r="G14" s="99" t="s">
        <v>113</v>
      </c>
      <c r="H14" s="99" t="s">
        <v>113</v>
      </c>
      <c r="I14" s="99" t="s">
        <v>113</v>
      </c>
      <c r="J14" s="99" t="s">
        <v>113</v>
      </c>
      <c r="K14" s="99" t="s">
        <v>113</v>
      </c>
      <c r="L14" s="99"/>
      <c r="M14" s="99"/>
      <c r="N14" s="99"/>
      <c r="O14" s="99"/>
      <c r="P14" s="99"/>
      <c r="Q14" s="99"/>
      <c r="R14" s="99"/>
      <c r="S14" s="99"/>
      <c r="T14" s="99"/>
      <c r="U14" s="99"/>
      <c r="V14" s="99"/>
      <c r="AD14" s="30" t="s">
        <v>138</v>
      </c>
      <c r="AE14" s="30">
        <v>6</v>
      </c>
      <c r="AI14" s="53" t="s">
        <v>119</v>
      </c>
      <c r="AJ14" s="54">
        <v>0.8</v>
      </c>
      <c r="AK14" s="55">
        <v>1.7</v>
      </c>
      <c r="AL14" s="11">
        <v>12</v>
      </c>
      <c r="AM14" s="11">
        <v>6.7</v>
      </c>
      <c r="AN14" s="11" t="s">
        <v>135</v>
      </c>
    </row>
    <row r="15" spans="1:40" x14ac:dyDescent="0.25">
      <c r="A15" s="131" t="s">
        <v>9</v>
      </c>
      <c r="B15" s="131"/>
      <c r="C15" s="15">
        <v>38</v>
      </c>
      <c r="D15" s="15">
        <v>38</v>
      </c>
      <c r="E15" s="15">
        <v>38</v>
      </c>
      <c r="F15" s="15">
        <v>38</v>
      </c>
      <c r="G15" s="15">
        <v>38</v>
      </c>
      <c r="H15" s="15">
        <v>38</v>
      </c>
      <c r="I15" s="15">
        <v>38</v>
      </c>
      <c r="J15" s="15">
        <v>38</v>
      </c>
      <c r="K15" s="15">
        <v>38</v>
      </c>
      <c r="L15" s="15"/>
      <c r="M15" s="15"/>
      <c r="N15" s="15"/>
      <c r="O15" s="15"/>
      <c r="P15" s="15"/>
      <c r="Q15" s="15"/>
      <c r="R15" s="15"/>
      <c r="S15" s="15"/>
      <c r="T15" s="15"/>
      <c r="U15" s="15"/>
      <c r="V15" s="15"/>
      <c r="AD15" s="30" t="s">
        <v>144</v>
      </c>
      <c r="AE15" s="30">
        <v>7</v>
      </c>
      <c r="AI15" s="53" t="s">
        <v>101</v>
      </c>
      <c r="AJ15" s="62">
        <v>1.8</v>
      </c>
      <c r="AK15" s="55">
        <v>5.4</v>
      </c>
      <c r="AL15" s="11">
        <v>13</v>
      </c>
      <c r="AM15" s="11">
        <v>6.7</v>
      </c>
      <c r="AN15" s="11" t="s">
        <v>135</v>
      </c>
    </row>
    <row r="16" spans="1:40" ht="13.8" thickBot="1" x14ac:dyDescent="0.3">
      <c r="A16" s="133" t="s">
        <v>44</v>
      </c>
      <c r="B16" s="133"/>
      <c r="C16" s="100" t="s">
        <v>72</v>
      </c>
      <c r="D16" s="100" t="s">
        <v>72</v>
      </c>
      <c r="E16" s="100" t="s">
        <v>72</v>
      </c>
      <c r="F16" s="100" t="s">
        <v>72</v>
      </c>
      <c r="G16" s="100" t="s">
        <v>72</v>
      </c>
      <c r="H16" s="100" t="s">
        <v>72</v>
      </c>
      <c r="I16" s="100" t="s">
        <v>72</v>
      </c>
      <c r="J16" s="100" t="s">
        <v>72</v>
      </c>
      <c r="K16" s="100" t="s">
        <v>72</v>
      </c>
      <c r="L16" s="100"/>
      <c r="M16" s="100"/>
      <c r="N16" s="100"/>
      <c r="O16" s="100"/>
      <c r="P16" s="100"/>
      <c r="Q16" s="100"/>
      <c r="R16" s="100"/>
      <c r="S16" s="100"/>
      <c r="T16" s="100"/>
      <c r="U16" s="100"/>
      <c r="V16" s="100"/>
      <c r="AD16" s="52" t="s">
        <v>145</v>
      </c>
      <c r="AE16" s="30">
        <v>8</v>
      </c>
      <c r="AI16" s="53" t="s">
        <v>118</v>
      </c>
      <c r="AJ16" s="54">
        <v>8</v>
      </c>
      <c r="AK16" s="55">
        <v>5.5</v>
      </c>
      <c r="AL16" s="12">
        <v>14</v>
      </c>
      <c r="AM16" s="11">
        <v>6.7</v>
      </c>
      <c r="AN16" s="11" t="s">
        <v>135</v>
      </c>
    </row>
    <row r="17" spans="1:40" x14ac:dyDescent="0.25">
      <c r="A17" s="123" t="s">
        <v>69</v>
      </c>
      <c r="B17" s="12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5" t="s">
        <v>23</v>
      </c>
      <c r="B18" s="126"/>
      <c r="C18" s="16">
        <f>$D31</f>
        <v>2.0022194500000001</v>
      </c>
      <c r="D18" s="16">
        <f>$D32</f>
        <v>2.0022194500000001</v>
      </c>
      <c r="E18" s="16">
        <f>$D33</f>
        <v>2.0022194500000001</v>
      </c>
      <c r="F18" s="16">
        <f>$D34</f>
        <v>2.0022194500000001</v>
      </c>
      <c r="G18" s="16">
        <f>$D35</f>
        <v>2.0022194500000001</v>
      </c>
      <c r="H18" s="16">
        <f>$D36</f>
        <v>2.0022194500000001</v>
      </c>
      <c r="I18" s="16">
        <f>$D37</f>
        <v>2.0022194500000001</v>
      </c>
      <c r="J18" s="16">
        <f>$D38</f>
        <v>2.0022194500000001</v>
      </c>
      <c r="K18" s="16">
        <f>$D39</f>
        <v>2.0022194500000001</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5" t="s">
        <v>90</v>
      </c>
      <c r="B19" s="126"/>
      <c r="C19" s="16">
        <f>C18-C17</f>
        <v>-62.597780549999996</v>
      </c>
      <c r="D19" s="16">
        <f t="shared" ref="D19:V19" si="1">D18-D17</f>
        <v>-62.597780549999996</v>
      </c>
      <c r="E19" s="16">
        <f t="shared" si="1"/>
        <v>-62.597780549999996</v>
      </c>
      <c r="F19" s="16">
        <f t="shared" si="1"/>
        <v>-62.597780549999996</v>
      </c>
      <c r="G19" s="16">
        <f t="shared" si="1"/>
        <v>-62.597780549999996</v>
      </c>
      <c r="H19" s="16">
        <f t="shared" si="1"/>
        <v>-62.597780549999996</v>
      </c>
      <c r="I19" s="16">
        <f t="shared" si="1"/>
        <v>-62.597780549999996</v>
      </c>
      <c r="J19" s="16">
        <f t="shared" si="1"/>
        <v>-62.597780549999996</v>
      </c>
      <c r="K19" s="16">
        <f t="shared" si="1"/>
        <v>-62.597780549999996</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27" t="s">
        <v>91</v>
      </c>
      <c r="B20" s="128"/>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3" t="s">
        <v>88</v>
      </c>
      <c r="B21" s="12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5" t="s">
        <v>89</v>
      </c>
      <c r="B22" s="126"/>
      <c r="C22" s="16">
        <f>$E31</f>
        <v>1.3676750000000004</v>
      </c>
      <c r="D22" s="16">
        <f>$E32</f>
        <v>1.3676750000000004</v>
      </c>
      <c r="E22" s="16">
        <f>$E33</f>
        <v>1.3676750000000004</v>
      </c>
      <c r="F22" s="16">
        <f>$E34</f>
        <v>1.3676750000000004</v>
      </c>
      <c r="G22" s="16">
        <f>$E35</f>
        <v>1.3676750000000004</v>
      </c>
      <c r="H22" s="16">
        <f>$E36</f>
        <v>1.3676750000000004</v>
      </c>
      <c r="I22" s="16">
        <f>$E37</f>
        <v>1.3676750000000004</v>
      </c>
      <c r="J22" s="16">
        <f>$E38</f>
        <v>1.3676750000000004</v>
      </c>
      <c r="K22" s="16">
        <f>$E39</f>
        <v>1.3676750000000004</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5" t="s">
        <v>92</v>
      </c>
      <c r="B23" s="126"/>
      <c r="C23" s="16">
        <f>C22-C21</f>
        <v>-226.63232500000001</v>
      </c>
      <c r="D23" s="16">
        <f t="shared" ref="D23:V23" si="3">D22-D21</f>
        <v>-226.63232500000001</v>
      </c>
      <c r="E23" s="16">
        <f t="shared" si="3"/>
        <v>-226.63232500000001</v>
      </c>
      <c r="F23" s="16">
        <f t="shared" si="3"/>
        <v>-226.63232500000001</v>
      </c>
      <c r="G23" s="16">
        <f t="shared" si="3"/>
        <v>-226.63232500000001</v>
      </c>
      <c r="H23" s="16">
        <f t="shared" si="3"/>
        <v>-226.63232500000001</v>
      </c>
      <c r="I23" s="16">
        <f t="shared" si="3"/>
        <v>-226.63232500000001</v>
      </c>
      <c r="J23" s="16">
        <f t="shared" si="3"/>
        <v>-226.63232500000001</v>
      </c>
      <c r="K23" s="16">
        <f t="shared" si="3"/>
        <v>-226.63232500000001</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27" t="s">
        <v>93</v>
      </c>
      <c r="B24" s="128"/>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8" t="s">
        <v>116</v>
      </c>
      <c r="AJ26" s="69">
        <v>0.7</v>
      </c>
      <c r="AK26" s="70">
        <v>2.4</v>
      </c>
      <c r="AL26" s="29">
        <v>24</v>
      </c>
      <c r="AM26" s="10">
        <v>6.7</v>
      </c>
      <c r="AN26" s="11" t="s">
        <v>135</v>
      </c>
    </row>
    <row r="27" spans="1:40" s="57" customFormat="1" x14ac:dyDescent="0.3">
      <c r="A27" s="105"/>
      <c r="B27" s="71"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t="s">
        <v>55</v>
      </c>
      <c r="S27" s="106" t="s">
        <v>55</v>
      </c>
      <c r="T27" s="106"/>
      <c r="U27" s="106"/>
    </row>
    <row r="28" spans="1:40" s="57" customFormat="1" x14ac:dyDescent="0.3">
      <c r="A28" s="107"/>
      <c r="B28" s="24">
        <v>2.27</v>
      </c>
      <c r="C28" s="15">
        <v>0.71</v>
      </c>
      <c r="D28" s="15">
        <v>1.54E-2</v>
      </c>
      <c r="E28" s="15">
        <v>0.02</v>
      </c>
      <c r="F28" s="15">
        <v>384</v>
      </c>
      <c r="G28" s="15">
        <v>5.12</v>
      </c>
      <c r="H28" s="15">
        <v>187</v>
      </c>
      <c r="I28" s="15">
        <v>26.7</v>
      </c>
      <c r="J28" s="15">
        <v>0.41</v>
      </c>
      <c r="K28" s="15">
        <v>0.89</v>
      </c>
      <c r="L28" s="15">
        <v>63.1</v>
      </c>
      <c r="M28" s="15">
        <v>7.38</v>
      </c>
      <c r="N28" s="15">
        <v>2700</v>
      </c>
      <c r="O28" s="15">
        <v>455000</v>
      </c>
      <c r="P28" s="15"/>
      <c r="Q28" s="15">
        <v>4620</v>
      </c>
      <c r="R28" s="15"/>
      <c r="S28" s="15">
        <v>13.6</v>
      </c>
      <c r="T28" s="15"/>
      <c r="U28" s="15"/>
    </row>
    <row r="29" spans="1:40" s="7" customFormat="1" ht="28.8" x14ac:dyDescent="0.3">
      <c r="A29" s="12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3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f>C8</f>
        <v>1</v>
      </c>
      <c r="B31" s="15">
        <v>250</v>
      </c>
      <c r="C31" s="77">
        <f>IF(C$27="%w/w SAR",((C$28*10)*$B31),IF(C$27="%w/w DM",(((C$28*10)*($B$28/100))*$B31),IF(C$27="kg/t SAR",(C$28*$B31),IF(C$27="kg/t DM",((C$28*($B$28/100))*$B31),IF(C$27="mg/kg SAR",((C$28*0.001)*$B31),IF(C$27="mg/kg DM",(((C$28*0.001)*($B$28/100))*$B31),0))))))</f>
        <v>40.292500000000004</v>
      </c>
      <c r="D31" s="77">
        <f>(IF(D$27="%w/w SAR",((D$28*10)*$B31),IF(D$27="%w/w DM",(((D$28*10)*($B$28/100))*$B31),IF(D$27="kg/t SAR",(D$28*$B31),IF(D$27="kg/t DM",((D$28*($B$28/100))*$B31),IF(D$27="mg/kg SAR",((D$28*0.001)*$B31),IF(D$27="mg/kg DM",(((D$28*0.001)*($B$28/100))*$B31),"0")))))))*2.291</f>
        <v>2.0022194500000001</v>
      </c>
      <c r="E31" s="77">
        <f>(IF(E$27="%w/w SAR",((E$28*10)*$B31),IF(E$27="%w/w DM",(((E$28*10)*($B$28/100))*$B31),IF(E$27="kg/t SAR",(E$28*$B31),IF(E$27="kg/t DM",((E$28*($B$28/100))*$B31),IF(E$27="mg/kg SAR",((E$28*0.001)*$B31),IF(E$27="mg/kg DM",(((E$28*0.001)*($B$28/100))*$B31),"0")))))))*1.205</f>
        <v>1.3676750000000004</v>
      </c>
      <c r="F31" s="77">
        <f>(IF(F$27="%w/w SAR",((F$28*10)*$B31),IF(F$27="%w/w DM",(((F$28*10)*($B$28/100))*$B31),IF(F$27="kg/t SAR",(F$28*$B31),IF(F$27="kg/t DM",((F$28*($B$28/100))*$B31),IF(F$27="mg/kg SAR",((F$28*0.001)*$B31),IF(F$27="mg/kg DM",(((F$28*0.001)*($B$28/100))*$B31),"0")))))))*1.658</f>
        <v>3.6131136000000001</v>
      </c>
      <c r="G31" s="77">
        <f t="shared" ref="G31:P31" si="5">IF(G$27="%w/w SAR",((G$28*10)*$B31),IF(G$27="%w/w DM",(((G$28*10)*($B$28/100))*$B31),IF(G$27="kg/t SAR",(G$28*$B31),IF(G$27="kg/t DM",((G$28*($B$28/100))*$B31),IF(G$27="mg/kg SAR",((G$28*0.001)*$B31),IF(G$27="mg/kg DM",(((G$28*0.001)*($B$28/100))*$B31),0))))))</f>
        <v>2.9056000000000005E-2</v>
      </c>
      <c r="H31" s="77">
        <f t="shared" si="5"/>
        <v>1.0612250000000001</v>
      </c>
      <c r="I31" s="77">
        <f t="shared" si="5"/>
        <v>0.15152250000000003</v>
      </c>
      <c r="J31" s="77">
        <f t="shared" si="5"/>
        <v>2.3267500000000003E-3</v>
      </c>
      <c r="K31" s="77">
        <f t="shared" si="5"/>
        <v>5.0507500000000006E-3</v>
      </c>
      <c r="L31" s="77">
        <f t="shared" si="5"/>
        <v>0.35809250000000004</v>
      </c>
      <c r="M31" s="77">
        <f t="shared" si="5"/>
        <v>4.1881500000000002E-2</v>
      </c>
      <c r="N31" s="77">
        <f t="shared" si="5"/>
        <v>15.322500000000003</v>
      </c>
      <c r="O31" s="77">
        <f t="shared" si="5"/>
        <v>2582.125</v>
      </c>
      <c r="P31" s="77">
        <f t="shared" si="5"/>
        <v>0</v>
      </c>
      <c r="Q31" s="77">
        <f>(IF(Q$27="%w/w SAR",((Q$28*10)*$B31),IF(Q$27="%w/w DM",(((Q$28*10)*($B$28/100))*$B31),IF(Q$27="kg/t SAR",(Q$28*$B31),IF(Q$27="kg/t DM",((Q$28*($B$28/100))*$B31),IF(Q$27="mg/kg SAR",((Q$28*0.001)*$B31),IF(Q$27="mg/kg DM",(((Q$28*0.001)*($B$28/100))*$B31),0)))))))*2.5</f>
        <v>65.546250000000001</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7.7179999999999999E-2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f>D8</f>
        <v>2</v>
      </c>
      <c r="B32" s="15">
        <v>250</v>
      </c>
      <c r="C32" s="77">
        <f t="shared" ref="C32:C50" si="6">IF(C$27="%w/w SAR",((C$28*10)*$B32),IF(C$27="%w/w DM",(((C$28*10)*($B$28/100))*$B32),IF(C$27="kg/t SAR",(C$28*$B32),IF(C$27="kg/t DM",((C$28*($B$28/100))*$B32),IF(C$27="mg/kg SAR",((C$28*0.001)*$B32),IF(C$27="mg/kg DM",(((C$28*0.001)*($B$28/100))*$B32),0))))))</f>
        <v>40.292500000000004</v>
      </c>
      <c r="D32" s="77">
        <f t="shared" ref="D32:D50" si="7">(IF(D$27="%w/w SAR",((D$28*10)*$B32),IF(D$27="%w/w DM",(((D$28*10)*($B$28/100))*$B32),IF(D$27="kg/t SAR",(D$28*$B32),IF(D$27="kg/t DM",((D$28*($B$28/100))*$B32),IF(D$27="mg/kg SAR",((D$28*0.001)*$B32),IF(D$27="mg/kg DM",(((D$28*0.001)*($B$28/100))*$B32),"0")))))))*2.291</f>
        <v>2.0022194500000001</v>
      </c>
      <c r="E32" s="77">
        <f t="shared" ref="E32:E50" si="8">(IF(E$27="%w/w SAR",((E$28*10)*$B32),IF(E$27="%w/w DM",(((E$28*10)*($B$28/100))*$B32),IF(E$27="kg/t SAR",(E$28*$B32),IF(E$27="kg/t DM",((E$28*($B$28/100))*$B32),IF(E$27="mg/kg SAR",((E$28*0.001)*$B32),IF(E$27="mg/kg DM",(((E$28*0.001)*($B$28/100))*$B32),"0")))))))*1.205</f>
        <v>1.3676750000000004</v>
      </c>
      <c r="F32" s="77">
        <f t="shared" ref="F32:F50" si="9">(IF(F$27="%w/w SAR",((F$28*10)*$B32),IF(F$27="%w/w DM",(((F$28*10)*($B$28/100))*$B32),IF(F$27="kg/t SAR",(F$28*$B32),IF(F$27="kg/t DM",((F$28*($B$28/100))*$B32),IF(F$27="mg/kg SAR",((F$28*0.001)*$B32),IF(F$27="mg/kg DM",(((F$28*0.001)*($B$28/100))*$B32),"0")))))))*1.658</f>
        <v>3.6131136000000001</v>
      </c>
      <c r="G32" s="77">
        <f t="shared" ref="G32:P50" si="10">IF(G$27="%w/w SAR",((G$28*10)*$B32),IF(G$27="%w/w DM",(((G$28*10)*($B$28/100))*$B32),IF(G$27="kg/t SAR",(G$28*$B32),IF(G$27="kg/t DM",((G$28*($B$28/100))*$B32),IF(G$27="mg/kg SAR",((G$28*0.001)*$B32),IF(G$27="mg/kg DM",(((G$28*0.001)*($B$28/100))*$B32),0))))))</f>
        <v>2.9056000000000005E-2</v>
      </c>
      <c r="H32" s="77">
        <f t="shared" si="10"/>
        <v>1.0612250000000001</v>
      </c>
      <c r="I32" s="77">
        <f t="shared" si="10"/>
        <v>0.15152250000000003</v>
      </c>
      <c r="J32" s="77">
        <f t="shared" si="10"/>
        <v>2.3267500000000003E-3</v>
      </c>
      <c r="K32" s="77">
        <f t="shared" si="10"/>
        <v>5.0507500000000006E-3</v>
      </c>
      <c r="L32" s="77">
        <f t="shared" si="10"/>
        <v>0.35809250000000004</v>
      </c>
      <c r="M32" s="77">
        <f t="shared" si="10"/>
        <v>4.1881500000000002E-2</v>
      </c>
      <c r="N32" s="77">
        <f t="shared" si="10"/>
        <v>15.322500000000003</v>
      </c>
      <c r="O32" s="77">
        <f t="shared" si="10"/>
        <v>2582.125</v>
      </c>
      <c r="P32" s="77">
        <f t="shared" si="10"/>
        <v>0</v>
      </c>
      <c r="Q32" s="77">
        <f t="shared" ref="Q32:Q50" si="11">(IF(Q$27="%w/w SAR",((Q$28*10)*$B32),IF(Q$27="%w/w DM",(((Q$28*10)*($B$28/100))*$B32),IF(Q$27="kg/t SAR",(Q$28*$B32),IF(Q$27="kg/t DM",((Q$28*($B$28/100))*$B32),IF(Q$27="mg/kg SAR",((Q$28*0.001)*$B32),IF(Q$27="mg/kg DM",(((Q$28*0.001)*($B$28/100))*$B32),0)))))))*2.5</f>
        <v>65.546250000000001</v>
      </c>
      <c r="R32" s="77">
        <f t="shared" ref="R32:U50" si="12">IF(R$27="%w/w SAR",((R$28*10)*$B32),IF(R$27="%w/w DM",(((R$28*10)*($B$28/100))*$B32),IF(R$27="kg/t SAR",(R$28*$B32),IF(R$27="kg/t DM",((R$28*($B$28/100))*$B32),IF(R$27="mg/kg SAR",((R$28*0.001)*$B32),IF(R$27="mg/kg DM",(((R$28*0.001)*($B$28/100))*$B32),0))))))</f>
        <v>0</v>
      </c>
      <c r="S32" s="77">
        <f t="shared" si="12"/>
        <v>7.7179999999999999E-2</v>
      </c>
      <c r="T32" s="77">
        <f t="shared" si="12"/>
        <v>0</v>
      </c>
      <c r="U32" s="77">
        <f t="shared" si="12"/>
        <v>0</v>
      </c>
      <c r="AB32" s="59"/>
      <c r="AC32" s="59"/>
      <c r="AD32" s="59"/>
      <c r="AE32" s="59"/>
      <c r="AF32" s="59"/>
      <c r="AG32" s="59"/>
      <c r="AH32" s="59"/>
      <c r="AI32" s="59"/>
    </row>
    <row r="33" spans="1:35" s="72" customFormat="1" x14ac:dyDescent="0.3">
      <c r="A33" s="13">
        <f>E8</f>
        <v>3</v>
      </c>
      <c r="B33" s="15">
        <v>250</v>
      </c>
      <c r="C33" s="77">
        <f t="shared" si="6"/>
        <v>40.292500000000004</v>
      </c>
      <c r="D33" s="77">
        <f t="shared" si="7"/>
        <v>2.0022194500000001</v>
      </c>
      <c r="E33" s="77">
        <f t="shared" si="8"/>
        <v>1.3676750000000004</v>
      </c>
      <c r="F33" s="77">
        <f t="shared" si="9"/>
        <v>3.6131136000000001</v>
      </c>
      <c r="G33" s="77">
        <f t="shared" si="10"/>
        <v>2.9056000000000005E-2</v>
      </c>
      <c r="H33" s="77">
        <f t="shared" si="10"/>
        <v>1.0612250000000001</v>
      </c>
      <c r="I33" s="77">
        <f t="shared" si="10"/>
        <v>0.15152250000000003</v>
      </c>
      <c r="J33" s="77">
        <f t="shared" si="10"/>
        <v>2.3267500000000003E-3</v>
      </c>
      <c r="K33" s="77">
        <f t="shared" si="10"/>
        <v>5.0507500000000006E-3</v>
      </c>
      <c r="L33" s="77">
        <f t="shared" si="10"/>
        <v>0.35809250000000004</v>
      </c>
      <c r="M33" s="77">
        <f t="shared" si="10"/>
        <v>4.1881500000000002E-2</v>
      </c>
      <c r="N33" s="77">
        <f t="shared" si="10"/>
        <v>15.322500000000003</v>
      </c>
      <c r="O33" s="77">
        <f t="shared" si="10"/>
        <v>2582.125</v>
      </c>
      <c r="P33" s="77">
        <f t="shared" si="10"/>
        <v>0</v>
      </c>
      <c r="Q33" s="77">
        <f t="shared" si="11"/>
        <v>65.546250000000001</v>
      </c>
      <c r="R33" s="77">
        <f t="shared" si="12"/>
        <v>0</v>
      </c>
      <c r="S33" s="77">
        <f t="shared" si="12"/>
        <v>7.7179999999999999E-2</v>
      </c>
      <c r="T33" s="77">
        <f t="shared" si="12"/>
        <v>0</v>
      </c>
      <c r="U33" s="77">
        <f t="shared" si="12"/>
        <v>0</v>
      </c>
      <c r="AB33" s="59"/>
      <c r="AC33" s="59"/>
      <c r="AD33" s="59"/>
      <c r="AE33" s="59"/>
      <c r="AF33" s="59"/>
      <c r="AG33" s="59"/>
      <c r="AH33" s="59"/>
      <c r="AI33" s="59"/>
    </row>
    <row r="34" spans="1:35" s="72" customFormat="1" x14ac:dyDescent="0.3">
      <c r="A34" s="13">
        <f>F8</f>
        <v>4</v>
      </c>
      <c r="B34" s="15">
        <v>250</v>
      </c>
      <c r="C34" s="77">
        <f t="shared" si="6"/>
        <v>40.292500000000004</v>
      </c>
      <c r="D34" s="77">
        <f t="shared" si="7"/>
        <v>2.0022194500000001</v>
      </c>
      <c r="E34" s="77">
        <f t="shared" si="8"/>
        <v>1.3676750000000004</v>
      </c>
      <c r="F34" s="77">
        <f t="shared" si="9"/>
        <v>3.6131136000000001</v>
      </c>
      <c r="G34" s="77">
        <f t="shared" si="10"/>
        <v>2.9056000000000005E-2</v>
      </c>
      <c r="H34" s="77">
        <f t="shared" si="10"/>
        <v>1.0612250000000001</v>
      </c>
      <c r="I34" s="77">
        <f t="shared" si="10"/>
        <v>0.15152250000000003</v>
      </c>
      <c r="J34" s="77">
        <f t="shared" si="10"/>
        <v>2.3267500000000003E-3</v>
      </c>
      <c r="K34" s="77">
        <f t="shared" si="10"/>
        <v>5.0507500000000006E-3</v>
      </c>
      <c r="L34" s="77">
        <f t="shared" si="10"/>
        <v>0.35809250000000004</v>
      </c>
      <c r="M34" s="77">
        <f t="shared" si="10"/>
        <v>4.1881500000000002E-2</v>
      </c>
      <c r="N34" s="77">
        <f t="shared" si="10"/>
        <v>15.322500000000003</v>
      </c>
      <c r="O34" s="77">
        <f t="shared" si="10"/>
        <v>2582.125</v>
      </c>
      <c r="P34" s="77">
        <f t="shared" si="10"/>
        <v>0</v>
      </c>
      <c r="Q34" s="77">
        <f t="shared" si="11"/>
        <v>65.546250000000001</v>
      </c>
      <c r="R34" s="77">
        <f t="shared" si="12"/>
        <v>0</v>
      </c>
      <c r="S34" s="77">
        <f t="shared" si="12"/>
        <v>7.7179999999999999E-2</v>
      </c>
      <c r="T34" s="77">
        <f t="shared" si="12"/>
        <v>0</v>
      </c>
      <c r="U34" s="77">
        <f t="shared" si="12"/>
        <v>0</v>
      </c>
      <c r="AB34" s="59"/>
      <c r="AC34" s="59"/>
      <c r="AD34" s="59"/>
      <c r="AE34" s="59"/>
      <c r="AF34" s="59"/>
      <c r="AG34" s="59"/>
      <c r="AH34" s="59"/>
      <c r="AI34" s="59"/>
    </row>
    <row r="35" spans="1:35" s="72" customFormat="1" x14ac:dyDescent="0.3">
      <c r="A35" s="13">
        <f>G8</f>
        <v>7</v>
      </c>
      <c r="B35" s="15">
        <v>250</v>
      </c>
      <c r="C35" s="77">
        <f t="shared" si="6"/>
        <v>40.292500000000004</v>
      </c>
      <c r="D35" s="77">
        <f t="shared" si="7"/>
        <v>2.0022194500000001</v>
      </c>
      <c r="E35" s="77">
        <f t="shared" si="8"/>
        <v>1.3676750000000004</v>
      </c>
      <c r="F35" s="77">
        <f t="shared" si="9"/>
        <v>3.6131136000000001</v>
      </c>
      <c r="G35" s="77">
        <f t="shared" si="10"/>
        <v>2.9056000000000005E-2</v>
      </c>
      <c r="H35" s="77">
        <f t="shared" si="10"/>
        <v>1.0612250000000001</v>
      </c>
      <c r="I35" s="77">
        <f t="shared" si="10"/>
        <v>0.15152250000000003</v>
      </c>
      <c r="J35" s="77">
        <f t="shared" si="10"/>
        <v>2.3267500000000003E-3</v>
      </c>
      <c r="K35" s="77">
        <f t="shared" si="10"/>
        <v>5.0507500000000006E-3</v>
      </c>
      <c r="L35" s="77">
        <f t="shared" si="10"/>
        <v>0.35809250000000004</v>
      </c>
      <c r="M35" s="77">
        <f t="shared" si="10"/>
        <v>4.1881500000000002E-2</v>
      </c>
      <c r="N35" s="77">
        <f t="shared" si="10"/>
        <v>15.322500000000003</v>
      </c>
      <c r="O35" s="77">
        <f t="shared" si="10"/>
        <v>2582.125</v>
      </c>
      <c r="P35" s="77">
        <f t="shared" si="10"/>
        <v>0</v>
      </c>
      <c r="Q35" s="77">
        <f t="shared" si="11"/>
        <v>65.546250000000001</v>
      </c>
      <c r="R35" s="77">
        <f t="shared" si="12"/>
        <v>0</v>
      </c>
      <c r="S35" s="77">
        <f t="shared" si="12"/>
        <v>7.7179999999999999E-2</v>
      </c>
      <c r="T35" s="77">
        <f t="shared" si="12"/>
        <v>0</v>
      </c>
      <c r="U35" s="77">
        <f t="shared" si="12"/>
        <v>0</v>
      </c>
      <c r="AB35" s="59"/>
      <c r="AC35" s="59"/>
      <c r="AD35" s="59"/>
      <c r="AE35" s="59"/>
      <c r="AF35" s="59"/>
      <c r="AG35" s="59"/>
      <c r="AH35" s="59"/>
      <c r="AI35" s="59"/>
    </row>
    <row r="36" spans="1:35" s="72" customFormat="1" x14ac:dyDescent="0.3">
      <c r="A36" s="13">
        <f>H8</f>
        <v>8</v>
      </c>
      <c r="B36" s="15">
        <v>250</v>
      </c>
      <c r="C36" s="77">
        <f t="shared" si="6"/>
        <v>40.292500000000004</v>
      </c>
      <c r="D36" s="77">
        <f t="shared" si="7"/>
        <v>2.0022194500000001</v>
      </c>
      <c r="E36" s="77">
        <f t="shared" si="8"/>
        <v>1.3676750000000004</v>
      </c>
      <c r="F36" s="77">
        <f t="shared" si="9"/>
        <v>3.6131136000000001</v>
      </c>
      <c r="G36" s="77">
        <f t="shared" si="10"/>
        <v>2.9056000000000005E-2</v>
      </c>
      <c r="H36" s="77">
        <f t="shared" si="10"/>
        <v>1.0612250000000001</v>
      </c>
      <c r="I36" s="77">
        <f t="shared" si="10"/>
        <v>0.15152250000000003</v>
      </c>
      <c r="J36" s="77">
        <f t="shared" si="10"/>
        <v>2.3267500000000003E-3</v>
      </c>
      <c r="K36" s="77">
        <f t="shared" si="10"/>
        <v>5.0507500000000006E-3</v>
      </c>
      <c r="L36" s="77">
        <f t="shared" si="10"/>
        <v>0.35809250000000004</v>
      </c>
      <c r="M36" s="77">
        <f t="shared" si="10"/>
        <v>4.1881500000000002E-2</v>
      </c>
      <c r="N36" s="77">
        <f t="shared" si="10"/>
        <v>15.322500000000003</v>
      </c>
      <c r="O36" s="77">
        <f t="shared" si="10"/>
        <v>2582.125</v>
      </c>
      <c r="P36" s="77">
        <f t="shared" si="10"/>
        <v>0</v>
      </c>
      <c r="Q36" s="77">
        <f t="shared" si="11"/>
        <v>65.546250000000001</v>
      </c>
      <c r="R36" s="77">
        <f t="shared" si="12"/>
        <v>0</v>
      </c>
      <c r="S36" s="77">
        <f t="shared" si="12"/>
        <v>7.7179999999999999E-2</v>
      </c>
      <c r="T36" s="77">
        <f t="shared" si="12"/>
        <v>0</v>
      </c>
      <c r="U36" s="77">
        <f t="shared" si="12"/>
        <v>0</v>
      </c>
      <c r="AB36" s="59"/>
      <c r="AC36" s="59"/>
      <c r="AD36" s="59"/>
      <c r="AE36" s="59"/>
      <c r="AF36" s="59"/>
      <c r="AG36" s="59"/>
      <c r="AH36" s="59"/>
      <c r="AI36" s="59"/>
    </row>
    <row r="37" spans="1:35" s="72" customFormat="1" x14ac:dyDescent="0.3">
      <c r="A37" s="13">
        <f>I8</f>
        <v>20</v>
      </c>
      <c r="B37" s="15">
        <v>250</v>
      </c>
      <c r="C37" s="77">
        <f t="shared" si="6"/>
        <v>40.292500000000004</v>
      </c>
      <c r="D37" s="77">
        <f t="shared" si="7"/>
        <v>2.0022194500000001</v>
      </c>
      <c r="E37" s="77">
        <f t="shared" si="8"/>
        <v>1.3676750000000004</v>
      </c>
      <c r="F37" s="77">
        <f t="shared" si="9"/>
        <v>3.6131136000000001</v>
      </c>
      <c r="G37" s="77">
        <f t="shared" si="10"/>
        <v>2.9056000000000005E-2</v>
      </c>
      <c r="H37" s="77">
        <f t="shared" si="10"/>
        <v>1.0612250000000001</v>
      </c>
      <c r="I37" s="77">
        <f t="shared" si="10"/>
        <v>0.15152250000000003</v>
      </c>
      <c r="J37" s="77">
        <f t="shared" si="10"/>
        <v>2.3267500000000003E-3</v>
      </c>
      <c r="K37" s="77">
        <f t="shared" si="10"/>
        <v>5.0507500000000006E-3</v>
      </c>
      <c r="L37" s="77">
        <f t="shared" si="10"/>
        <v>0.35809250000000004</v>
      </c>
      <c r="M37" s="77">
        <f t="shared" si="10"/>
        <v>4.1881500000000002E-2</v>
      </c>
      <c r="N37" s="77">
        <f t="shared" si="10"/>
        <v>15.322500000000003</v>
      </c>
      <c r="O37" s="77">
        <f t="shared" si="10"/>
        <v>2582.125</v>
      </c>
      <c r="P37" s="77">
        <f t="shared" si="10"/>
        <v>0</v>
      </c>
      <c r="Q37" s="77">
        <f t="shared" si="11"/>
        <v>65.546250000000001</v>
      </c>
      <c r="R37" s="77">
        <f t="shared" si="12"/>
        <v>0</v>
      </c>
      <c r="S37" s="77">
        <f t="shared" si="12"/>
        <v>7.7179999999999999E-2</v>
      </c>
      <c r="T37" s="77">
        <f t="shared" si="12"/>
        <v>0</v>
      </c>
      <c r="U37" s="77">
        <f t="shared" si="12"/>
        <v>0</v>
      </c>
      <c r="AB37" s="59"/>
      <c r="AC37" s="59"/>
      <c r="AD37" s="59"/>
      <c r="AE37" s="59"/>
      <c r="AF37" s="59"/>
      <c r="AG37" s="59"/>
      <c r="AH37" s="59"/>
      <c r="AI37" s="59"/>
    </row>
    <row r="38" spans="1:35" s="72" customFormat="1" x14ac:dyDescent="0.3">
      <c r="A38" s="13">
        <f>J8</f>
        <v>21</v>
      </c>
      <c r="B38" s="15">
        <v>250</v>
      </c>
      <c r="C38" s="77">
        <f t="shared" si="6"/>
        <v>40.292500000000004</v>
      </c>
      <c r="D38" s="77">
        <f t="shared" si="7"/>
        <v>2.0022194500000001</v>
      </c>
      <c r="E38" s="77">
        <f t="shared" si="8"/>
        <v>1.3676750000000004</v>
      </c>
      <c r="F38" s="77">
        <f t="shared" si="9"/>
        <v>3.6131136000000001</v>
      </c>
      <c r="G38" s="77">
        <f t="shared" si="10"/>
        <v>2.9056000000000005E-2</v>
      </c>
      <c r="H38" s="77">
        <f t="shared" si="10"/>
        <v>1.0612250000000001</v>
      </c>
      <c r="I38" s="77">
        <f t="shared" si="10"/>
        <v>0.15152250000000003</v>
      </c>
      <c r="J38" s="77">
        <f t="shared" si="10"/>
        <v>2.3267500000000003E-3</v>
      </c>
      <c r="K38" s="77">
        <f t="shared" si="10"/>
        <v>5.0507500000000006E-3</v>
      </c>
      <c r="L38" s="77">
        <f t="shared" si="10"/>
        <v>0.35809250000000004</v>
      </c>
      <c r="M38" s="77">
        <f t="shared" si="10"/>
        <v>4.1881500000000002E-2</v>
      </c>
      <c r="N38" s="77">
        <f t="shared" si="10"/>
        <v>15.322500000000003</v>
      </c>
      <c r="O38" s="77">
        <f t="shared" si="10"/>
        <v>2582.125</v>
      </c>
      <c r="P38" s="77">
        <f t="shared" si="10"/>
        <v>0</v>
      </c>
      <c r="Q38" s="77">
        <f t="shared" si="11"/>
        <v>65.546250000000001</v>
      </c>
      <c r="R38" s="77">
        <f t="shared" si="12"/>
        <v>0</v>
      </c>
      <c r="S38" s="77">
        <f t="shared" si="12"/>
        <v>7.7179999999999999E-2</v>
      </c>
      <c r="T38" s="77">
        <f t="shared" si="12"/>
        <v>0</v>
      </c>
      <c r="U38" s="77">
        <f t="shared" si="12"/>
        <v>0</v>
      </c>
      <c r="AB38" s="59"/>
      <c r="AC38" s="59"/>
      <c r="AD38" s="59"/>
      <c r="AE38" s="59"/>
      <c r="AF38" s="59"/>
      <c r="AG38" s="59"/>
      <c r="AH38" s="59"/>
      <c r="AI38" s="59"/>
    </row>
    <row r="39" spans="1:35" s="72" customFormat="1" x14ac:dyDescent="0.3">
      <c r="A39" s="13">
        <f>K8</f>
        <v>22</v>
      </c>
      <c r="B39" s="15">
        <v>250</v>
      </c>
      <c r="C39" s="77">
        <f t="shared" si="6"/>
        <v>40.292500000000004</v>
      </c>
      <c r="D39" s="77">
        <f t="shared" si="7"/>
        <v>2.0022194500000001</v>
      </c>
      <c r="E39" s="77">
        <f t="shared" si="8"/>
        <v>1.3676750000000004</v>
      </c>
      <c r="F39" s="77">
        <f t="shared" si="9"/>
        <v>3.6131136000000001</v>
      </c>
      <c r="G39" s="77">
        <f t="shared" si="10"/>
        <v>2.9056000000000005E-2</v>
      </c>
      <c r="H39" s="77">
        <f t="shared" si="10"/>
        <v>1.0612250000000001</v>
      </c>
      <c r="I39" s="77">
        <f t="shared" si="10"/>
        <v>0.15152250000000003</v>
      </c>
      <c r="J39" s="77">
        <f t="shared" si="10"/>
        <v>2.3267500000000003E-3</v>
      </c>
      <c r="K39" s="77">
        <f t="shared" si="10"/>
        <v>5.0507500000000006E-3</v>
      </c>
      <c r="L39" s="77">
        <f t="shared" si="10"/>
        <v>0.35809250000000004</v>
      </c>
      <c r="M39" s="77">
        <f t="shared" si="10"/>
        <v>4.1881500000000002E-2</v>
      </c>
      <c r="N39" s="77">
        <f t="shared" si="10"/>
        <v>15.322500000000003</v>
      </c>
      <c r="O39" s="77">
        <f t="shared" si="10"/>
        <v>2582.125</v>
      </c>
      <c r="P39" s="77">
        <f t="shared" si="10"/>
        <v>0</v>
      </c>
      <c r="Q39" s="77">
        <f t="shared" si="11"/>
        <v>65.546250000000001</v>
      </c>
      <c r="R39" s="77">
        <f t="shared" si="12"/>
        <v>0</v>
      </c>
      <c r="S39" s="77">
        <f t="shared" si="12"/>
        <v>7.7179999999999999E-2</v>
      </c>
      <c r="T39" s="77">
        <f t="shared" si="12"/>
        <v>0</v>
      </c>
      <c r="U39" s="77">
        <f t="shared" si="12"/>
        <v>0</v>
      </c>
      <c r="AB39" s="59"/>
      <c r="AC39" s="59"/>
      <c r="AD39" s="59"/>
      <c r="AE39" s="59"/>
      <c r="AF39" s="59"/>
      <c r="AG39" s="59"/>
      <c r="AH39" s="59"/>
      <c r="AI39" s="59"/>
    </row>
    <row r="40" spans="1:35" s="72" customFormat="1" x14ac:dyDescent="0.3">
      <c r="A40" s="13">
        <f>L8</f>
        <v>0</v>
      </c>
      <c r="B40" s="15"/>
      <c r="C40" s="77">
        <f t="shared" si="6"/>
        <v>0</v>
      </c>
      <c r="D40" s="77">
        <f t="shared" si="7"/>
        <v>0</v>
      </c>
      <c r="E40" s="77">
        <f t="shared" si="8"/>
        <v>0</v>
      </c>
      <c r="F40" s="77">
        <f t="shared" si="9"/>
        <v>0</v>
      </c>
      <c r="G40" s="77">
        <f t="shared" si="10"/>
        <v>0</v>
      </c>
      <c r="H40" s="77">
        <f t="shared" si="10"/>
        <v>0</v>
      </c>
      <c r="I40" s="77">
        <f t="shared" si="10"/>
        <v>0</v>
      </c>
      <c r="J40" s="77">
        <f t="shared" si="10"/>
        <v>0</v>
      </c>
      <c r="K40" s="77">
        <f t="shared" si="10"/>
        <v>0</v>
      </c>
      <c r="L40" s="77">
        <f t="shared" si="10"/>
        <v>0</v>
      </c>
      <c r="M40" s="77">
        <f t="shared" si="10"/>
        <v>0</v>
      </c>
      <c r="N40" s="77">
        <f t="shared" si="10"/>
        <v>0</v>
      </c>
      <c r="O40" s="77">
        <f t="shared" si="10"/>
        <v>0</v>
      </c>
      <c r="P40" s="77">
        <f t="shared" si="10"/>
        <v>0</v>
      </c>
      <c r="Q40" s="77">
        <f t="shared" si="11"/>
        <v>0</v>
      </c>
      <c r="R40" s="77">
        <f t="shared" si="12"/>
        <v>0</v>
      </c>
      <c r="S40" s="77">
        <f t="shared" si="12"/>
        <v>0</v>
      </c>
      <c r="T40" s="77">
        <f t="shared" si="12"/>
        <v>0</v>
      </c>
      <c r="U40" s="77">
        <f t="shared" si="12"/>
        <v>0</v>
      </c>
      <c r="AB40" s="59"/>
      <c r="AC40" s="59"/>
      <c r="AD40" s="59"/>
      <c r="AE40" s="59"/>
      <c r="AF40" s="59"/>
      <c r="AG40" s="59"/>
      <c r="AH40" s="59"/>
      <c r="AI40" s="59"/>
    </row>
    <row r="41" spans="1:35" s="72" customFormat="1" x14ac:dyDescent="0.3">
      <c r="A41" s="13">
        <f>M8</f>
        <v>0</v>
      </c>
      <c r="B41" s="15"/>
      <c r="C41" s="77">
        <f t="shared" si="6"/>
        <v>0</v>
      </c>
      <c r="D41" s="77">
        <f t="shared" si="7"/>
        <v>0</v>
      </c>
      <c r="E41" s="77">
        <f t="shared" si="8"/>
        <v>0</v>
      </c>
      <c r="F41" s="77">
        <f t="shared" si="9"/>
        <v>0</v>
      </c>
      <c r="G41" s="77">
        <f t="shared" si="10"/>
        <v>0</v>
      </c>
      <c r="H41" s="77">
        <f t="shared" si="10"/>
        <v>0</v>
      </c>
      <c r="I41" s="77">
        <f t="shared" si="10"/>
        <v>0</v>
      </c>
      <c r="J41" s="77">
        <f t="shared" si="10"/>
        <v>0</v>
      </c>
      <c r="K41" s="77">
        <f t="shared" si="10"/>
        <v>0</v>
      </c>
      <c r="L41" s="77">
        <f t="shared" si="10"/>
        <v>0</v>
      </c>
      <c r="M41" s="77">
        <f t="shared" si="10"/>
        <v>0</v>
      </c>
      <c r="N41" s="77">
        <f t="shared" si="10"/>
        <v>0</v>
      </c>
      <c r="O41" s="77">
        <f t="shared" si="10"/>
        <v>0</v>
      </c>
      <c r="P41" s="77">
        <f t="shared" si="10"/>
        <v>0</v>
      </c>
      <c r="Q41" s="77">
        <f t="shared" si="11"/>
        <v>0</v>
      </c>
      <c r="R41" s="77">
        <f t="shared" si="12"/>
        <v>0</v>
      </c>
      <c r="S41" s="77">
        <f t="shared" si="12"/>
        <v>0</v>
      </c>
      <c r="T41" s="77">
        <f t="shared" si="12"/>
        <v>0</v>
      </c>
      <c r="U41" s="77">
        <f t="shared" si="12"/>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8" thickBot="1" x14ac:dyDescent="0.35">
      <c r="A50" s="14">
        <f>V8</f>
        <v>0</v>
      </c>
      <c r="B50" s="15"/>
      <c r="C50" s="97">
        <f t="shared" si="6"/>
        <v>0</v>
      </c>
      <c r="D50" s="97">
        <f t="shared" si="7"/>
        <v>0</v>
      </c>
      <c r="E50" s="97">
        <f t="shared" si="8"/>
        <v>0</v>
      </c>
      <c r="F50" s="97">
        <f t="shared" si="9"/>
        <v>0</v>
      </c>
      <c r="G50" s="97">
        <f t="shared" si="10"/>
        <v>0</v>
      </c>
      <c r="H50" s="97">
        <f t="shared" si="10"/>
        <v>0</v>
      </c>
      <c r="I50" s="97">
        <f t="shared" si="10"/>
        <v>0</v>
      </c>
      <c r="J50" s="97">
        <f t="shared" si="10"/>
        <v>0</v>
      </c>
      <c r="K50" s="97">
        <f t="shared" si="10"/>
        <v>0</v>
      </c>
      <c r="L50" s="97">
        <f t="shared" si="10"/>
        <v>0</v>
      </c>
      <c r="M50" s="97">
        <f t="shared" si="10"/>
        <v>0</v>
      </c>
      <c r="N50" s="97">
        <f t="shared" si="10"/>
        <v>0</v>
      </c>
      <c r="O50" s="97">
        <f t="shared" si="10"/>
        <v>0</v>
      </c>
      <c r="P50" s="97">
        <f t="shared" si="10"/>
        <v>0</v>
      </c>
      <c r="Q50" s="97">
        <f t="shared" si="11"/>
        <v>0</v>
      </c>
      <c r="R50" s="97">
        <f t="shared" si="12"/>
        <v>0</v>
      </c>
      <c r="S50" s="97">
        <f t="shared" si="12"/>
        <v>0</v>
      </c>
      <c r="T50" s="97">
        <f t="shared" si="12"/>
        <v>0</v>
      </c>
      <c r="U50" s="97">
        <f t="shared" si="12"/>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f>C8</f>
        <v>1</v>
      </c>
      <c r="C57" s="8">
        <f t="shared" ref="C57:U57" si="13">D8</f>
        <v>2</v>
      </c>
      <c r="D57" s="8">
        <f t="shared" si="13"/>
        <v>3</v>
      </c>
      <c r="E57" s="8">
        <f t="shared" si="13"/>
        <v>4</v>
      </c>
      <c r="F57" s="8">
        <f t="shared" si="13"/>
        <v>7</v>
      </c>
      <c r="G57" s="8">
        <f t="shared" si="13"/>
        <v>8</v>
      </c>
      <c r="H57" s="8">
        <f t="shared" si="13"/>
        <v>20</v>
      </c>
      <c r="I57" s="8">
        <f t="shared" si="13"/>
        <v>21</v>
      </c>
      <c r="J57" s="8">
        <f t="shared" si="13"/>
        <v>22</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e">
        <f>L16&amp;" I "&amp;(VLOOKUP(L14,Table24[],6,FALSE))</f>
        <v>#N/A</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x14ac:dyDescent="0.25">
      <c r="A59" s="110" t="s">
        <v>132</v>
      </c>
      <c r="B59" s="76">
        <f>VLOOKUP(C$14,Table24[],5,FALSE)</f>
        <v>6.2</v>
      </c>
      <c r="C59" s="76">
        <f>VLOOKUP(D$14,Table24[],5,FALSE)</f>
        <v>6.2</v>
      </c>
      <c r="D59" s="76">
        <f>VLOOKUP(E$14,Table24[],5,FALSE)</f>
        <v>6.2</v>
      </c>
      <c r="E59" s="76">
        <f>VLOOKUP(F$14,Table24[],5,FALSE)</f>
        <v>6.2</v>
      </c>
      <c r="F59" s="76">
        <f>VLOOKUP(G$14,Table24[],5,FALSE)</f>
        <v>6.2</v>
      </c>
      <c r="G59" s="76">
        <f>VLOOKUP(H$14,Table24[],5,FALSE)</f>
        <v>6.2</v>
      </c>
      <c r="H59" s="76">
        <f>VLOOKUP(I$14,Table24[],5,FALSE)</f>
        <v>6.2</v>
      </c>
      <c r="I59" s="76">
        <f>VLOOKUP(J$14,Table24[],5,FALSE)</f>
        <v>6.2</v>
      </c>
      <c r="J59" s="76">
        <f>VLOOKUP(K$14,Table24[],5,FALSE)</f>
        <v>6.2</v>
      </c>
      <c r="K59" s="76" t="e">
        <f>VLOOKUP(L$14,Table24[],5,FALSE)</f>
        <v>#N/A</v>
      </c>
      <c r="L59" s="76" t="e">
        <f>VLOOKUP(M$14,Table24[],5,FALSE)</f>
        <v>#N/A</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x14ac:dyDescent="0.25">
      <c r="A60" s="110" t="s">
        <v>4</v>
      </c>
      <c r="B60" s="76">
        <f>C10</f>
        <v>5.6</v>
      </c>
      <c r="C60" s="76">
        <f t="shared" ref="C60:U60" si="14">D10</f>
        <v>5.7</v>
      </c>
      <c r="D60" s="76">
        <f t="shared" si="14"/>
        <v>6.8</v>
      </c>
      <c r="E60" s="76">
        <f t="shared" si="14"/>
        <v>6.4</v>
      </c>
      <c r="F60" s="76">
        <f t="shared" si="14"/>
        <v>6.2</v>
      </c>
      <c r="G60" s="76">
        <f t="shared" si="14"/>
        <v>6.2</v>
      </c>
      <c r="H60" s="76">
        <f t="shared" si="14"/>
        <v>6.1</v>
      </c>
      <c r="I60" s="76">
        <f t="shared" si="14"/>
        <v>6.2</v>
      </c>
      <c r="J60" s="76">
        <f t="shared" si="14"/>
        <v>6</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0"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0" t="s">
        <v>134</v>
      </c>
      <c r="B62" s="77">
        <f>B31</f>
        <v>250</v>
      </c>
      <c r="C62" s="77">
        <f>B32</f>
        <v>250</v>
      </c>
      <c r="D62" s="77">
        <f>B33</f>
        <v>250</v>
      </c>
      <c r="E62" s="77">
        <f>B34</f>
        <v>250</v>
      </c>
      <c r="F62" s="77">
        <f>B35</f>
        <v>250</v>
      </c>
      <c r="G62" s="77">
        <f>B36</f>
        <v>250</v>
      </c>
      <c r="H62" s="77">
        <f>B37</f>
        <v>250</v>
      </c>
      <c r="I62" s="77">
        <f>B38</f>
        <v>250</v>
      </c>
      <c r="J62" s="77">
        <f>B39</f>
        <v>250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1"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1" t="s">
        <v>156</v>
      </c>
      <c r="B64" s="77">
        <f>(B59-B60)*B61</f>
        <v>3.6000000000000032</v>
      </c>
      <c r="C64" s="77">
        <f t="shared" ref="C64:U64" si="17">(C59-C60)*C61</f>
        <v>3</v>
      </c>
      <c r="D64" s="77">
        <f t="shared" si="17"/>
        <v>-3.5999999999999979</v>
      </c>
      <c r="E64" s="77">
        <f t="shared" si="17"/>
        <v>-1.2000000000000011</v>
      </c>
      <c r="F64" s="77">
        <f t="shared" si="17"/>
        <v>0</v>
      </c>
      <c r="G64" s="77">
        <f t="shared" si="17"/>
        <v>0</v>
      </c>
      <c r="H64" s="77">
        <f t="shared" si="17"/>
        <v>0.6000000000000032</v>
      </c>
      <c r="I64" s="77">
        <f t="shared" si="17"/>
        <v>0</v>
      </c>
      <c r="J64" s="77">
        <f t="shared" si="17"/>
        <v>1.2000000000000011</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1" t="s">
        <v>157</v>
      </c>
      <c r="B65" s="77">
        <f>B63-B64</f>
        <v>-3.6000000000000032</v>
      </c>
      <c r="C65" s="77">
        <f t="shared" ref="C65:U65" si="18">C63-C64</f>
        <v>-3</v>
      </c>
      <c r="D65" s="77">
        <f t="shared" si="18"/>
        <v>3.5999999999999979</v>
      </c>
      <c r="E65" s="77">
        <f t="shared" si="18"/>
        <v>1.2000000000000011</v>
      </c>
      <c r="F65" s="77">
        <f t="shared" si="18"/>
        <v>0</v>
      </c>
      <c r="G65" s="77">
        <f t="shared" si="18"/>
        <v>0</v>
      </c>
      <c r="H65" s="77">
        <f t="shared" si="18"/>
        <v>-0.6000000000000032</v>
      </c>
      <c r="I65" s="77">
        <f t="shared" si="18"/>
        <v>0</v>
      </c>
      <c r="J65" s="77">
        <f t="shared" si="18"/>
        <v>-1.2000000000000011</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1" t="s">
        <v>148</v>
      </c>
      <c r="B66" s="78" t="str">
        <f>IF(B64&lt;=B63,"OVER","UNDER")</f>
        <v>UNDER</v>
      </c>
      <c r="C66" s="78" t="str">
        <f t="shared" ref="C66:U66" si="19">IF(C64&lt;=C63,"OVER","UNDER")</f>
        <v>UNDER</v>
      </c>
      <c r="D66" s="78" t="str">
        <f t="shared" si="19"/>
        <v>OVER</v>
      </c>
      <c r="E66" s="78" t="str">
        <f t="shared" si="19"/>
        <v>OVER</v>
      </c>
      <c r="F66" s="78" t="str">
        <f t="shared" si="19"/>
        <v>OVER</v>
      </c>
      <c r="G66" s="78" t="str">
        <f t="shared" si="19"/>
        <v>OVER</v>
      </c>
      <c r="H66" s="78" t="str">
        <f t="shared" si="19"/>
        <v>UNDER</v>
      </c>
      <c r="I66" s="78" t="str">
        <f t="shared" si="19"/>
        <v>OVER</v>
      </c>
      <c r="J66" s="78" t="str">
        <f t="shared" si="19"/>
        <v>UNDER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C20:V21">
    <cfRule type="cellIs" dxfId="295" priority="45" operator="equal">
      <formula>"DECREASE"</formula>
    </cfRule>
    <cfRule type="cellIs" dxfId="294" priority="46" operator="equal">
      <formula>"INCREASE"</formula>
    </cfRule>
  </conditionalFormatting>
  <conditionalFormatting sqref="B40:B50 B62:U66">
    <cfRule type="cellIs" dxfId="293" priority="44" operator="greaterThan">
      <formula>$B$51</formula>
    </cfRule>
  </conditionalFormatting>
  <conditionalFormatting sqref="C31:C50">
    <cfRule type="cellIs" dxfId="292" priority="43" operator="greaterThan">
      <formula>$C$51</formula>
    </cfRule>
  </conditionalFormatting>
  <conditionalFormatting sqref="C18:V18">
    <cfRule type="cellIs" dxfId="291" priority="39" operator="equal">
      <formula>0</formula>
    </cfRule>
  </conditionalFormatting>
  <conditionalFormatting sqref="C17:V17">
    <cfRule type="cellIs" dxfId="290" priority="37" operator="equal">
      <formula>0</formula>
    </cfRule>
  </conditionalFormatting>
  <conditionalFormatting sqref="C19:V19">
    <cfRule type="cellIs" dxfId="289" priority="36" operator="equal">
      <formula>0</formula>
    </cfRule>
  </conditionalFormatting>
  <conditionalFormatting sqref="G31:G50">
    <cfRule type="cellIs" dxfId="288" priority="33" operator="greaterThan">
      <formula>$G$51</formula>
    </cfRule>
  </conditionalFormatting>
  <conditionalFormatting sqref="H31:H50">
    <cfRule type="cellIs" dxfId="287" priority="32" operator="greaterThan">
      <formula>$H$51</formula>
    </cfRule>
  </conditionalFormatting>
  <conditionalFormatting sqref="I31:I50">
    <cfRule type="cellIs" dxfId="286" priority="31" operator="greaterThan">
      <formula>$I$51</formula>
    </cfRule>
  </conditionalFormatting>
  <conditionalFormatting sqref="K31:K50">
    <cfRule type="cellIs" dxfId="285" priority="29" operator="greaterThan">
      <formula>$K$51</formula>
    </cfRule>
  </conditionalFormatting>
  <conditionalFormatting sqref="L31:L50">
    <cfRule type="cellIs" dxfId="284" priority="28" operator="greaterThan">
      <formula>$L$51</formula>
    </cfRule>
  </conditionalFormatting>
  <conditionalFormatting sqref="M31:M50">
    <cfRule type="cellIs" dxfId="283" priority="27" operator="greaterThan">
      <formula>$M$51</formula>
    </cfRule>
  </conditionalFormatting>
  <conditionalFormatting sqref="P31:P50">
    <cfRule type="cellIs" dxfId="282" priority="26" operator="greaterThan">
      <formula>$P$51</formula>
    </cfRule>
  </conditionalFormatting>
  <conditionalFormatting sqref="R31:R50">
    <cfRule type="cellIs" dxfId="281" priority="25" operator="greaterThan">
      <formula>$R$51</formula>
    </cfRule>
  </conditionalFormatting>
  <conditionalFormatting sqref="S31:S50">
    <cfRule type="cellIs" dxfId="280" priority="24" operator="greaterThan">
      <formula>$S$51</formula>
    </cfRule>
  </conditionalFormatting>
  <conditionalFormatting sqref="T31:T50">
    <cfRule type="cellIs" dxfId="279" priority="23" operator="greaterThan">
      <formula>$T$51</formula>
    </cfRule>
  </conditionalFormatting>
  <conditionalFormatting sqref="U31:U50">
    <cfRule type="cellIs" dxfId="278" priority="22" operator="greaterThan">
      <formula>$U$51</formula>
    </cfRule>
  </conditionalFormatting>
  <conditionalFormatting sqref="C22:V22">
    <cfRule type="cellIs" dxfId="277" priority="20" operator="equal">
      <formula>0</formula>
    </cfRule>
  </conditionalFormatting>
  <conditionalFormatting sqref="C24:V24">
    <cfRule type="cellIs" dxfId="276" priority="18" operator="equal">
      <formula>"DECREASE"</formula>
    </cfRule>
    <cfRule type="cellIs" dxfId="275" priority="19" operator="equal">
      <formula>"INCREASE"</formula>
    </cfRule>
  </conditionalFormatting>
  <conditionalFormatting sqref="C23:V23">
    <cfRule type="cellIs" dxfId="274" priority="17" operator="equal">
      <formula>0</formula>
    </cfRule>
  </conditionalFormatting>
  <conditionalFormatting sqref="I2">
    <cfRule type="cellIs" dxfId="272" priority="12" operator="greaterThan">
      <formula>5000.1</formula>
    </cfRule>
  </conditionalFormatting>
  <conditionalFormatting sqref="I3">
    <cfRule type="cellIs" dxfId="271" priority="11" operator="greaterThan">
      <formula>40000.01</formula>
    </cfRule>
  </conditionalFormatting>
  <conditionalFormatting sqref="C21:V21">
    <cfRule type="cellIs" dxfId="270" priority="10" operator="equal">
      <formula>0</formula>
    </cfRule>
  </conditionalFormatting>
  <conditionalFormatting sqref="B66:U66">
    <cfRule type="cellIs" dxfId="269" priority="6" operator="equal">
      <formula>"UNDER"</formula>
    </cfRule>
    <cfRule type="cellIs" dxfId="268" priority="7" operator="equal">
      <formula>"OVER"</formula>
    </cfRule>
  </conditionalFormatting>
  <conditionalFormatting sqref="J31:J50">
    <cfRule type="cellIs" dxfId="267" priority="5" operator="greaterThan">
      <formula>$J$51</formula>
    </cfRule>
  </conditionalFormatting>
  <conditionalFormatting sqref="L3">
    <cfRule type="cellIs" dxfId="266" priority="3" operator="lessThan">
      <formula>30</formula>
    </cfRule>
    <cfRule type="cellIs" dxfId="265" priority="4" operator="greaterThanOrEqual">
      <formula>30</formula>
    </cfRule>
  </conditionalFormatting>
  <conditionalFormatting sqref="I1">
    <cfRule type="cellIs" dxfId="1" priority="2" operator="between">
      <formula>0.1</formula>
      <formula>5</formula>
    </cfRule>
  </conditionalFormatting>
  <conditionalFormatting sqref="B31:B39">
    <cfRule type="cellIs" dxfId="0" priority="1" operator="greaterThan">
      <formula>$B$51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opLeftCell="A13" zoomScale="90" zoomScaleNormal="90" workbookViewId="0">
      <selection activeCell="F31" sqref="F31"/>
    </sheetView>
  </sheetViews>
  <sheetFormatPr defaultColWidth="13.109375" defaultRowHeight="13.2" x14ac:dyDescent="0.3"/>
  <cols>
    <col min="1" max="1" width="13.109375" style="11"/>
    <col min="2" max="2" width="15.88671875" style="11" customWidth="1"/>
    <col min="3" max="3" width="20.5546875" style="11" customWidth="1"/>
    <col min="4" max="4" width="20.33203125" style="11" bestFit="1" customWidth="1"/>
    <col min="5" max="22" width="21.33203125" style="11" customWidth="1"/>
    <col min="23" max="26" width="13.109375" style="11"/>
    <col min="27" max="27" width="0" style="11" hidden="1" customWidth="1"/>
    <col min="28" max="29" width="10.6640625" style="19" hidden="1" customWidth="1"/>
    <col min="30" max="30" width="19.6640625" style="19" hidden="1" customWidth="1"/>
    <col min="31" max="34" width="12.44140625" style="19" hidden="1" customWidth="1"/>
    <col min="35" max="35" width="27.6640625" style="19" hidden="1" customWidth="1"/>
    <col min="36" max="40" width="0" style="11" hidden="1" customWidth="1"/>
    <col min="41" max="41" width="67.33203125" style="11" hidden="1" customWidth="1"/>
    <col min="42" max="16384" width="13.109375" style="11"/>
  </cols>
  <sheetData>
    <row r="1" spans="1:41" x14ac:dyDescent="0.25">
      <c r="A1" s="120" t="s">
        <v>41</v>
      </c>
      <c r="B1" s="120"/>
      <c r="C1" s="141" t="str">
        <f>'DCWW Bryn Cowlyd'!C1:D1</f>
        <v>PAN-022455</v>
      </c>
      <c r="D1" s="142"/>
      <c r="E1" s="93" t="s">
        <v>45</v>
      </c>
      <c r="F1" s="39">
        <f>'DCWW Bryn Cowlyd'!F1</f>
        <v>27.8</v>
      </c>
      <c r="G1" s="121" t="s">
        <v>43</v>
      </c>
      <c r="H1" s="122"/>
      <c r="I1" s="117">
        <v>6.7</v>
      </c>
      <c r="J1" s="120" t="s">
        <v>153</v>
      </c>
      <c r="K1" s="120"/>
      <c r="L1" s="96">
        <v>640</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20" t="s">
        <v>87</v>
      </c>
      <c r="B2" s="120"/>
      <c r="C2" s="143" t="str">
        <f>'DCWW Bryn Cowlyd'!C2:D2</f>
        <v>EPR/GP3792SK</v>
      </c>
      <c r="D2" s="144"/>
      <c r="E2" s="93" t="s">
        <v>109</v>
      </c>
      <c r="F2" s="118" t="s">
        <v>169</v>
      </c>
      <c r="G2" s="139" t="s">
        <v>110</v>
      </c>
      <c r="H2" s="140"/>
      <c r="I2" s="117"/>
      <c r="J2" s="120" t="s">
        <v>158</v>
      </c>
      <c r="K2" s="120"/>
      <c r="L2" s="96">
        <v>1.28</v>
      </c>
      <c r="AB2" s="30" t="s">
        <v>56</v>
      </c>
      <c r="AC2" s="17"/>
      <c r="AD2" s="30" t="s">
        <v>70</v>
      </c>
      <c r="AE2" s="17"/>
      <c r="AF2" s="17"/>
      <c r="AG2" s="44" t="s">
        <v>76</v>
      </c>
      <c r="AH2" s="18"/>
      <c r="AI2" s="45" t="s">
        <v>126</v>
      </c>
      <c r="AJ2" s="46">
        <v>0</v>
      </c>
      <c r="AK2" s="47">
        <v>0</v>
      </c>
      <c r="AL2" s="10">
        <v>0</v>
      </c>
      <c r="AM2" s="11">
        <v>0</v>
      </c>
      <c r="AN2" s="11">
        <v>0</v>
      </c>
    </row>
    <row r="3" spans="1:41" x14ac:dyDescent="0.25">
      <c r="A3" s="121" t="s">
        <v>42</v>
      </c>
      <c r="B3" s="122"/>
      <c r="C3" s="143" t="str">
        <f>'DCWW Bryn Cowlyd'!C3:D3</f>
        <v>ByProduct recovery LTD</v>
      </c>
      <c r="D3" s="144"/>
      <c r="E3" s="93" t="s">
        <v>108</v>
      </c>
      <c r="F3" s="31" t="s">
        <v>78</v>
      </c>
      <c r="G3" s="120" t="s">
        <v>159</v>
      </c>
      <c r="H3" s="120"/>
      <c r="I3" s="117"/>
      <c r="J3" s="121" t="s">
        <v>154</v>
      </c>
      <c r="K3" s="122"/>
      <c r="L3" s="96">
        <f>(L1/(L2*10000))*100</f>
        <v>5</v>
      </c>
      <c r="AB3" s="30" t="s">
        <v>57</v>
      </c>
      <c r="AC3" s="17"/>
      <c r="AD3" s="30" t="s">
        <v>71</v>
      </c>
      <c r="AE3" s="17"/>
      <c r="AF3" s="17"/>
      <c r="AG3" s="44" t="s">
        <v>77</v>
      </c>
      <c r="AH3" s="18"/>
      <c r="AI3" s="48" t="s">
        <v>113</v>
      </c>
      <c r="AJ3" s="49">
        <v>1.7</v>
      </c>
      <c r="AK3" s="50">
        <v>6</v>
      </c>
      <c r="AL3" s="51">
        <v>1</v>
      </c>
      <c r="AM3" s="11">
        <v>6.2</v>
      </c>
      <c r="AN3" s="11" t="s">
        <v>112</v>
      </c>
    </row>
    <row r="4" spans="1:41" x14ac:dyDescent="0.25">
      <c r="A4" s="120" t="s">
        <v>0</v>
      </c>
      <c r="B4" s="120"/>
      <c r="C4" s="141" t="str">
        <f>'DCWW Bryn Cowlyd'!C4:D4</f>
        <v>Blaen Y Coed Farm, Betws-y-Coed, LL24 0NY</v>
      </c>
      <c r="D4" s="142"/>
      <c r="E4" s="94" t="s">
        <v>1</v>
      </c>
      <c r="F4" s="95" t="s">
        <v>167</v>
      </c>
      <c r="G4" s="121"/>
      <c r="H4" s="122"/>
      <c r="I4" s="39"/>
      <c r="J4" s="121"/>
      <c r="K4" s="122"/>
      <c r="L4" s="95"/>
      <c r="AB4" s="30" t="s">
        <v>52</v>
      </c>
      <c r="AC4" s="17"/>
      <c r="AD4" s="52" t="s">
        <v>72</v>
      </c>
      <c r="AE4" s="17"/>
      <c r="AF4" s="17"/>
      <c r="AG4" s="44" t="s">
        <v>78</v>
      </c>
      <c r="AH4" s="18"/>
      <c r="AI4" s="53" t="s">
        <v>124</v>
      </c>
      <c r="AJ4" s="54">
        <v>7</v>
      </c>
      <c r="AK4" s="55">
        <v>10.5</v>
      </c>
      <c r="AL4" s="11">
        <v>2</v>
      </c>
      <c r="AM4" s="11">
        <v>6.7</v>
      </c>
      <c r="AN4" s="11" t="s">
        <v>135</v>
      </c>
    </row>
    <row r="5" spans="1:41" x14ac:dyDescent="0.25">
      <c r="A5" s="120" t="s">
        <v>47</v>
      </c>
      <c r="B5" s="120"/>
      <c r="C5" s="141" t="str">
        <f>'DCWW Bryn Cowlyd'!C5:D5</f>
        <v xml:space="preserve">Owen Clee </v>
      </c>
      <c r="D5" s="142"/>
      <c r="E5" s="93"/>
      <c r="F5" s="39"/>
      <c r="G5" s="121"/>
      <c r="H5" s="122"/>
      <c r="I5" s="39"/>
      <c r="J5" s="121"/>
      <c r="K5" s="122"/>
      <c r="L5" s="95"/>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26" t="s">
        <v>63</v>
      </c>
      <c r="B7" s="12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8"/>
    </row>
    <row r="8" spans="1:41" x14ac:dyDescent="0.25">
      <c r="A8" s="120" t="s">
        <v>2</v>
      </c>
      <c r="B8" s="120"/>
      <c r="C8" s="60">
        <f>'DCWW Bryn Cowlyd'!C8</f>
        <v>1</v>
      </c>
      <c r="D8" s="60">
        <f>'DCWW Bryn Cowlyd'!D8</f>
        <v>2</v>
      </c>
      <c r="E8" s="60">
        <f>'DCWW Bryn Cowlyd'!E8</f>
        <v>3</v>
      </c>
      <c r="F8" s="60">
        <f>'DCWW Bryn Cowlyd'!F8</f>
        <v>4</v>
      </c>
      <c r="G8" s="60">
        <f>'DCWW Bryn Cowlyd'!G8</f>
        <v>7</v>
      </c>
      <c r="H8" s="60">
        <f>'DCWW Bryn Cowlyd'!H8</f>
        <v>8</v>
      </c>
      <c r="I8" s="60">
        <f>'DCWW Bryn Cowlyd'!I8</f>
        <v>20</v>
      </c>
      <c r="J8" s="60">
        <f>'DCWW Bryn Cowlyd'!J8</f>
        <v>21</v>
      </c>
      <c r="K8" s="60">
        <f>'DCWW Bryn Cowlyd'!K8</f>
        <v>22</v>
      </c>
      <c r="L8" s="60">
        <f>'DCWW Bryn Cowlyd'!L8</f>
        <v>0</v>
      </c>
      <c r="M8" s="60">
        <f>'DCWW Bryn Cowlyd'!M8</f>
        <v>0</v>
      </c>
      <c r="N8" s="60">
        <f>'DCWW Bryn Cowlyd'!N8</f>
        <v>0</v>
      </c>
      <c r="O8" s="60">
        <f>'DCWW Bryn Cowlyd'!O8</f>
        <v>0</v>
      </c>
      <c r="P8" s="60">
        <f>'DCWW Bryn Cowlyd'!P8</f>
        <v>0</v>
      </c>
      <c r="Q8" s="60">
        <f>'DCWW Bryn Cowlyd'!Q8</f>
        <v>0</v>
      </c>
      <c r="R8" s="60">
        <f>'DCWW Bryn Cowlyd'!R8</f>
        <v>0</v>
      </c>
      <c r="S8" s="60">
        <f>'DCWW Bryn Cowlyd'!S8</f>
        <v>0</v>
      </c>
      <c r="T8" s="60">
        <f>'DCWW Bryn Cowlyd'!T8</f>
        <v>0</v>
      </c>
      <c r="U8" s="60">
        <f>'DCWW Bryn Cowlyd'!U8</f>
        <v>0</v>
      </c>
      <c r="V8" s="60">
        <f>'DCWW Bryn Cowlyd'!V8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20" t="s">
        <v>3</v>
      </c>
      <c r="B9" s="120"/>
      <c r="C9" s="60" t="str">
        <f>'DCWW Bryn Cowlyd'!C9</f>
        <v>Moderate</v>
      </c>
      <c r="D9" s="60" t="str">
        <f>'DCWW Bryn Cowlyd'!D9</f>
        <v>Moderate</v>
      </c>
      <c r="E9" s="60" t="str">
        <f>'DCWW Bryn Cowlyd'!E9</f>
        <v>Moderate</v>
      </c>
      <c r="F9" s="60" t="str">
        <f>'DCWW Bryn Cowlyd'!F9</f>
        <v>Moderate</v>
      </c>
      <c r="G9" s="60" t="str">
        <f>'DCWW Bryn Cowlyd'!G9</f>
        <v>Moderate</v>
      </c>
      <c r="H9" s="60" t="str">
        <f>'DCWW Bryn Cowlyd'!H9</f>
        <v>Moderate</v>
      </c>
      <c r="I9" s="60" t="str">
        <f>'DCWW Bryn Cowlyd'!I9</f>
        <v>Moderate</v>
      </c>
      <c r="J9" s="60" t="str">
        <f>'DCWW Bryn Cowlyd'!J9</f>
        <v>Moderate</v>
      </c>
      <c r="K9" s="60" t="str">
        <f>'DCWW Bryn Cowlyd'!K9</f>
        <v>Moderate</v>
      </c>
      <c r="L9" s="60">
        <f>'DCWW Bryn Cowlyd'!L9</f>
        <v>0</v>
      </c>
      <c r="M9" s="60">
        <f>'DCWW Bryn Cowlyd'!M9</f>
        <v>0</v>
      </c>
      <c r="N9" s="60">
        <f>'DCWW Bryn Cowlyd'!N9</f>
        <v>0</v>
      </c>
      <c r="O9" s="60">
        <f>'DCWW Bryn Cowlyd'!O9</f>
        <v>0</v>
      </c>
      <c r="P9" s="60">
        <f>'DCWW Bryn Cowlyd'!P9</f>
        <v>0</v>
      </c>
      <c r="Q9" s="60">
        <f>'DCWW Bryn Cowlyd'!Q9</f>
        <v>0</v>
      </c>
      <c r="R9" s="60">
        <f>'DCWW Bryn Cowlyd'!R9</f>
        <v>0</v>
      </c>
      <c r="S9" s="60">
        <f>'DCWW Bryn Cowlyd'!S9</f>
        <v>0</v>
      </c>
      <c r="T9" s="60">
        <f>'DCWW Bryn Cowlyd'!T9</f>
        <v>0</v>
      </c>
      <c r="U9" s="60">
        <f>'DCWW Bryn Cowlyd'!U9</f>
        <v>0</v>
      </c>
      <c r="V9" s="60">
        <f>'DCWW Bryn Cowlyd'!V9</f>
        <v>0</v>
      </c>
      <c r="AB9" s="17"/>
      <c r="AC9" s="17"/>
      <c r="AD9" s="30" t="s">
        <v>137</v>
      </c>
      <c r="AE9" s="30">
        <v>4.5</v>
      </c>
      <c r="AF9" s="17"/>
      <c r="AG9" s="18"/>
      <c r="AH9" s="18"/>
      <c r="AI9" s="63" t="s">
        <v>103</v>
      </c>
      <c r="AJ9" s="64">
        <v>0.7</v>
      </c>
      <c r="AK9" s="65">
        <v>4</v>
      </c>
      <c r="AL9" s="29">
        <v>7</v>
      </c>
      <c r="AM9" s="11">
        <v>6.7</v>
      </c>
      <c r="AN9" s="11" t="s">
        <v>135</v>
      </c>
      <c r="AO9" s="98"/>
    </row>
    <row r="10" spans="1:41" x14ac:dyDescent="0.25">
      <c r="A10" s="120" t="s">
        <v>4</v>
      </c>
      <c r="B10" s="120"/>
      <c r="C10" s="60">
        <f>'DCWW Bryn Cowlyd'!C10</f>
        <v>5.6</v>
      </c>
      <c r="D10" s="60">
        <f>'DCWW Bryn Cowlyd'!D10</f>
        <v>5.7</v>
      </c>
      <c r="E10" s="60">
        <f>'DCWW Bryn Cowlyd'!E10</f>
        <v>6.8</v>
      </c>
      <c r="F10" s="60">
        <f>'DCWW Bryn Cowlyd'!F10</f>
        <v>6.4</v>
      </c>
      <c r="G10" s="60">
        <f>'DCWW Bryn Cowlyd'!G10</f>
        <v>6.2</v>
      </c>
      <c r="H10" s="60">
        <f>'DCWW Bryn Cowlyd'!H10</f>
        <v>6.2</v>
      </c>
      <c r="I10" s="60">
        <f>'DCWW Bryn Cowlyd'!I10</f>
        <v>6.1</v>
      </c>
      <c r="J10" s="60">
        <f>'DCWW Bryn Cowlyd'!J10</f>
        <v>6.2</v>
      </c>
      <c r="K10" s="60">
        <f>'DCWW Bryn Cowlyd'!K10</f>
        <v>6</v>
      </c>
      <c r="L10" s="60">
        <f>'DCWW Bryn Cowlyd'!L10</f>
        <v>0</v>
      </c>
      <c r="M10" s="60">
        <f>'DCWW Bryn Cowlyd'!M10</f>
        <v>0</v>
      </c>
      <c r="N10" s="60">
        <f>'DCWW Bryn Cowlyd'!N10</f>
        <v>0</v>
      </c>
      <c r="O10" s="60">
        <f>'DCWW Bryn Cowlyd'!O10</f>
        <v>0</v>
      </c>
      <c r="P10" s="60">
        <f>'DCWW Bryn Cowlyd'!P10</f>
        <v>0</v>
      </c>
      <c r="Q10" s="60">
        <f>'DCWW Bryn Cowlyd'!Q10</f>
        <v>0</v>
      </c>
      <c r="R10" s="60">
        <f>'DCWW Bryn Cowlyd'!R10</f>
        <v>0</v>
      </c>
      <c r="S10" s="60">
        <f>'DCWW Bryn Cowlyd'!S10</f>
        <v>0</v>
      </c>
      <c r="T10" s="60">
        <f>'DCWW Bryn Cowlyd'!T10</f>
        <v>0</v>
      </c>
      <c r="U10" s="60">
        <f>'DCWW Bryn Cowlyd'!U10</f>
        <v>0</v>
      </c>
      <c r="V10" s="60">
        <f>'DCWW Bryn Cowlyd'!V10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20" t="s">
        <v>5</v>
      </c>
      <c r="B11" s="120"/>
      <c r="C11" s="60">
        <f>'DCWW Bryn Cowlyd'!C11</f>
        <v>2</v>
      </c>
      <c r="D11" s="60">
        <f>'DCWW Bryn Cowlyd'!D11</f>
        <v>3</v>
      </c>
      <c r="E11" s="60">
        <f>'DCWW Bryn Cowlyd'!E11</f>
        <v>1</v>
      </c>
      <c r="F11" s="60">
        <f>'DCWW Bryn Cowlyd'!F11</f>
        <v>3</v>
      </c>
      <c r="G11" s="60">
        <f>'DCWW Bryn Cowlyd'!G11</f>
        <v>1</v>
      </c>
      <c r="H11" s="60">
        <f>'DCWW Bryn Cowlyd'!H11</f>
        <v>1</v>
      </c>
      <c r="I11" s="60">
        <f>'DCWW Bryn Cowlyd'!I11</f>
        <v>2</v>
      </c>
      <c r="J11" s="60">
        <f>'DCWW Bryn Cowlyd'!J11</f>
        <v>1</v>
      </c>
      <c r="K11" s="60">
        <f>'DCWW Bryn Cowlyd'!K11</f>
        <v>1</v>
      </c>
      <c r="L11" s="60">
        <f>'DCWW Bryn Cowlyd'!L11</f>
        <v>0</v>
      </c>
      <c r="M11" s="60">
        <f>'DCWW Bryn Cowlyd'!M11</f>
        <v>0</v>
      </c>
      <c r="N11" s="60">
        <f>'DCWW Bryn Cowlyd'!N11</f>
        <v>0</v>
      </c>
      <c r="O11" s="60">
        <f>'DCWW Bryn Cowlyd'!O11</f>
        <v>0</v>
      </c>
      <c r="P11" s="60">
        <f>'DCWW Bryn Cowlyd'!P11</f>
        <v>0</v>
      </c>
      <c r="Q11" s="60">
        <f>'DCWW Bryn Cowlyd'!Q11</f>
        <v>0</v>
      </c>
      <c r="R11" s="60">
        <f>'DCWW Bryn Cowlyd'!R11</f>
        <v>0</v>
      </c>
      <c r="S11" s="60">
        <f>'DCWW Bryn Cowlyd'!S11</f>
        <v>0</v>
      </c>
      <c r="T11" s="60">
        <f>'DCWW Bryn Cowlyd'!T11</f>
        <v>0</v>
      </c>
      <c r="U11" s="60">
        <f>'DCWW Bryn Cowlyd'!U11</f>
        <v>0</v>
      </c>
      <c r="V11" s="60">
        <f>'DCWW Bryn Cowlyd'!V11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20" t="s">
        <v>6</v>
      </c>
      <c r="B12" s="120"/>
      <c r="C12" s="60">
        <f>'DCWW Bryn Cowlyd'!C12</f>
        <v>2</v>
      </c>
      <c r="D12" s="60">
        <f>'DCWW Bryn Cowlyd'!D12</f>
        <v>2</v>
      </c>
      <c r="E12" s="60">
        <f>'DCWW Bryn Cowlyd'!E12</f>
        <v>1</v>
      </c>
      <c r="F12" s="60">
        <f>'DCWW Bryn Cowlyd'!F12</f>
        <v>2</v>
      </c>
      <c r="G12" s="60">
        <f>'DCWW Bryn Cowlyd'!G12</f>
        <v>1</v>
      </c>
      <c r="H12" s="60">
        <f>'DCWW Bryn Cowlyd'!H12</f>
        <v>0</v>
      </c>
      <c r="I12" s="60">
        <f>'DCWW Bryn Cowlyd'!I12</f>
        <v>1</v>
      </c>
      <c r="J12" s="60">
        <f>'DCWW Bryn Cowlyd'!J12</f>
        <v>0</v>
      </c>
      <c r="K12" s="60">
        <f>'DCWW Bryn Cowlyd'!K12</f>
        <v>0</v>
      </c>
      <c r="L12" s="60">
        <f>'DCWW Bryn Cowlyd'!L12</f>
        <v>0</v>
      </c>
      <c r="M12" s="60">
        <f>'DCWW Bryn Cowlyd'!M12</f>
        <v>0</v>
      </c>
      <c r="N12" s="60">
        <f>'DCWW Bryn Cowlyd'!N12</f>
        <v>0</v>
      </c>
      <c r="O12" s="60">
        <f>'DCWW Bryn Cowlyd'!O12</f>
        <v>0</v>
      </c>
      <c r="P12" s="60">
        <f>'DCWW Bryn Cowlyd'!P12</f>
        <v>0</v>
      </c>
      <c r="Q12" s="60">
        <f>'DCWW Bryn Cowlyd'!Q12</f>
        <v>0</v>
      </c>
      <c r="R12" s="60">
        <f>'DCWW Bryn Cowlyd'!R12</f>
        <v>0</v>
      </c>
      <c r="S12" s="60">
        <f>'DCWW Bryn Cowlyd'!S12</f>
        <v>0</v>
      </c>
      <c r="T12" s="60">
        <f>'DCWW Bryn Cowlyd'!T12</f>
        <v>0</v>
      </c>
      <c r="U12" s="60">
        <f>'DCWW Bryn Cowlyd'!U12</f>
        <v>0</v>
      </c>
      <c r="V12" s="60">
        <f>'DCWW Bryn Cowlyd'!V12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20" t="s">
        <v>7</v>
      </c>
      <c r="B13" s="120"/>
      <c r="C13" s="60">
        <f>'DCWW Bryn Cowlyd'!C13</f>
        <v>2</v>
      </c>
      <c r="D13" s="60">
        <f>'DCWW Bryn Cowlyd'!D13</f>
        <v>2</v>
      </c>
      <c r="E13" s="60">
        <f>'DCWW Bryn Cowlyd'!E13</f>
        <v>2</v>
      </c>
      <c r="F13" s="60">
        <f>'DCWW Bryn Cowlyd'!F13</f>
        <v>3</v>
      </c>
      <c r="G13" s="60">
        <f>'DCWW Bryn Cowlyd'!G13</f>
        <v>2</v>
      </c>
      <c r="H13" s="60">
        <f>'DCWW Bryn Cowlyd'!H13</f>
        <v>2</v>
      </c>
      <c r="I13" s="60">
        <f>'DCWW Bryn Cowlyd'!I13</f>
        <v>2</v>
      </c>
      <c r="J13" s="60">
        <f>'DCWW Bryn Cowlyd'!J13</f>
        <v>2</v>
      </c>
      <c r="K13" s="60">
        <f>'DCWW Bryn Cowlyd'!K13</f>
        <v>2</v>
      </c>
      <c r="L13" s="60">
        <f>'DCWW Bryn Cowlyd'!L13</f>
        <v>0</v>
      </c>
      <c r="M13" s="60">
        <f>'DCWW Bryn Cowlyd'!M13</f>
        <v>0</v>
      </c>
      <c r="N13" s="60">
        <f>'DCWW Bryn Cowlyd'!N13</f>
        <v>0</v>
      </c>
      <c r="O13" s="60">
        <f>'DCWW Bryn Cowlyd'!O13</f>
        <v>0</v>
      </c>
      <c r="P13" s="60">
        <f>'DCWW Bryn Cowlyd'!P13</f>
        <v>0</v>
      </c>
      <c r="Q13" s="60">
        <f>'DCWW Bryn Cowlyd'!Q13</f>
        <v>0</v>
      </c>
      <c r="R13" s="60">
        <f>'DCWW Bryn Cowlyd'!R13</f>
        <v>0</v>
      </c>
      <c r="S13" s="60">
        <f>'DCWW Bryn Cowlyd'!S13</f>
        <v>0</v>
      </c>
      <c r="T13" s="60">
        <f>'DCWW Bryn Cowlyd'!T13</f>
        <v>0</v>
      </c>
      <c r="U13" s="60">
        <f>'DCWW Bryn Cowlyd'!U13</f>
        <v>0</v>
      </c>
      <c r="V13" s="60">
        <f>'DCWW Bryn Cowlyd'!V13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2" t="s">
        <v>8</v>
      </c>
      <c r="B14" s="132"/>
      <c r="C14" s="101" t="str">
        <f>'DCWW Bryn Cowlyd'!C14</f>
        <v xml:space="preserve">Grass Silage (25% DM) </v>
      </c>
      <c r="D14" s="101" t="str">
        <f>'DCWW Bryn Cowlyd'!D14</f>
        <v xml:space="preserve">Grass Silage (25% DM) </v>
      </c>
      <c r="E14" s="101" t="str">
        <f>'DCWW Bryn Cowlyd'!E14</f>
        <v xml:space="preserve">Grass Silage (25% DM) </v>
      </c>
      <c r="F14" s="101" t="str">
        <f>'DCWW Bryn Cowlyd'!F14</f>
        <v xml:space="preserve">Grass Silage (25% DM) </v>
      </c>
      <c r="G14" s="101" t="str">
        <f>'DCWW Bryn Cowlyd'!G14</f>
        <v xml:space="preserve">Grass Silage (25% DM) </v>
      </c>
      <c r="H14" s="101" t="str">
        <f>'DCWW Bryn Cowlyd'!H14</f>
        <v xml:space="preserve">Grass Silage (25% DM) </v>
      </c>
      <c r="I14" s="101" t="str">
        <f>'DCWW Bryn Cowlyd'!I14</f>
        <v xml:space="preserve">Grass Silage (25% DM) </v>
      </c>
      <c r="J14" s="101" t="str">
        <f>'DCWW Bryn Cowlyd'!J14</f>
        <v xml:space="preserve">Grass Silage (25% DM) </v>
      </c>
      <c r="K14" s="101" t="str">
        <f>'DCWW Bryn Cowlyd'!K14</f>
        <v xml:space="preserve">Grass Silage (25% DM) </v>
      </c>
      <c r="L14" s="101">
        <f>'DCWW Bryn Cowlyd'!L14</f>
        <v>0</v>
      </c>
      <c r="M14" s="101">
        <f>'DCWW Bryn Cowlyd'!M14</f>
        <v>0</v>
      </c>
      <c r="N14" s="101">
        <f>'DCWW Bryn Cowlyd'!N14</f>
        <v>0</v>
      </c>
      <c r="O14" s="101">
        <f>'DCWW Bryn Cowlyd'!O14</f>
        <v>0</v>
      </c>
      <c r="P14" s="101">
        <f>'DCWW Bryn Cowlyd'!P14</f>
        <v>0</v>
      </c>
      <c r="Q14" s="101">
        <f>'DCWW Bryn Cowlyd'!Q14</f>
        <v>0</v>
      </c>
      <c r="R14" s="101">
        <f>'DCWW Bryn Cowlyd'!R14</f>
        <v>0</v>
      </c>
      <c r="S14" s="101">
        <f>'DCWW Bryn Cowlyd'!S14</f>
        <v>0</v>
      </c>
      <c r="T14" s="101">
        <f>'DCWW Bryn Cowlyd'!T14</f>
        <v>0</v>
      </c>
      <c r="U14" s="101">
        <f>'DCWW Bryn Cowlyd'!U14</f>
        <v>0</v>
      </c>
      <c r="V14" s="101">
        <f>'DCWW Bryn Cowlyd'!V14</f>
        <v>0</v>
      </c>
      <c r="AD14" s="30" t="s">
        <v>138</v>
      </c>
      <c r="AE14" s="30">
        <v>6</v>
      </c>
      <c r="AI14" s="53" t="s">
        <v>119</v>
      </c>
      <c r="AJ14" s="54">
        <v>0.8</v>
      </c>
      <c r="AK14" s="55">
        <v>1.7</v>
      </c>
      <c r="AL14" s="11">
        <v>12</v>
      </c>
      <c r="AM14" s="11">
        <v>6.7</v>
      </c>
      <c r="AN14" s="11" t="s">
        <v>135</v>
      </c>
    </row>
    <row r="15" spans="1:41" x14ac:dyDescent="0.25">
      <c r="A15" s="131" t="s">
        <v>9</v>
      </c>
      <c r="B15" s="131"/>
      <c r="C15" s="60">
        <f>'DCWW Bryn Cowlyd'!C15</f>
        <v>38</v>
      </c>
      <c r="D15" s="60">
        <f>'DCWW Bryn Cowlyd'!D15</f>
        <v>38</v>
      </c>
      <c r="E15" s="60">
        <f>'DCWW Bryn Cowlyd'!E15</f>
        <v>38</v>
      </c>
      <c r="F15" s="60">
        <f>'DCWW Bryn Cowlyd'!F15</f>
        <v>38</v>
      </c>
      <c r="G15" s="60">
        <f>'DCWW Bryn Cowlyd'!G15</f>
        <v>38</v>
      </c>
      <c r="H15" s="60">
        <f>'DCWW Bryn Cowlyd'!H15</f>
        <v>38</v>
      </c>
      <c r="I15" s="60">
        <f>'DCWW Bryn Cowlyd'!I15</f>
        <v>38</v>
      </c>
      <c r="J15" s="60">
        <f>'DCWW Bryn Cowlyd'!J15</f>
        <v>38</v>
      </c>
      <c r="K15" s="60">
        <f>'DCWW Bryn Cowlyd'!K15</f>
        <v>38</v>
      </c>
      <c r="L15" s="60">
        <f>'DCWW Bryn Cowlyd'!L15</f>
        <v>0</v>
      </c>
      <c r="M15" s="60">
        <f>'DCWW Bryn Cowlyd'!M15</f>
        <v>0</v>
      </c>
      <c r="N15" s="60">
        <f>'DCWW Bryn Cowlyd'!N15</f>
        <v>0</v>
      </c>
      <c r="O15" s="60">
        <f>'DCWW Bryn Cowlyd'!O15</f>
        <v>0</v>
      </c>
      <c r="P15" s="60">
        <f>'DCWW Bryn Cowlyd'!P15</f>
        <v>0</v>
      </c>
      <c r="Q15" s="60">
        <f>'DCWW Bryn Cowlyd'!Q15</f>
        <v>0</v>
      </c>
      <c r="R15" s="60">
        <f>'DCWW Bryn Cowlyd'!R15</f>
        <v>0</v>
      </c>
      <c r="S15" s="60">
        <f>'DCWW Bryn Cowlyd'!S15</f>
        <v>0</v>
      </c>
      <c r="T15" s="60">
        <f>'DCWW Bryn Cowlyd'!T15</f>
        <v>0</v>
      </c>
      <c r="U15" s="60">
        <f>'DCWW Bryn Cowlyd'!U15</f>
        <v>0</v>
      </c>
      <c r="V15" s="60">
        <f>'DCWW Bryn Cowlyd'!V15</f>
        <v>0</v>
      </c>
      <c r="AD15" s="30" t="s">
        <v>144</v>
      </c>
      <c r="AE15" s="30">
        <v>7</v>
      </c>
      <c r="AI15" s="53" t="s">
        <v>101</v>
      </c>
      <c r="AJ15" s="62">
        <v>1.8</v>
      </c>
      <c r="AK15" s="55">
        <v>5.4</v>
      </c>
      <c r="AL15" s="11">
        <v>13</v>
      </c>
      <c r="AM15" s="11">
        <v>6.7</v>
      </c>
      <c r="AN15" s="11" t="s">
        <v>135</v>
      </c>
    </row>
    <row r="16" spans="1:41" ht="13.8" thickBot="1" x14ac:dyDescent="0.3">
      <c r="A16" s="133" t="s">
        <v>44</v>
      </c>
      <c r="B16" s="133"/>
      <c r="C16" s="102" t="str">
        <f>'DCWW Bryn Cowlyd'!C16</f>
        <v>Medium/Clay</v>
      </c>
      <c r="D16" s="102" t="str">
        <f>'DCWW Bryn Cowlyd'!D16</f>
        <v>Medium/Clay</v>
      </c>
      <c r="E16" s="102" t="str">
        <f>'DCWW Bryn Cowlyd'!E16</f>
        <v>Medium/Clay</v>
      </c>
      <c r="F16" s="102" t="str">
        <f>'DCWW Bryn Cowlyd'!F16</f>
        <v>Medium/Clay</v>
      </c>
      <c r="G16" s="102" t="str">
        <f>'DCWW Bryn Cowlyd'!G16</f>
        <v>Medium/Clay</v>
      </c>
      <c r="H16" s="102" t="str">
        <f>'DCWW Bryn Cowlyd'!H16</f>
        <v>Medium/Clay</v>
      </c>
      <c r="I16" s="102" t="str">
        <f>'DCWW Bryn Cowlyd'!I16</f>
        <v>Medium/Clay</v>
      </c>
      <c r="J16" s="102" t="str">
        <f>'DCWW Bryn Cowlyd'!J16</f>
        <v>Medium/Clay</v>
      </c>
      <c r="K16" s="102" t="str">
        <f>'DCWW Bryn Cowlyd'!K16</f>
        <v>Medium/Clay</v>
      </c>
      <c r="L16" s="102">
        <f>'DCWW Bryn Cowlyd'!L16</f>
        <v>0</v>
      </c>
      <c r="M16" s="102">
        <f>'DCWW Bryn Cowlyd'!M16</f>
        <v>0</v>
      </c>
      <c r="N16" s="102">
        <f>'DCWW Bryn Cowlyd'!N16</f>
        <v>0</v>
      </c>
      <c r="O16" s="102">
        <f>'DCWW Bryn Cowlyd'!O16</f>
        <v>0</v>
      </c>
      <c r="P16" s="102">
        <f>'DCWW Bryn Cowlyd'!P16</f>
        <v>0</v>
      </c>
      <c r="Q16" s="102">
        <f>'DCWW Bryn Cowlyd'!Q16</f>
        <v>0</v>
      </c>
      <c r="R16" s="102">
        <f>'DCWW Bryn Cowlyd'!R16</f>
        <v>0</v>
      </c>
      <c r="S16" s="102">
        <f>'DCWW Bryn Cowlyd'!S16</f>
        <v>0</v>
      </c>
      <c r="T16" s="102">
        <f>'DCWW Bryn Cowlyd'!T16</f>
        <v>0</v>
      </c>
      <c r="U16" s="102">
        <f>'DCWW Bryn Cowlyd'!U16</f>
        <v>0</v>
      </c>
      <c r="V16" s="102">
        <f>'DCWW Bryn Cowlyd'!V16</f>
        <v>0</v>
      </c>
      <c r="AD16" s="52" t="s">
        <v>145</v>
      </c>
      <c r="AE16" s="30">
        <v>8</v>
      </c>
      <c r="AI16" s="53" t="s">
        <v>118</v>
      </c>
      <c r="AJ16" s="54">
        <v>8</v>
      </c>
      <c r="AK16" s="55">
        <v>5.5</v>
      </c>
      <c r="AL16" s="12">
        <v>14</v>
      </c>
      <c r="AM16" s="11">
        <v>6.7</v>
      </c>
      <c r="AN16" s="11" t="s">
        <v>135</v>
      </c>
    </row>
    <row r="17" spans="1:40" x14ac:dyDescent="0.25">
      <c r="A17" s="123" t="s">
        <v>69</v>
      </c>
      <c r="B17" s="12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5" t="s">
        <v>23</v>
      </c>
      <c r="B18" s="126"/>
      <c r="C18" s="16">
        <f>$D31</f>
        <v>0</v>
      </c>
      <c r="D18" s="16">
        <f>$D32</f>
        <v>0</v>
      </c>
      <c r="E18" s="16">
        <f>$D33</f>
        <v>76.639104750000001</v>
      </c>
      <c r="F18" s="16">
        <f>$D34</f>
        <v>64.376847990000002</v>
      </c>
      <c r="G18" s="16">
        <f>$D35</f>
        <v>76.639104750000001</v>
      </c>
      <c r="H18" s="16">
        <f>$D36</f>
        <v>76.639104750000001</v>
      </c>
      <c r="I18" s="16">
        <f>$D37</f>
        <v>64.376847990000002</v>
      </c>
      <c r="J18" s="16">
        <f>$D38</f>
        <v>76.639104750000001</v>
      </c>
      <c r="K18" s="16">
        <f>$D39</f>
        <v>76.639104750000001</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5" t="s">
        <v>90</v>
      </c>
      <c r="B19" s="126"/>
      <c r="C19" s="16">
        <f>C18-C17</f>
        <v>-64.599999999999994</v>
      </c>
      <c r="D19" s="16">
        <f t="shared" ref="D19:V19" si="1">D18-D17</f>
        <v>-64.599999999999994</v>
      </c>
      <c r="E19" s="16">
        <f t="shared" si="1"/>
        <v>12.039104750000007</v>
      </c>
      <c r="F19" s="16">
        <f t="shared" si="1"/>
        <v>-0.22315200999999263</v>
      </c>
      <c r="G19" s="16">
        <f t="shared" si="1"/>
        <v>12.039104750000007</v>
      </c>
      <c r="H19" s="16">
        <f t="shared" si="1"/>
        <v>12.039104750000007</v>
      </c>
      <c r="I19" s="16">
        <f t="shared" si="1"/>
        <v>-0.22315200999999263</v>
      </c>
      <c r="J19" s="16">
        <f t="shared" si="1"/>
        <v>12.039104750000007</v>
      </c>
      <c r="K19" s="16">
        <f t="shared" si="1"/>
        <v>12.039104750000007</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27" t="s">
        <v>91</v>
      </c>
      <c r="B20" s="128"/>
      <c r="C20" s="26" t="str">
        <f>IF($B31="","",IF(C$19&gt;=0,"INCREASE","DECREASE"))</f>
        <v>DECREASE</v>
      </c>
      <c r="D20" s="26" t="str">
        <f>IF($B32="","",IF(D$19&gt;=0,"INCREASE","DECREASE"))</f>
        <v>DECREASE</v>
      </c>
      <c r="E20" s="26" t="str">
        <f>IF($B33="","",IF(E$19&gt;=0,"INCREASE","DECREASE"))</f>
        <v>INCREASE</v>
      </c>
      <c r="F20" s="26" t="str">
        <f>IF($B34="","",IF(F$19&gt;=0,"INCREASE","DECREASE"))</f>
        <v>DECREASE</v>
      </c>
      <c r="G20" s="26" t="str">
        <f>IF($B35="","",IF(G$19&gt;=0,"INCREASE","DECREASE"))</f>
        <v>INCREASE</v>
      </c>
      <c r="H20" s="26" t="str">
        <f>IF($B36="","",IF(H$19&gt;=0,"INCREASE","DECREASE"))</f>
        <v>INCREASE</v>
      </c>
      <c r="I20" s="26" t="str">
        <f>IF($B37="","",IF(I$19&gt;=0,"INCREASE","DECREASE"))</f>
        <v>DECREASE</v>
      </c>
      <c r="J20" s="26" t="str">
        <f>IF($B38="","",IF(J$19&gt;=0,"INCREASE","DECREASE"))</f>
        <v>INCREASE</v>
      </c>
      <c r="K20" s="26" t="str">
        <f>IF($B39="","",IF(K$19&gt;=0,"INCREASE","DECREASE"))</f>
        <v>INCREASE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3" t="s">
        <v>88</v>
      </c>
      <c r="B21" s="124"/>
      <c r="C21" s="28">
        <f>(VLOOKUP(C$14,$AI2:$AK26,3,FALSE))*C$15</f>
        <v>228</v>
      </c>
      <c r="D21" s="28">
        <f t="shared" ref="D21:V21" si="2">(VLOOKUP(D$14,$AI2:$AK24,3,FALSE))*D$15</f>
        <v>228</v>
      </c>
      <c r="E21" s="28">
        <f t="shared" si="2"/>
        <v>228</v>
      </c>
      <c r="F21" s="28">
        <f t="shared" si="2"/>
        <v>228</v>
      </c>
      <c r="G21" s="28">
        <f t="shared" si="2"/>
        <v>228</v>
      </c>
      <c r="H21" s="28">
        <f t="shared" si="2"/>
        <v>228</v>
      </c>
      <c r="I21" s="28">
        <f t="shared" si="2"/>
        <v>228</v>
      </c>
      <c r="J21" s="28">
        <f t="shared" si="2"/>
        <v>228</v>
      </c>
      <c r="K21" s="28">
        <f t="shared" si="2"/>
        <v>228</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5" t="s">
        <v>89</v>
      </c>
      <c r="B22" s="126"/>
      <c r="C22" s="16">
        <f>$E31</f>
        <v>0</v>
      </c>
      <c r="D22" s="16">
        <f>$E32</f>
        <v>0</v>
      </c>
      <c r="E22" s="16">
        <f>$E33</f>
        <v>3.9573706249999998</v>
      </c>
      <c r="F22" s="16">
        <f>$E34</f>
        <v>3.3241913249999997</v>
      </c>
      <c r="G22" s="16">
        <f>$E35</f>
        <v>3.9573706249999998</v>
      </c>
      <c r="H22" s="16">
        <f>$E36</f>
        <v>3.9573706249999998</v>
      </c>
      <c r="I22" s="16">
        <f>$E37</f>
        <v>3.3241913249999997</v>
      </c>
      <c r="J22" s="16">
        <f>$E38</f>
        <v>3.9573706249999998</v>
      </c>
      <c r="K22" s="16">
        <f>$E39</f>
        <v>3.9573706249999998</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5" t="s">
        <v>92</v>
      </c>
      <c r="B23" s="126"/>
      <c r="C23" s="16">
        <f>C22-C21</f>
        <v>-228</v>
      </c>
      <c r="D23" s="16">
        <f t="shared" ref="D23:V23" si="3">D22-D21</f>
        <v>-228</v>
      </c>
      <c r="E23" s="16">
        <f t="shared" si="3"/>
        <v>-224.04262937499999</v>
      </c>
      <c r="F23" s="16">
        <f t="shared" si="3"/>
        <v>-224.67580867500001</v>
      </c>
      <c r="G23" s="16">
        <f t="shared" si="3"/>
        <v>-224.04262937499999</v>
      </c>
      <c r="H23" s="16">
        <f t="shared" si="3"/>
        <v>-224.04262937499999</v>
      </c>
      <c r="I23" s="16">
        <f t="shared" si="3"/>
        <v>-224.67580867500001</v>
      </c>
      <c r="J23" s="16">
        <f t="shared" si="3"/>
        <v>-224.04262937499999</v>
      </c>
      <c r="K23" s="16">
        <f t="shared" si="3"/>
        <v>-224.04262937499999</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27" t="s">
        <v>93</v>
      </c>
      <c r="B24" s="128"/>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8" t="s">
        <v>116</v>
      </c>
      <c r="AJ26" s="69">
        <v>0.7</v>
      </c>
      <c r="AK26" s="70">
        <v>2.4</v>
      </c>
      <c r="AL26" s="29">
        <v>24</v>
      </c>
      <c r="AM26" s="10">
        <v>6.7</v>
      </c>
      <c r="AN26" s="11" t="s">
        <v>135</v>
      </c>
    </row>
    <row r="27" spans="1:40" s="57" customFormat="1" x14ac:dyDescent="0.3">
      <c r="A27" s="105"/>
      <c r="B27" s="71"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c r="S27" s="106" t="s">
        <v>55</v>
      </c>
      <c r="T27" s="106"/>
      <c r="U27" s="106"/>
    </row>
    <row r="28" spans="1:40" s="57" customFormat="1" x14ac:dyDescent="0.3">
      <c r="A28" s="107"/>
      <c r="B28" s="24">
        <v>6.11</v>
      </c>
      <c r="C28" s="15">
        <v>1.28</v>
      </c>
      <c r="D28" s="15">
        <v>0.219</v>
      </c>
      <c r="E28" s="15">
        <v>2.1499999999999998E-2</v>
      </c>
      <c r="F28" s="15">
        <v>853</v>
      </c>
      <c r="G28" s="15">
        <v>39.4</v>
      </c>
      <c r="H28" s="15">
        <v>45.6</v>
      </c>
      <c r="I28" s="15">
        <v>2.12</v>
      </c>
      <c r="J28" s="15">
        <v>0.47</v>
      </c>
      <c r="K28" s="23">
        <v>0.33</v>
      </c>
      <c r="L28" s="15">
        <v>28.1</v>
      </c>
      <c r="M28" s="15">
        <v>5.73</v>
      </c>
      <c r="N28" s="15">
        <v>172000</v>
      </c>
      <c r="O28" s="15">
        <v>6820</v>
      </c>
      <c r="P28" s="15"/>
      <c r="Q28" s="15">
        <v>11500</v>
      </c>
      <c r="R28" s="15"/>
      <c r="S28" s="15">
        <v>22.2</v>
      </c>
      <c r="T28" s="15"/>
      <c r="U28" s="15"/>
    </row>
    <row r="29" spans="1:40" s="7" customFormat="1" ht="28.8" x14ac:dyDescent="0.3">
      <c r="A29" s="12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3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f>C8</f>
        <v>1</v>
      </c>
      <c r="B31" s="15">
        <v>0</v>
      </c>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f>D8</f>
        <v>2</v>
      </c>
      <c r="B32" s="15">
        <v>0</v>
      </c>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3">
      <c r="A33" s="13">
        <f>E8</f>
        <v>3</v>
      </c>
      <c r="B33" s="15">
        <v>250</v>
      </c>
      <c r="C33" s="77">
        <f t="shared" si="6"/>
        <v>195.52000000000004</v>
      </c>
      <c r="D33" s="77">
        <f t="shared" si="7"/>
        <v>76.639104750000001</v>
      </c>
      <c r="E33" s="77">
        <f t="shared" si="8"/>
        <v>3.9573706249999998</v>
      </c>
      <c r="F33" s="77">
        <f t="shared" si="9"/>
        <v>21.603035349999999</v>
      </c>
      <c r="G33" s="77">
        <f t="shared" si="5"/>
        <v>0.60183500000000001</v>
      </c>
      <c r="H33" s="77">
        <f t="shared" si="5"/>
        <v>0.69654000000000005</v>
      </c>
      <c r="I33" s="77">
        <f t="shared" si="5"/>
        <v>3.2383000000000002E-2</v>
      </c>
      <c r="J33" s="77">
        <f t="shared" si="5"/>
        <v>7.1792499999999999E-3</v>
      </c>
      <c r="K33" s="77">
        <f t="shared" si="5"/>
        <v>5.0407500000000001E-3</v>
      </c>
      <c r="L33" s="77">
        <f t="shared" si="5"/>
        <v>0.4292275000000001</v>
      </c>
      <c r="M33" s="77">
        <f t="shared" si="5"/>
        <v>8.7525750000000013E-2</v>
      </c>
      <c r="N33" s="77">
        <f t="shared" si="5"/>
        <v>2627.3</v>
      </c>
      <c r="O33" s="77">
        <f t="shared" si="5"/>
        <v>104.1755</v>
      </c>
      <c r="P33" s="77">
        <f t="shared" si="5"/>
        <v>0</v>
      </c>
      <c r="Q33" s="77">
        <f t="shared" si="10"/>
        <v>439.15625</v>
      </c>
      <c r="R33" s="77">
        <f t="shared" si="11"/>
        <v>0</v>
      </c>
      <c r="S33" s="77">
        <f t="shared" si="11"/>
        <v>0.33910500000000005</v>
      </c>
      <c r="T33" s="77">
        <f t="shared" si="11"/>
        <v>0</v>
      </c>
      <c r="U33" s="77">
        <f t="shared" si="11"/>
        <v>0</v>
      </c>
      <c r="AB33" s="59"/>
      <c r="AC33" s="59"/>
      <c r="AD33" s="59"/>
      <c r="AE33" s="59"/>
      <c r="AF33" s="59"/>
      <c r="AG33" s="59"/>
      <c r="AH33" s="59"/>
      <c r="AI33" s="59"/>
    </row>
    <row r="34" spans="1:35" s="72" customFormat="1" x14ac:dyDescent="0.3">
      <c r="A34" s="13">
        <f>F8</f>
        <v>4</v>
      </c>
      <c r="B34" s="15">
        <v>210</v>
      </c>
      <c r="C34" s="77">
        <f t="shared" si="6"/>
        <v>164.23680000000002</v>
      </c>
      <c r="D34" s="77">
        <f t="shared" si="7"/>
        <v>64.376847990000002</v>
      </c>
      <c r="E34" s="77">
        <f t="shared" si="8"/>
        <v>3.3241913249999997</v>
      </c>
      <c r="F34" s="77">
        <f t="shared" si="9"/>
        <v>18.146549694000001</v>
      </c>
      <c r="G34" s="77">
        <f t="shared" si="5"/>
        <v>0.50554140000000003</v>
      </c>
      <c r="H34" s="77">
        <f t="shared" si="5"/>
        <v>0.58509359999999999</v>
      </c>
      <c r="I34" s="77">
        <f t="shared" si="5"/>
        <v>2.7201720000000006E-2</v>
      </c>
      <c r="J34" s="77">
        <f t="shared" si="5"/>
        <v>6.0305699999999999E-3</v>
      </c>
      <c r="K34" s="77">
        <f t="shared" si="5"/>
        <v>4.2342300000000003E-3</v>
      </c>
      <c r="L34" s="77">
        <f t="shared" si="5"/>
        <v>0.36055110000000007</v>
      </c>
      <c r="M34" s="77">
        <f t="shared" si="5"/>
        <v>7.3521630000000004E-2</v>
      </c>
      <c r="N34" s="77">
        <f t="shared" si="5"/>
        <v>2206.9319999999998</v>
      </c>
      <c r="O34" s="77">
        <f t="shared" si="5"/>
        <v>87.50742000000001</v>
      </c>
      <c r="P34" s="77">
        <f t="shared" si="5"/>
        <v>0</v>
      </c>
      <c r="Q34" s="77">
        <f t="shared" si="10"/>
        <v>368.89125000000001</v>
      </c>
      <c r="R34" s="77">
        <f t="shared" si="11"/>
        <v>0</v>
      </c>
      <c r="S34" s="77">
        <f t="shared" si="11"/>
        <v>0.2848482</v>
      </c>
      <c r="T34" s="77">
        <f t="shared" si="11"/>
        <v>0</v>
      </c>
      <c r="U34" s="77">
        <f t="shared" si="11"/>
        <v>0</v>
      </c>
      <c r="AB34" s="59"/>
      <c r="AC34" s="59"/>
      <c r="AD34" s="59"/>
      <c r="AE34" s="59"/>
      <c r="AF34" s="59"/>
      <c r="AG34" s="59"/>
      <c r="AH34" s="59"/>
      <c r="AI34" s="59"/>
    </row>
    <row r="35" spans="1:35" s="72" customFormat="1" x14ac:dyDescent="0.3">
      <c r="A35" s="13">
        <f>G8</f>
        <v>7</v>
      </c>
      <c r="B35" s="15">
        <v>250</v>
      </c>
      <c r="C35" s="77">
        <f t="shared" si="6"/>
        <v>195.52000000000004</v>
      </c>
      <c r="D35" s="77">
        <f t="shared" si="7"/>
        <v>76.639104750000001</v>
      </c>
      <c r="E35" s="77">
        <f t="shared" si="8"/>
        <v>3.9573706249999998</v>
      </c>
      <c r="F35" s="77">
        <f t="shared" si="9"/>
        <v>21.603035349999999</v>
      </c>
      <c r="G35" s="77">
        <f t="shared" si="5"/>
        <v>0.60183500000000001</v>
      </c>
      <c r="H35" s="77">
        <f t="shared" si="5"/>
        <v>0.69654000000000005</v>
      </c>
      <c r="I35" s="77">
        <f t="shared" si="5"/>
        <v>3.2383000000000002E-2</v>
      </c>
      <c r="J35" s="77">
        <f t="shared" si="5"/>
        <v>7.1792499999999999E-3</v>
      </c>
      <c r="K35" s="77">
        <f t="shared" si="5"/>
        <v>5.0407500000000001E-3</v>
      </c>
      <c r="L35" s="77">
        <f t="shared" si="5"/>
        <v>0.4292275000000001</v>
      </c>
      <c r="M35" s="77">
        <f t="shared" si="5"/>
        <v>8.7525750000000013E-2</v>
      </c>
      <c r="N35" s="77">
        <f t="shared" si="5"/>
        <v>2627.3</v>
      </c>
      <c r="O35" s="77">
        <f t="shared" si="5"/>
        <v>104.1755</v>
      </c>
      <c r="P35" s="77">
        <f t="shared" si="5"/>
        <v>0</v>
      </c>
      <c r="Q35" s="77">
        <f t="shared" si="10"/>
        <v>439.15625</v>
      </c>
      <c r="R35" s="77">
        <f t="shared" si="11"/>
        <v>0</v>
      </c>
      <c r="S35" s="77">
        <f t="shared" si="11"/>
        <v>0.33910500000000005</v>
      </c>
      <c r="T35" s="77">
        <f t="shared" si="11"/>
        <v>0</v>
      </c>
      <c r="U35" s="77">
        <f t="shared" si="11"/>
        <v>0</v>
      </c>
      <c r="AB35" s="59"/>
      <c r="AC35" s="59"/>
      <c r="AD35" s="59"/>
      <c r="AE35" s="59"/>
      <c r="AF35" s="59"/>
      <c r="AG35" s="59"/>
      <c r="AH35" s="59"/>
      <c r="AI35" s="59"/>
    </row>
    <row r="36" spans="1:35" s="72" customFormat="1" x14ac:dyDescent="0.3">
      <c r="A36" s="13">
        <f>H8</f>
        <v>8</v>
      </c>
      <c r="B36" s="15">
        <v>250</v>
      </c>
      <c r="C36" s="77">
        <f t="shared" si="6"/>
        <v>195.52000000000004</v>
      </c>
      <c r="D36" s="77">
        <f t="shared" si="7"/>
        <v>76.639104750000001</v>
      </c>
      <c r="E36" s="77">
        <f t="shared" si="8"/>
        <v>3.9573706249999998</v>
      </c>
      <c r="F36" s="77">
        <f t="shared" si="9"/>
        <v>21.603035349999999</v>
      </c>
      <c r="G36" s="77">
        <f t="shared" si="5"/>
        <v>0.60183500000000001</v>
      </c>
      <c r="H36" s="77">
        <f t="shared" si="5"/>
        <v>0.69654000000000005</v>
      </c>
      <c r="I36" s="77">
        <f t="shared" si="5"/>
        <v>3.2383000000000002E-2</v>
      </c>
      <c r="J36" s="77">
        <f t="shared" si="5"/>
        <v>7.1792499999999999E-3</v>
      </c>
      <c r="K36" s="77">
        <f t="shared" si="5"/>
        <v>5.0407500000000001E-3</v>
      </c>
      <c r="L36" s="77">
        <f t="shared" si="5"/>
        <v>0.4292275000000001</v>
      </c>
      <c r="M36" s="77">
        <f t="shared" si="5"/>
        <v>8.7525750000000013E-2</v>
      </c>
      <c r="N36" s="77">
        <f t="shared" si="5"/>
        <v>2627.3</v>
      </c>
      <c r="O36" s="77">
        <f t="shared" si="5"/>
        <v>104.1755</v>
      </c>
      <c r="P36" s="77">
        <f t="shared" si="5"/>
        <v>0</v>
      </c>
      <c r="Q36" s="77">
        <f t="shared" si="10"/>
        <v>439.15625</v>
      </c>
      <c r="R36" s="77">
        <f t="shared" si="11"/>
        <v>0</v>
      </c>
      <c r="S36" s="77">
        <f t="shared" si="11"/>
        <v>0.33910500000000005</v>
      </c>
      <c r="T36" s="77">
        <f t="shared" si="11"/>
        <v>0</v>
      </c>
      <c r="U36" s="77">
        <f t="shared" si="11"/>
        <v>0</v>
      </c>
      <c r="AB36" s="59"/>
      <c r="AC36" s="59"/>
      <c r="AD36" s="59"/>
      <c r="AE36" s="59"/>
      <c r="AF36" s="59"/>
      <c r="AG36" s="59"/>
      <c r="AH36" s="59"/>
      <c r="AI36" s="59"/>
    </row>
    <row r="37" spans="1:35" s="72" customFormat="1" x14ac:dyDescent="0.3">
      <c r="A37" s="13">
        <f>I8</f>
        <v>20</v>
      </c>
      <c r="B37" s="15">
        <v>210</v>
      </c>
      <c r="C37" s="77">
        <f t="shared" si="6"/>
        <v>164.23680000000002</v>
      </c>
      <c r="D37" s="77">
        <f t="shared" si="7"/>
        <v>64.376847990000002</v>
      </c>
      <c r="E37" s="77">
        <f t="shared" si="8"/>
        <v>3.3241913249999997</v>
      </c>
      <c r="F37" s="77">
        <f t="shared" si="9"/>
        <v>18.146549694000001</v>
      </c>
      <c r="G37" s="77">
        <f t="shared" si="5"/>
        <v>0.50554140000000003</v>
      </c>
      <c r="H37" s="77">
        <f t="shared" si="5"/>
        <v>0.58509359999999999</v>
      </c>
      <c r="I37" s="77">
        <f t="shared" si="5"/>
        <v>2.7201720000000006E-2</v>
      </c>
      <c r="J37" s="77">
        <f t="shared" si="5"/>
        <v>6.0305699999999999E-3</v>
      </c>
      <c r="K37" s="77">
        <f t="shared" si="5"/>
        <v>4.2342300000000003E-3</v>
      </c>
      <c r="L37" s="77">
        <f t="shared" si="5"/>
        <v>0.36055110000000007</v>
      </c>
      <c r="M37" s="77">
        <f t="shared" si="5"/>
        <v>7.3521630000000004E-2</v>
      </c>
      <c r="N37" s="77">
        <f t="shared" si="5"/>
        <v>2206.9319999999998</v>
      </c>
      <c r="O37" s="77">
        <f t="shared" si="5"/>
        <v>87.50742000000001</v>
      </c>
      <c r="P37" s="77">
        <f t="shared" si="5"/>
        <v>0</v>
      </c>
      <c r="Q37" s="77">
        <f t="shared" si="10"/>
        <v>368.89125000000001</v>
      </c>
      <c r="R37" s="77">
        <f t="shared" si="11"/>
        <v>0</v>
      </c>
      <c r="S37" s="77">
        <f t="shared" si="11"/>
        <v>0.2848482</v>
      </c>
      <c r="T37" s="77">
        <f t="shared" si="11"/>
        <v>0</v>
      </c>
      <c r="U37" s="77">
        <f t="shared" si="11"/>
        <v>0</v>
      </c>
      <c r="AB37" s="59"/>
      <c r="AC37" s="59"/>
      <c r="AD37" s="59"/>
      <c r="AE37" s="59"/>
      <c r="AF37" s="59"/>
      <c r="AG37" s="59"/>
      <c r="AH37" s="59"/>
      <c r="AI37" s="59"/>
    </row>
    <row r="38" spans="1:35" s="72" customFormat="1" x14ac:dyDescent="0.3">
      <c r="A38" s="13">
        <f>J8</f>
        <v>21</v>
      </c>
      <c r="B38" s="15">
        <v>250</v>
      </c>
      <c r="C38" s="77">
        <f t="shared" si="6"/>
        <v>195.52000000000004</v>
      </c>
      <c r="D38" s="77">
        <f t="shared" si="7"/>
        <v>76.639104750000001</v>
      </c>
      <c r="E38" s="77">
        <f t="shared" si="8"/>
        <v>3.9573706249999998</v>
      </c>
      <c r="F38" s="77">
        <f t="shared" si="9"/>
        <v>21.603035349999999</v>
      </c>
      <c r="G38" s="77">
        <f t="shared" si="5"/>
        <v>0.60183500000000001</v>
      </c>
      <c r="H38" s="77">
        <f t="shared" si="5"/>
        <v>0.69654000000000005</v>
      </c>
      <c r="I38" s="77">
        <f t="shared" si="5"/>
        <v>3.2383000000000002E-2</v>
      </c>
      <c r="J38" s="77">
        <f t="shared" si="5"/>
        <v>7.1792499999999999E-3</v>
      </c>
      <c r="K38" s="77">
        <f t="shared" si="5"/>
        <v>5.0407500000000001E-3</v>
      </c>
      <c r="L38" s="77">
        <f t="shared" si="5"/>
        <v>0.4292275000000001</v>
      </c>
      <c r="M38" s="77">
        <f t="shared" si="5"/>
        <v>8.7525750000000013E-2</v>
      </c>
      <c r="N38" s="77">
        <f t="shared" si="5"/>
        <v>2627.3</v>
      </c>
      <c r="O38" s="77">
        <f t="shared" si="5"/>
        <v>104.1755</v>
      </c>
      <c r="P38" s="77">
        <f t="shared" si="5"/>
        <v>0</v>
      </c>
      <c r="Q38" s="77">
        <f t="shared" si="10"/>
        <v>439.15625</v>
      </c>
      <c r="R38" s="77">
        <f t="shared" si="11"/>
        <v>0</v>
      </c>
      <c r="S38" s="77">
        <f t="shared" si="11"/>
        <v>0.33910500000000005</v>
      </c>
      <c r="T38" s="77">
        <f t="shared" si="11"/>
        <v>0</v>
      </c>
      <c r="U38" s="77">
        <f t="shared" si="11"/>
        <v>0</v>
      </c>
      <c r="AB38" s="59"/>
      <c r="AC38" s="59"/>
      <c r="AD38" s="59"/>
      <c r="AE38" s="59"/>
      <c r="AF38" s="59"/>
      <c r="AG38" s="59"/>
      <c r="AH38" s="59"/>
      <c r="AI38" s="59"/>
    </row>
    <row r="39" spans="1:35" s="72" customFormat="1" x14ac:dyDescent="0.3">
      <c r="A39" s="13">
        <f>K8</f>
        <v>22</v>
      </c>
      <c r="B39" s="15">
        <v>250</v>
      </c>
      <c r="C39" s="77">
        <f t="shared" si="6"/>
        <v>195.52000000000004</v>
      </c>
      <c r="D39" s="77">
        <f t="shared" si="7"/>
        <v>76.639104750000001</v>
      </c>
      <c r="E39" s="77">
        <f t="shared" si="8"/>
        <v>3.9573706249999998</v>
      </c>
      <c r="F39" s="77">
        <f t="shared" si="9"/>
        <v>21.603035349999999</v>
      </c>
      <c r="G39" s="77">
        <f t="shared" si="5"/>
        <v>0.60183500000000001</v>
      </c>
      <c r="H39" s="77">
        <f t="shared" si="5"/>
        <v>0.69654000000000005</v>
      </c>
      <c r="I39" s="77">
        <f t="shared" si="5"/>
        <v>3.2383000000000002E-2</v>
      </c>
      <c r="J39" s="77">
        <f t="shared" si="5"/>
        <v>7.1792499999999999E-3</v>
      </c>
      <c r="K39" s="77">
        <f t="shared" si="5"/>
        <v>5.0407500000000001E-3</v>
      </c>
      <c r="L39" s="77">
        <f t="shared" si="5"/>
        <v>0.4292275000000001</v>
      </c>
      <c r="M39" s="77">
        <f t="shared" si="5"/>
        <v>8.7525750000000013E-2</v>
      </c>
      <c r="N39" s="77">
        <f t="shared" si="5"/>
        <v>2627.3</v>
      </c>
      <c r="O39" s="77">
        <f t="shared" si="5"/>
        <v>104.1755</v>
      </c>
      <c r="P39" s="77">
        <f t="shared" si="5"/>
        <v>0</v>
      </c>
      <c r="Q39" s="77">
        <f t="shared" si="10"/>
        <v>439.15625</v>
      </c>
      <c r="R39" s="77">
        <f t="shared" si="11"/>
        <v>0</v>
      </c>
      <c r="S39" s="77">
        <f t="shared" si="11"/>
        <v>0.33910500000000005</v>
      </c>
      <c r="T39" s="77">
        <f t="shared" si="11"/>
        <v>0</v>
      </c>
      <c r="U39" s="77">
        <f t="shared" si="11"/>
        <v>0</v>
      </c>
      <c r="AB39" s="59"/>
      <c r="AC39" s="59"/>
      <c r="AD39" s="59"/>
      <c r="AE39" s="59"/>
      <c r="AF39" s="59"/>
      <c r="AG39" s="59"/>
      <c r="AH39" s="59"/>
      <c r="AI39" s="59"/>
    </row>
    <row r="40" spans="1:35" s="72" customFormat="1" x14ac:dyDescent="0.3">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3">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f>C8</f>
        <v>1</v>
      </c>
      <c r="C57" s="8">
        <f t="shared" ref="C57:U57" si="13">D8</f>
        <v>2</v>
      </c>
      <c r="D57" s="8">
        <f t="shared" si="13"/>
        <v>3</v>
      </c>
      <c r="E57" s="8">
        <f t="shared" si="13"/>
        <v>4</v>
      </c>
      <c r="F57" s="8">
        <f t="shared" si="13"/>
        <v>7</v>
      </c>
      <c r="G57" s="8">
        <f t="shared" si="13"/>
        <v>8</v>
      </c>
      <c r="H57" s="8">
        <f t="shared" si="13"/>
        <v>20</v>
      </c>
      <c r="I57" s="8">
        <f t="shared" si="13"/>
        <v>21</v>
      </c>
      <c r="J57" s="8">
        <f t="shared" si="13"/>
        <v>22</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e">
        <f>L16&amp;" I "&amp;(VLOOKUP(L14,Table245811[],6,FALSE))</f>
        <v>#N/A</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x14ac:dyDescent="0.25">
      <c r="A59" s="110" t="s">
        <v>132</v>
      </c>
      <c r="B59" s="76">
        <f>VLOOKUP(C$14,Table245811[],5,FALSE)</f>
        <v>6.2</v>
      </c>
      <c r="C59" s="76">
        <f>VLOOKUP(D$14,Table245811[],5,FALSE)</f>
        <v>6.2</v>
      </c>
      <c r="D59" s="76">
        <f>VLOOKUP(E$14,Table245811[],5,FALSE)</f>
        <v>6.2</v>
      </c>
      <c r="E59" s="76">
        <f>VLOOKUP(F$14,Table245811[],5,FALSE)</f>
        <v>6.2</v>
      </c>
      <c r="F59" s="76">
        <f>VLOOKUP(G$14,Table245811[],5,FALSE)</f>
        <v>6.2</v>
      </c>
      <c r="G59" s="76">
        <f>VLOOKUP(H$14,Table245811[],5,FALSE)</f>
        <v>6.2</v>
      </c>
      <c r="H59" s="76">
        <f>VLOOKUP(I$14,Table245811[],5,FALSE)</f>
        <v>6.2</v>
      </c>
      <c r="I59" s="76">
        <f>VLOOKUP(J$14,Table245811[],5,FALSE)</f>
        <v>6.2</v>
      </c>
      <c r="J59" s="76">
        <f>VLOOKUP(K$14,Table245811[],5,FALSE)</f>
        <v>6.2</v>
      </c>
      <c r="K59" s="76" t="e">
        <f>VLOOKUP(L$14,Table245811[],5,FALSE)</f>
        <v>#N/A</v>
      </c>
      <c r="L59" s="76" t="e">
        <f>VLOOKUP(M$14,Table245811[],5,FALSE)</f>
        <v>#N/A</v>
      </c>
      <c r="M59" s="76" t="e">
        <f>VLOOKUP(N$14,Table245811[],5,FALSE)</f>
        <v>#N/A</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x14ac:dyDescent="0.25">
      <c r="A60" s="110" t="s">
        <v>4</v>
      </c>
      <c r="B60" s="76">
        <f>C10</f>
        <v>5.6</v>
      </c>
      <c r="C60" s="76">
        <f t="shared" ref="C60:U60" si="14">D10</f>
        <v>5.7</v>
      </c>
      <c r="D60" s="76">
        <f t="shared" si="14"/>
        <v>6.8</v>
      </c>
      <c r="E60" s="76">
        <f t="shared" si="14"/>
        <v>6.4</v>
      </c>
      <c r="F60" s="76">
        <f t="shared" si="14"/>
        <v>6.2</v>
      </c>
      <c r="G60" s="76">
        <f t="shared" si="14"/>
        <v>6.2</v>
      </c>
      <c r="H60" s="76">
        <f t="shared" si="14"/>
        <v>6.1</v>
      </c>
      <c r="I60" s="76">
        <f t="shared" si="14"/>
        <v>6.2</v>
      </c>
      <c r="J60" s="76">
        <f t="shared" si="14"/>
        <v>6</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0"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0" t="s">
        <v>134</v>
      </c>
      <c r="B62" s="77">
        <f>B31</f>
        <v>0</v>
      </c>
      <c r="C62" s="77">
        <f>B32</f>
        <v>0</v>
      </c>
      <c r="D62" s="77">
        <f>B33</f>
        <v>250</v>
      </c>
      <c r="E62" s="77">
        <f>B34</f>
        <v>210</v>
      </c>
      <c r="F62" s="77">
        <f>B35</f>
        <v>250</v>
      </c>
      <c r="G62" s="77">
        <f>B36</f>
        <v>250</v>
      </c>
      <c r="H62" s="77">
        <f>B37</f>
        <v>210</v>
      </c>
      <c r="I62" s="77">
        <f>B38</f>
        <v>250</v>
      </c>
      <c r="J62" s="77">
        <f>B39</f>
        <v>250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1"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1" t="s">
        <v>156</v>
      </c>
      <c r="B64" s="77">
        <f>(B59-B60)*B61</f>
        <v>3.6000000000000032</v>
      </c>
      <c r="C64" s="77">
        <f t="shared" ref="C64:U64" si="17">(C59-C60)*C61</f>
        <v>3</v>
      </c>
      <c r="D64" s="77">
        <f t="shared" si="17"/>
        <v>-3.5999999999999979</v>
      </c>
      <c r="E64" s="77">
        <f t="shared" si="17"/>
        <v>-1.2000000000000011</v>
      </c>
      <c r="F64" s="77">
        <f t="shared" si="17"/>
        <v>0</v>
      </c>
      <c r="G64" s="77">
        <f t="shared" si="17"/>
        <v>0</v>
      </c>
      <c r="H64" s="77">
        <f t="shared" si="17"/>
        <v>0.6000000000000032</v>
      </c>
      <c r="I64" s="77">
        <f t="shared" si="17"/>
        <v>0</v>
      </c>
      <c r="J64" s="77">
        <f t="shared" si="17"/>
        <v>1.2000000000000011</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1" t="s">
        <v>157</v>
      </c>
      <c r="B65" s="77">
        <f>B63-B64</f>
        <v>-3.6000000000000032</v>
      </c>
      <c r="C65" s="77">
        <f t="shared" ref="C65:U65" si="18">C63-C64</f>
        <v>-3</v>
      </c>
      <c r="D65" s="77">
        <f t="shared" si="18"/>
        <v>3.5999999999999979</v>
      </c>
      <c r="E65" s="77">
        <f t="shared" si="18"/>
        <v>1.2000000000000011</v>
      </c>
      <c r="F65" s="77">
        <f t="shared" si="18"/>
        <v>0</v>
      </c>
      <c r="G65" s="77">
        <f t="shared" si="18"/>
        <v>0</v>
      </c>
      <c r="H65" s="77">
        <f t="shared" si="18"/>
        <v>-0.6000000000000032</v>
      </c>
      <c r="I65" s="77">
        <f t="shared" si="18"/>
        <v>0</v>
      </c>
      <c r="J65" s="77">
        <f t="shared" si="18"/>
        <v>-1.2000000000000011</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1" t="s">
        <v>148</v>
      </c>
      <c r="B66" s="78" t="str">
        <f>IF(B64&lt;=B63,"OVER","UNDER")</f>
        <v>UNDER</v>
      </c>
      <c r="C66" s="78" t="str">
        <f t="shared" ref="C66:U66" si="19">IF(C64&lt;=C63,"OVER","UNDER")</f>
        <v>UNDER</v>
      </c>
      <c r="D66" s="78" t="str">
        <f t="shared" si="19"/>
        <v>OVER</v>
      </c>
      <c r="E66" s="78" t="str">
        <f t="shared" si="19"/>
        <v>OVER</v>
      </c>
      <c r="F66" s="78" t="str">
        <f t="shared" si="19"/>
        <v>OVER</v>
      </c>
      <c r="G66" s="78" t="str">
        <f t="shared" si="19"/>
        <v>OVER</v>
      </c>
      <c r="H66" s="78" t="str">
        <f t="shared" si="19"/>
        <v>UNDER</v>
      </c>
      <c r="I66" s="78" t="str">
        <f t="shared" si="19"/>
        <v>OVER</v>
      </c>
      <c r="J66" s="78" t="str">
        <f t="shared" si="19"/>
        <v>UNDER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53" priority="37" operator="equal">
      <formula>"DECREASE"</formula>
    </cfRule>
    <cfRule type="cellIs" dxfId="252" priority="38" operator="equal">
      <formula>"INCREASE"</formula>
    </cfRule>
  </conditionalFormatting>
  <conditionalFormatting sqref="B31:B50 B62:U66">
    <cfRule type="cellIs" dxfId="251" priority="36" operator="greaterThan">
      <formula>$B$51</formula>
    </cfRule>
  </conditionalFormatting>
  <conditionalFormatting sqref="C31:C50">
    <cfRule type="cellIs" dxfId="250" priority="35" operator="greaterThan">
      <formula>$C$51</formula>
    </cfRule>
  </conditionalFormatting>
  <conditionalFormatting sqref="C18:V18">
    <cfRule type="cellIs" dxfId="249" priority="34" operator="equal">
      <formula>0</formula>
    </cfRule>
  </conditionalFormatting>
  <conditionalFormatting sqref="C17:V17">
    <cfRule type="cellIs" dxfId="248" priority="33" operator="equal">
      <formula>0</formula>
    </cfRule>
  </conditionalFormatting>
  <conditionalFormatting sqref="C19:V19">
    <cfRule type="cellIs" dxfId="247" priority="32" operator="equal">
      <formula>0</formula>
    </cfRule>
  </conditionalFormatting>
  <conditionalFormatting sqref="G31:G50">
    <cfRule type="cellIs" dxfId="246" priority="31" operator="greaterThan">
      <formula>$G$51</formula>
    </cfRule>
  </conditionalFormatting>
  <conditionalFormatting sqref="H31:H50">
    <cfRule type="cellIs" dxfId="245" priority="30" operator="greaterThan">
      <formula>$H$51</formula>
    </cfRule>
  </conditionalFormatting>
  <conditionalFormatting sqref="I31:I50">
    <cfRule type="cellIs" dxfId="244" priority="29" operator="greaterThan">
      <formula>$I$51</formula>
    </cfRule>
  </conditionalFormatting>
  <conditionalFormatting sqref="K31:K50">
    <cfRule type="cellIs" dxfId="243" priority="28" operator="greaterThan">
      <formula>$K$51</formula>
    </cfRule>
  </conditionalFormatting>
  <conditionalFormatting sqref="L31:L50">
    <cfRule type="cellIs" dxfId="242" priority="27" operator="greaterThan">
      <formula>$L$51</formula>
    </cfRule>
  </conditionalFormatting>
  <conditionalFormatting sqref="M31:M50">
    <cfRule type="cellIs" dxfId="241" priority="26" operator="greaterThan">
      <formula>$M$51</formula>
    </cfRule>
  </conditionalFormatting>
  <conditionalFormatting sqref="P31:P50">
    <cfRule type="cellIs" dxfId="240" priority="25" operator="greaterThan">
      <formula>$P$51</formula>
    </cfRule>
  </conditionalFormatting>
  <conditionalFormatting sqref="R31:R50">
    <cfRule type="cellIs" dxfId="239" priority="24" operator="greaterThan">
      <formula>$R$51</formula>
    </cfRule>
  </conditionalFormatting>
  <conditionalFormatting sqref="S31:S50">
    <cfRule type="cellIs" dxfId="238" priority="23" operator="greaterThan">
      <formula>$S$51</formula>
    </cfRule>
  </conditionalFormatting>
  <conditionalFormatting sqref="T31:T50">
    <cfRule type="cellIs" dxfId="237" priority="22" operator="greaterThan">
      <formula>$T$51</formula>
    </cfRule>
  </conditionalFormatting>
  <conditionalFormatting sqref="U31:U50">
    <cfRule type="cellIs" dxfId="236" priority="21" operator="greaterThan">
      <formula>$U$51</formula>
    </cfRule>
  </conditionalFormatting>
  <conditionalFormatting sqref="C22:V22">
    <cfRule type="cellIs" dxfId="235" priority="20" operator="equal">
      <formula>0</formula>
    </cfRule>
  </conditionalFormatting>
  <conditionalFormatting sqref="C24:V24">
    <cfRule type="cellIs" dxfId="234" priority="18" operator="equal">
      <formula>"DECREASE"</formula>
    </cfRule>
    <cfRule type="cellIs" dxfId="233" priority="19" operator="equal">
      <formula>"INCREASE"</formula>
    </cfRule>
  </conditionalFormatting>
  <conditionalFormatting sqref="C23:V23">
    <cfRule type="cellIs" dxfId="232" priority="17" operator="equal">
      <formula>0</formula>
    </cfRule>
  </conditionalFormatting>
  <conditionalFormatting sqref="C21:V21">
    <cfRule type="cellIs" dxfId="231" priority="13" operator="equal">
      <formula>0</formula>
    </cfRule>
  </conditionalFormatting>
  <conditionalFormatting sqref="B66:U66">
    <cfRule type="cellIs" dxfId="230" priority="11" operator="equal">
      <formula>"UNDER"</formula>
    </cfRule>
    <cfRule type="cellIs" dxfId="229" priority="12" operator="equal">
      <formula>"OVER"</formula>
    </cfRule>
  </conditionalFormatting>
  <conditionalFormatting sqref="J31:J50">
    <cfRule type="cellIs" dxfId="228" priority="8" operator="greaterThan">
      <formula>$J$51</formula>
    </cfRule>
  </conditionalFormatting>
  <conditionalFormatting sqref="L3">
    <cfRule type="cellIs" dxfId="227" priority="4" operator="lessThan">
      <formula>30</formula>
    </cfRule>
    <cfRule type="cellIs" dxfId="226" priority="5" operator="greaterThanOrEqual">
      <formula>30</formula>
    </cfRule>
  </conditionalFormatting>
  <conditionalFormatting sqref="I1">
    <cfRule type="cellIs" dxfId="225" priority="3" operator="between">
      <formula>0.1</formula>
      <formula>5</formula>
    </cfRule>
  </conditionalFormatting>
  <conditionalFormatting sqref="I2">
    <cfRule type="cellIs" dxfId="224" priority="2" operator="greaterThan">
      <formula>5000.1</formula>
    </cfRule>
  </conditionalFormatting>
  <conditionalFormatting sqref="I3">
    <cfRule type="cellIs" dxfId="223"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opLeftCell="A4" zoomScale="90" zoomScaleNormal="90" workbookViewId="0">
      <selection activeCell="R25" sqref="R25"/>
    </sheetView>
  </sheetViews>
  <sheetFormatPr defaultColWidth="13.109375" defaultRowHeight="13.2" x14ac:dyDescent="0.3"/>
  <cols>
    <col min="1" max="1" width="13.109375" style="11"/>
    <col min="2" max="2" width="15.88671875" style="11" customWidth="1"/>
    <col min="3" max="3" width="20.5546875" style="11" customWidth="1"/>
    <col min="4" max="4" width="20.33203125" style="11" bestFit="1" customWidth="1"/>
    <col min="5" max="22" width="21.33203125" style="11" customWidth="1"/>
    <col min="23" max="26" width="13.109375" style="11"/>
    <col min="27" max="27" width="0" style="11" hidden="1" customWidth="1"/>
    <col min="28" max="29" width="10.6640625" style="19" hidden="1" customWidth="1"/>
    <col min="30" max="30" width="19.6640625" style="19" hidden="1" customWidth="1"/>
    <col min="31" max="34" width="12.44140625" style="19" hidden="1" customWidth="1"/>
    <col min="35" max="35" width="27.6640625" style="19" hidden="1" customWidth="1"/>
    <col min="36" max="40" width="0" style="11" hidden="1" customWidth="1"/>
    <col min="41" max="41" width="67.33203125" style="11" hidden="1" customWidth="1"/>
    <col min="42" max="16384" width="13.109375" style="11"/>
  </cols>
  <sheetData>
    <row r="1" spans="1:41" x14ac:dyDescent="0.25">
      <c r="A1" s="120" t="s">
        <v>41</v>
      </c>
      <c r="B1" s="120"/>
      <c r="C1" s="141" t="str">
        <f>'DCWW Bryn Cowlyd'!C1:D1</f>
        <v>PAN-022455</v>
      </c>
      <c r="D1" s="142"/>
      <c r="E1" s="93" t="s">
        <v>45</v>
      </c>
      <c r="F1" s="39">
        <f>'DCWW Bryn Cowlyd'!F1</f>
        <v>27.8</v>
      </c>
      <c r="G1" s="121" t="s">
        <v>43</v>
      </c>
      <c r="H1" s="122"/>
      <c r="I1" s="117">
        <v>6.8</v>
      </c>
      <c r="J1" s="120" t="s">
        <v>153</v>
      </c>
      <c r="K1" s="120"/>
      <c r="L1" s="96">
        <v>188</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20" t="s">
        <v>87</v>
      </c>
      <c r="B2" s="120"/>
      <c r="C2" s="143" t="str">
        <f>'DCWW Bryn Cowlyd'!C2:D2</f>
        <v>EPR/GP3792SK</v>
      </c>
      <c r="D2" s="144"/>
      <c r="E2" s="93" t="s">
        <v>109</v>
      </c>
      <c r="F2" s="118" t="s">
        <v>169</v>
      </c>
      <c r="G2" s="139" t="s">
        <v>110</v>
      </c>
      <c r="H2" s="140"/>
      <c r="I2" s="117"/>
      <c r="J2" s="120" t="s">
        <v>158</v>
      </c>
      <c r="K2" s="120"/>
      <c r="L2" s="96">
        <v>1.27</v>
      </c>
      <c r="AB2" s="30" t="s">
        <v>56</v>
      </c>
      <c r="AC2" s="17"/>
      <c r="AD2" s="30" t="s">
        <v>70</v>
      </c>
      <c r="AE2" s="17"/>
      <c r="AF2" s="17"/>
      <c r="AG2" s="44" t="s">
        <v>76</v>
      </c>
      <c r="AH2" s="18"/>
      <c r="AI2" s="45" t="s">
        <v>126</v>
      </c>
      <c r="AJ2" s="46">
        <v>0</v>
      </c>
      <c r="AK2" s="47">
        <v>0</v>
      </c>
      <c r="AL2" s="10">
        <v>0</v>
      </c>
      <c r="AM2" s="11">
        <v>0</v>
      </c>
      <c r="AN2" s="11">
        <v>0</v>
      </c>
    </row>
    <row r="3" spans="1:41" x14ac:dyDescent="0.25">
      <c r="A3" s="121" t="s">
        <v>42</v>
      </c>
      <c r="B3" s="122"/>
      <c r="C3" s="143" t="str">
        <f>'DCWW Bryn Cowlyd'!C3:D3</f>
        <v>ByProduct recovery LTD</v>
      </c>
      <c r="D3" s="144"/>
      <c r="E3" s="93" t="s">
        <v>108</v>
      </c>
      <c r="F3" s="31" t="s">
        <v>78</v>
      </c>
      <c r="G3" s="120" t="s">
        <v>159</v>
      </c>
      <c r="H3" s="120"/>
      <c r="I3" s="117"/>
      <c r="J3" s="121" t="s">
        <v>154</v>
      </c>
      <c r="K3" s="122"/>
      <c r="L3" s="96">
        <f>(L1/(L2*10000))*100</f>
        <v>1.4803149606299213</v>
      </c>
      <c r="AB3" s="30" t="s">
        <v>57</v>
      </c>
      <c r="AC3" s="17"/>
      <c r="AD3" s="30" t="s">
        <v>71</v>
      </c>
      <c r="AE3" s="17"/>
      <c r="AF3" s="17"/>
      <c r="AG3" s="44" t="s">
        <v>77</v>
      </c>
      <c r="AH3" s="18"/>
      <c r="AI3" s="48" t="s">
        <v>113</v>
      </c>
      <c r="AJ3" s="49">
        <v>1.7</v>
      </c>
      <c r="AK3" s="50">
        <v>6</v>
      </c>
      <c r="AL3" s="51">
        <v>1</v>
      </c>
      <c r="AM3" s="11">
        <v>6.2</v>
      </c>
      <c r="AN3" s="11" t="s">
        <v>112</v>
      </c>
    </row>
    <row r="4" spans="1:41" x14ac:dyDescent="0.25">
      <c r="A4" s="120" t="s">
        <v>0</v>
      </c>
      <c r="B4" s="120"/>
      <c r="C4" s="141" t="str">
        <f>'DCWW Bryn Cowlyd'!C4:D4</f>
        <v>Blaen Y Coed Farm, Betws-y-Coed, LL24 0NY</v>
      </c>
      <c r="D4" s="142"/>
      <c r="E4" s="94" t="s">
        <v>1</v>
      </c>
      <c r="F4" s="95" t="s">
        <v>168</v>
      </c>
      <c r="G4" s="121"/>
      <c r="H4" s="122"/>
      <c r="I4" s="39"/>
      <c r="J4" s="121"/>
      <c r="K4" s="122"/>
      <c r="L4" s="95"/>
      <c r="AB4" s="30" t="s">
        <v>52</v>
      </c>
      <c r="AC4" s="17"/>
      <c r="AD4" s="52" t="s">
        <v>72</v>
      </c>
      <c r="AE4" s="17"/>
      <c r="AF4" s="17"/>
      <c r="AG4" s="44" t="s">
        <v>78</v>
      </c>
      <c r="AH4" s="18"/>
      <c r="AI4" s="53" t="s">
        <v>124</v>
      </c>
      <c r="AJ4" s="54">
        <v>7</v>
      </c>
      <c r="AK4" s="55">
        <v>10.5</v>
      </c>
      <c r="AL4" s="11">
        <v>2</v>
      </c>
      <c r="AM4" s="11">
        <v>6.7</v>
      </c>
      <c r="AN4" s="11" t="s">
        <v>135</v>
      </c>
    </row>
    <row r="5" spans="1:41" x14ac:dyDescent="0.25">
      <c r="A5" s="120" t="s">
        <v>47</v>
      </c>
      <c r="B5" s="120"/>
      <c r="C5" s="141" t="str">
        <f>'DCWW Bryn Cowlyd'!C5:D5</f>
        <v xml:space="preserve">Owen Clee </v>
      </c>
      <c r="D5" s="142"/>
      <c r="E5" s="93"/>
      <c r="F5" s="39"/>
      <c r="G5" s="121"/>
      <c r="H5" s="122"/>
      <c r="I5" s="39"/>
      <c r="J5" s="121"/>
      <c r="K5" s="122"/>
      <c r="L5" s="95"/>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26" t="s">
        <v>63</v>
      </c>
      <c r="B7" s="12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8"/>
    </row>
    <row r="8" spans="1:41" x14ac:dyDescent="0.25">
      <c r="A8" s="120" t="s">
        <v>2</v>
      </c>
      <c r="B8" s="120"/>
      <c r="C8" s="60">
        <f>'DCWW Bryn Cowlyd'!C8</f>
        <v>1</v>
      </c>
      <c r="D8" s="60">
        <f>'DCWW Bryn Cowlyd'!D8</f>
        <v>2</v>
      </c>
      <c r="E8" s="60">
        <f>'DCWW Bryn Cowlyd'!E8</f>
        <v>3</v>
      </c>
      <c r="F8" s="60">
        <f>'DCWW Bryn Cowlyd'!F8</f>
        <v>4</v>
      </c>
      <c r="G8" s="60">
        <f>'DCWW Bryn Cowlyd'!G8</f>
        <v>7</v>
      </c>
      <c r="H8" s="60">
        <f>'DCWW Bryn Cowlyd'!H8</f>
        <v>8</v>
      </c>
      <c r="I8" s="60">
        <f>'DCWW Bryn Cowlyd'!I8</f>
        <v>20</v>
      </c>
      <c r="J8" s="60">
        <f>'DCWW Bryn Cowlyd'!J8</f>
        <v>21</v>
      </c>
      <c r="K8" s="60">
        <f>'DCWW Bryn Cowlyd'!K8</f>
        <v>22</v>
      </c>
      <c r="L8" s="60">
        <f>'DCWW Bryn Cowlyd'!L8</f>
        <v>0</v>
      </c>
      <c r="M8" s="60">
        <f>'DCWW Bryn Cowlyd'!M8</f>
        <v>0</v>
      </c>
      <c r="N8" s="60">
        <f>'DCWW Bryn Cowlyd'!N8</f>
        <v>0</v>
      </c>
      <c r="O8" s="60">
        <f>'DCWW Bryn Cowlyd'!O8</f>
        <v>0</v>
      </c>
      <c r="P8" s="60">
        <f>'DCWW Bryn Cowlyd'!P8</f>
        <v>0</v>
      </c>
      <c r="Q8" s="60">
        <f>'DCWW Bryn Cowlyd'!Q8</f>
        <v>0</v>
      </c>
      <c r="R8" s="60">
        <f>'DCWW Bryn Cowlyd'!R8</f>
        <v>0</v>
      </c>
      <c r="S8" s="60">
        <f>'DCWW Bryn Cowlyd'!S8</f>
        <v>0</v>
      </c>
      <c r="T8" s="60">
        <f>'DCWW Bryn Cowlyd'!T8</f>
        <v>0</v>
      </c>
      <c r="U8" s="60">
        <f>'DCWW Bryn Cowlyd'!U8</f>
        <v>0</v>
      </c>
      <c r="V8" s="60">
        <f>'DCWW Bryn Cowlyd'!V8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20" t="s">
        <v>3</v>
      </c>
      <c r="B9" s="120"/>
      <c r="C9" s="60" t="str">
        <f>'DCWW Bryn Cowlyd'!C9</f>
        <v>Moderate</v>
      </c>
      <c r="D9" s="60" t="str">
        <f>'DCWW Bryn Cowlyd'!D9</f>
        <v>Moderate</v>
      </c>
      <c r="E9" s="60" t="str">
        <f>'DCWW Bryn Cowlyd'!E9</f>
        <v>Moderate</v>
      </c>
      <c r="F9" s="60" t="str">
        <f>'DCWW Bryn Cowlyd'!F9</f>
        <v>Moderate</v>
      </c>
      <c r="G9" s="60" t="str">
        <f>'DCWW Bryn Cowlyd'!G9</f>
        <v>Moderate</v>
      </c>
      <c r="H9" s="60" t="str">
        <f>'DCWW Bryn Cowlyd'!H9</f>
        <v>Moderate</v>
      </c>
      <c r="I9" s="60" t="str">
        <f>'DCWW Bryn Cowlyd'!I9</f>
        <v>Moderate</v>
      </c>
      <c r="J9" s="60" t="str">
        <f>'DCWW Bryn Cowlyd'!J9</f>
        <v>Moderate</v>
      </c>
      <c r="K9" s="60" t="str">
        <f>'DCWW Bryn Cowlyd'!K9</f>
        <v>Moderate</v>
      </c>
      <c r="L9" s="60">
        <f>'DCWW Bryn Cowlyd'!L9</f>
        <v>0</v>
      </c>
      <c r="M9" s="60">
        <f>'DCWW Bryn Cowlyd'!M9</f>
        <v>0</v>
      </c>
      <c r="N9" s="60">
        <f>'DCWW Bryn Cowlyd'!N9</f>
        <v>0</v>
      </c>
      <c r="O9" s="60">
        <f>'DCWW Bryn Cowlyd'!O9</f>
        <v>0</v>
      </c>
      <c r="P9" s="60">
        <f>'DCWW Bryn Cowlyd'!P9</f>
        <v>0</v>
      </c>
      <c r="Q9" s="60">
        <f>'DCWW Bryn Cowlyd'!Q9</f>
        <v>0</v>
      </c>
      <c r="R9" s="60">
        <f>'DCWW Bryn Cowlyd'!R9</f>
        <v>0</v>
      </c>
      <c r="S9" s="60">
        <f>'DCWW Bryn Cowlyd'!S9</f>
        <v>0</v>
      </c>
      <c r="T9" s="60">
        <f>'DCWW Bryn Cowlyd'!T9</f>
        <v>0</v>
      </c>
      <c r="U9" s="60">
        <f>'DCWW Bryn Cowlyd'!U9</f>
        <v>0</v>
      </c>
      <c r="V9" s="60">
        <f>'DCWW Bryn Cowlyd'!V9</f>
        <v>0</v>
      </c>
      <c r="AB9" s="17"/>
      <c r="AC9" s="17"/>
      <c r="AD9" s="30" t="s">
        <v>137</v>
      </c>
      <c r="AE9" s="30">
        <v>4.5</v>
      </c>
      <c r="AF9" s="17"/>
      <c r="AG9" s="18"/>
      <c r="AH9" s="18"/>
      <c r="AI9" s="63" t="s">
        <v>103</v>
      </c>
      <c r="AJ9" s="64">
        <v>0.7</v>
      </c>
      <c r="AK9" s="65">
        <v>4</v>
      </c>
      <c r="AL9" s="29">
        <v>7</v>
      </c>
      <c r="AM9" s="11">
        <v>6.7</v>
      </c>
      <c r="AN9" s="11" t="s">
        <v>135</v>
      </c>
      <c r="AO9" s="98"/>
    </row>
    <row r="10" spans="1:41" x14ac:dyDescent="0.25">
      <c r="A10" s="120" t="s">
        <v>4</v>
      </c>
      <c r="B10" s="120"/>
      <c r="C10" s="60">
        <f>'DCWW Bryn Cowlyd'!C10</f>
        <v>5.6</v>
      </c>
      <c r="D10" s="60">
        <f>'DCWW Bryn Cowlyd'!D10</f>
        <v>5.7</v>
      </c>
      <c r="E10" s="60">
        <f>'DCWW Bryn Cowlyd'!E10</f>
        <v>6.8</v>
      </c>
      <c r="F10" s="60">
        <f>'DCWW Bryn Cowlyd'!F10</f>
        <v>6.4</v>
      </c>
      <c r="G10" s="60">
        <f>'DCWW Bryn Cowlyd'!G10</f>
        <v>6.2</v>
      </c>
      <c r="H10" s="60">
        <f>'DCWW Bryn Cowlyd'!H10</f>
        <v>6.2</v>
      </c>
      <c r="I10" s="60">
        <f>'DCWW Bryn Cowlyd'!I10</f>
        <v>6.1</v>
      </c>
      <c r="J10" s="60">
        <f>'DCWW Bryn Cowlyd'!J10</f>
        <v>6.2</v>
      </c>
      <c r="K10" s="60">
        <f>'DCWW Bryn Cowlyd'!K10</f>
        <v>6</v>
      </c>
      <c r="L10" s="60">
        <f>'DCWW Bryn Cowlyd'!L10</f>
        <v>0</v>
      </c>
      <c r="M10" s="60">
        <f>'DCWW Bryn Cowlyd'!M10</f>
        <v>0</v>
      </c>
      <c r="N10" s="60">
        <f>'DCWW Bryn Cowlyd'!N10</f>
        <v>0</v>
      </c>
      <c r="O10" s="60">
        <f>'DCWW Bryn Cowlyd'!O10</f>
        <v>0</v>
      </c>
      <c r="P10" s="60">
        <f>'DCWW Bryn Cowlyd'!P10</f>
        <v>0</v>
      </c>
      <c r="Q10" s="60">
        <f>'DCWW Bryn Cowlyd'!Q10</f>
        <v>0</v>
      </c>
      <c r="R10" s="60">
        <f>'DCWW Bryn Cowlyd'!R10</f>
        <v>0</v>
      </c>
      <c r="S10" s="60">
        <f>'DCWW Bryn Cowlyd'!S10</f>
        <v>0</v>
      </c>
      <c r="T10" s="60">
        <f>'DCWW Bryn Cowlyd'!T10</f>
        <v>0</v>
      </c>
      <c r="U10" s="60">
        <f>'DCWW Bryn Cowlyd'!U10</f>
        <v>0</v>
      </c>
      <c r="V10" s="60">
        <f>'DCWW Bryn Cowlyd'!V10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20" t="s">
        <v>5</v>
      </c>
      <c r="B11" s="120"/>
      <c r="C11" s="60">
        <f>'DCWW Bryn Cowlyd'!C11</f>
        <v>2</v>
      </c>
      <c r="D11" s="60">
        <f>'DCWW Bryn Cowlyd'!D11</f>
        <v>3</v>
      </c>
      <c r="E11" s="60">
        <f>'DCWW Bryn Cowlyd'!E11</f>
        <v>1</v>
      </c>
      <c r="F11" s="60">
        <f>'DCWW Bryn Cowlyd'!F11</f>
        <v>3</v>
      </c>
      <c r="G11" s="60">
        <f>'DCWW Bryn Cowlyd'!G11</f>
        <v>1</v>
      </c>
      <c r="H11" s="60">
        <f>'DCWW Bryn Cowlyd'!H11</f>
        <v>1</v>
      </c>
      <c r="I11" s="60">
        <f>'DCWW Bryn Cowlyd'!I11</f>
        <v>2</v>
      </c>
      <c r="J11" s="60">
        <f>'DCWW Bryn Cowlyd'!J11</f>
        <v>1</v>
      </c>
      <c r="K11" s="60">
        <f>'DCWW Bryn Cowlyd'!K11</f>
        <v>1</v>
      </c>
      <c r="L11" s="60">
        <f>'DCWW Bryn Cowlyd'!L11</f>
        <v>0</v>
      </c>
      <c r="M11" s="60">
        <f>'DCWW Bryn Cowlyd'!M11</f>
        <v>0</v>
      </c>
      <c r="N11" s="60">
        <f>'DCWW Bryn Cowlyd'!N11</f>
        <v>0</v>
      </c>
      <c r="O11" s="60">
        <f>'DCWW Bryn Cowlyd'!O11</f>
        <v>0</v>
      </c>
      <c r="P11" s="60">
        <f>'DCWW Bryn Cowlyd'!P11</f>
        <v>0</v>
      </c>
      <c r="Q11" s="60">
        <f>'DCWW Bryn Cowlyd'!Q11</f>
        <v>0</v>
      </c>
      <c r="R11" s="60">
        <f>'DCWW Bryn Cowlyd'!R11</f>
        <v>0</v>
      </c>
      <c r="S11" s="60">
        <f>'DCWW Bryn Cowlyd'!S11</f>
        <v>0</v>
      </c>
      <c r="T11" s="60">
        <f>'DCWW Bryn Cowlyd'!T11</f>
        <v>0</v>
      </c>
      <c r="U11" s="60">
        <f>'DCWW Bryn Cowlyd'!U11</f>
        <v>0</v>
      </c>
      <c r="V11" s="60">
        <f>'DCWW Bryn Cowlyd'!V11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20" t="s">
        <v>6</v>
      </c>
      <c r="B12" s="120"/>
      <c r="C12" s="60">
        <f>'DCWW Bryn Cowlyd'!C12</f>
        <v>2</v>
      </c>
      <c r="D12" s="60">
        <f>'DCWW Bryn Cowlyd'!D12</f>
        <v>2</v>
      </c>
      <c r="E12" s="60">
        <f>'DCWW Bryn Cowlyd'!E12</f>
        <v>1</v>
      </c>
      <c r="F12" s="60">
        <f>'DCWW Bryn Cowlyd'!F12</f>
        <v>2</v>
      </c>
      <c r="G12" s="60">
        <f>'DCWW Bryn Cowlyd'!G12</f>
        <v>1</v>
      </c>
      <c r="H12" s="60">
        <f>'DCWW Bryn Cowlyd'!H12</f>
        <v>0</v>
      </c>
      <c r="I12" s="60">
        <f>'DCWW Bryn Cowlyd'!I12</f>
        <v>1</v>
      </c>
      <c r="J12" s="60">
        <f>'DCWW Bryn Cowlyd'!J12</f>
        <v>0</v>
      </c>
      <c r="K12" s="60">
        <f>'DCWW Bryn Cowlyd'!K12</f>
        <v>0</v>
      </c>
      <c r="L12" s="60">
        <f>'DCWW Bryn Cowlyd'!L12</f>
        <v>0</v>
      </c>
      <c r="M12" s="60">
        <f>'DCWW Bryn Cowlyd'!M12</f>
        <v>0</v>
      </c>
      <c r="N12" s="60">
        <f>'DCWW Bryn Cowlyd'!N12</f>
        <v>0</v>
      </c>
      <c r="O12" s="60">
        <f>'DCWW Bryn Cowlyd'!O12</f>
        <v>0</v>
      </c>
      <c r="P12" s="60">
        <f>'DCWW Bryn Cowlyd'!P12</f>
        <v>0</v>
      </c>
      <c r="Q12" s="60">
        <f>'DCWW Bryn Cowlyd'!Q12</f>
        <v>0</v>
      </c>
      <c r="R12" s="60">
        <f>'DCWW Bryn Cowlyd'!R12</f>
        <v>0</v>
      </c>
      <c r="S12" s="60">
        <f>'DCWW Bryn Cowlyd'!S12</f>
        <v>0</v>
      </c>
      <c r="T12" s="60">
        <f>'DCWW Bryn Cowlyd'!T12</f>
        <v>0</v>
      </c>
      <c r="U12" s="60">
        <f>'DCWW Bryn Cowlyd'!U12</f>
        <v>0</v>
      </c>
      <c r="V12" s="60">
        <f>'DCWW Bryn Cowlyd'!V12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20" t="s">
        <v>7</v>
      </c>
      <c r="B13" s="120"/>
      <c r="C13" s="60">
        <f>'DCWW Bryn Cowlyd'!C13</f>
        <v>2</v>
      </c>
      <c r="D13" s="60">
        <f>'DCWW Bryn Cowlyd'!D13</f>
        <v>2</v>
      </c>
      <c r="E13" s="60">
        <f>'DCWW Bryn Cowlyd'!E13</f>
        <v>2</v>
      </c>
      <c r="F13" s="60">
        <f>'DCWW Bryn Cowlyd'!F13</f>
        <v>3</v>
      </c>
      <c r="G13" s="60">
        <f>'DCWW Bryn Cowlyd'!G13</f>
        <v>2</v>
      </c>
      <c r="H13" s="60">
        <f>'DCWW Bryn Cowlyd'!H13</f>
        <v>2</v>
      </c>
      <c r="I13" s="60">
        <f>'DCWW Bryn Cowlyd'!I13</f>
        <v>2</v>
      </c>
      <c r="J13" s="60">
        <f>'DCWW Bryn Cowlyd'!J13</f>
        <v>2</v>
      </c>
      <c r="K13" s="60">
        <f>'DCWW Bryn Cowlyd'!K13</f>
        <v>2</v>
      </c>
      <c r="L13" s="60">
        <f>'DCWW Bryn Cowlyd'!L13</f>
        <v>0</v>
      </c>
      <c r="M13" s="60">
        <f>'DCWW Bryn Cowlyd'!M13</f>
        <v>0</v>
      </c>
      <c r="N13" s="60">
        <f>'DCWW Bryn Cowlyd'!N13</f>
        <v>0</v>
      </c>
      <c r="O13" s="60">
        <f>'DCWW Bryn Cowlyd'!O13</f>
        <v>0</v>
      </c>
      <c r="P13" s="60">
        <f>'DCWW Bryn Cowlyd'!P13</f>
        <v>0</v>
      </c>
      <c r="Q13" s="60">
        <f>'DCWW Bryn Cowlyd'!Q13</f>
        <v>0</v>
      </c>
      <c r="R13" s="60">
        <f>'DCWW Bryn Cowlyd'!R13</f>
        <v>0</v>
      </c>
      <c r="S13" s="60">
        <f>'DCWW Bryn Cowlyd'!S13</f>
        <v>0</v>
      </c>
      <c r="T13" s="60">
        <f>'DCWW Bryn Cowlyd'!T13</f>
        <v>0</v>
      </c>
      <c r="U13" s="60">
        <f>'DCWW Bryn Cowlyd'!U13</f>
        <v>0</v>
      </c>
      <c r="V13" s="60">
        <f>'DCWW Bryn Cowlyd'!V13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2" t="s">
        <v>8</v>
      </c>
      <c r="B14" s="132"/>
      <c r="C14" s="101" t="str">
        <f>'DCWW Bryn Cowlyd'!C14</f>
        <v xml:space="preserve">Grass Silage (25% DM) </v>
      </c>
      <c r="D14" s="101" t="str">
        <f>'DCWW Bryn Cowlyd'!D14</f>
        <v xml:space="preserve">Grass Silage (25% DM) </v>
      </c>
      <c r="E14" s="101" t="str">
        <f>'DCWW Bryn Cowlyd'!E14</f>
        <v xml:space="preserve">Grass Silage (25% DM) </v>
      </c>
      <c r="F14" s="101" t="str">
        <f>'DCWW Bryn Cowlyd'!F14</f>
        <v xml:space="preserve">Grass Silage (25% DM) </v>
      </c>
      <c r="G14" s="101" t="str">
        <f>'DCWW Bryn Cowlyd'!G14</f>
        <v xml:space="preserve">Grass Silage (25% DM) </v>
      </c>
      <c r="H14" s="101" t="str">
        <f>'DCWW Bryn Cowlyd'!H14</f>
        <v xml:space="preserve">Grass Silage (25% DM) </v>
      </c>
      <c r="I14" s="101" t="str">
        <f>'DCWW Bryn Cowlyd'!I14</f>
        <v xml:space="preserve">Grass Silage (25% DM) </v>
      </c>
      <c r="J14" s="101" t="str">
        <f>'DCWW Bryn Cowlyd'!J14</f>
        <v xml:space="preserve">Grass Silage (25% DM) </v>
      </c>
      <c r="K14" s="101" t="str">
        <f>'DCWW Bryn Cowlyd'!K14</f>
        <v xml:space="preserve">Grass Silage (25% DM) </v>
      </c>
      <c r="L14" s="101">
        <f>'DCWW Bryn Cowlyd'!L14</f>
        <v>0</v>
      </c>
      <c r="M14" s="101">
        <f>'DCWW Bryn Cowlyd'!M14</f>
        <v>0</v>
      </c>
      <c r="N14" s="101">
        <f>'DCWW Bryn Cowlyd'!N14</f>
        <v>0</v>
      </c>
      <c r="O14" s="101">
        <f>'DCWW Bryn Cowlyd'!O14</f>
        <v>0</v>
      </c>
      <c r="P14" s="101">
        <f>'DCWW Bryn Cowlyd'!P14</f>
        <v>0</v>
      </c>
      <c r="Q14" s="101">
        <f>'DCWW Bryn Cowlyd'!Q14</f>
        <v>0</v>
      </c>
      <c r="R14" s="101">
        <f>'DCWW Bryn Cowlyd'!R14</f>
        <v>0</v>
      </c>
      <c r="S14" s="101">
        <f>'DCWW Bryn Cowlyd'!S14</f>
        <v>0</v>
      </c>
      <c r="T14" s="101">
        <f>'DCWW Bryn Cowlyd'!T14</f>
        <v>0</v>
      </c>
      <c r="U14" s="101">
        <f>'DCWW Bryn Cowlyd'!U14</f>
        <v>0</v>
      </c>
      <c r="V14" s="101">
        <f>'DCWW Bryn Cowlyd'!V14</f>
        <v>0</v>
      </c>
      <c r="AD14" s="30" t="s">
        <v>138</v>
      </c>
      <c r="AE14" s="30">
        <v>6</v>
      </c>
      <c r="AI14" s="53" t="s">
        <v>119</v>
      </c>
      <c r="AJ14" s="54">
        <v>0.8</v>
      </c>
      <c r="AK14" s="55">
        <v>1.7</v>
      </c>
      <c r="AL14" s="11">
        <v>12</v>
      </c>
      <c r="AM14" s="11">
        <v>6.7</v>
      </c>
      <c r="AN14" s="11" t="s">
        <v>135</v>
      </c>
    </row>
    <row r="15" spans="1:41" x14ac:dyDescent="0.25">
      <c r="A15" s="131" t="s">
        <v>9</v>
      </c>
      <c r="B15" s="131"/>
      <c r="C15" s="60">
        <f>'DCWW Bryn Cowlyd'!C15</f>
        <v>38</v>
      </c>
      <c r="D15" s="60">
        <f>'DCWW Bryn Cowlyd'!D15</f>
        <v>38</v>
      </c>
      <c r="E15" s="60">
        <f>'DCWW Bryn Cowlyd'!E15</f>
        <v>38</v>
      </c>
      <c r="F15" s="60">
        <f>'DCWW Bryn Cowlyd'!F15</f>
        <v>38</v>
      </c>
      <c r="G15" s="60">
        <f>'DCWW Bryn Cowlyd'!G15</f>
        <v>38</v>
      </c>
      <c r="H15" s="60">
        <f>'DCWW Bryn Cowlyd'!H15</f>
        <v>38</v>
      </c>
      <c r="I15" s="60">
        <f>'DCWW Bryn Cowlyd'!I15</f>
        <v>38</v>
      </c>
      <c r="J15" s="60">
        <f>'DCWW Bryn Cowlyd'!J15</f>
        <v>38</v>
      </c>
      <c r="K15" s="60">
        <f>'DCWW Bryn Cowlyd'!K15</f>
        <v>38</v>
      </c>
      <c r="L15" s="60">
        <f>'DCWW Bryn Cowlyd'!L15</f>
        <v>0</v>
      </c>
      <c r="M15" s="60">
        <f>'DCWW Bryn Cowlyd'!M15</f>
        <v>0</v>
      </c>
      <c r="N15" s="60">
        <f>'DCWW Bryn Cowlyd'!N15</f>
        <v>0</v>
      </c>
      <c r="O15" s="60">
        <f>'DCWW Bryn Cowlyd'!O15</f>
        <v>0</v>
      </c>
      <c r="P15" s="60">
        <f>'DCWW Bryn Cowlyd'!P15</f>
        <v>0</v>
      </c>
      <c r="Q15" s="60">
        <f>'DCWW Bryn Cowlyd'!Q15</f>
        <v>0</v>
      </c>
      <c r="R15" s="60">
        <f>'DCWW Bryn Cowlyd'!R15</f>
        <v>0</v>
      </c>
      <c r="S15" s="60">
        <f>'DCWW Bryn Cowlyd'!S15</f>
        <v>0</v>
      </c>
      <c r="T15" s="60">
        <f>'DCWW Bryn Cowlyd'!T15</f>
        <v>0</v>
      </c>
      <c r="U15" s="60">
        <f>'DCWW Bryn Cowlyd'!U15</f>
        <v>0</v>
      </c>
      <c r="V15" s="60">
        <f>'DCWW Bryn Cowlyd'!V15</f>
        <v>0</v>
      </c>
      <c r="AD15" s="30" t="s">
        <v>144</v>
      </c>
      <c r="AE15" s="30">
        <v>7</v>
      </c>
      <c r="AI15" s="53" t="s">
        <v>101</v>
      </c>
      <c r="AJ15" s="62">
        <v>1.8</v>
      </c>
      <c r="AK15" s="55">
        <v>5.4</v>
      </c>
      <c r="AL15" s="11">
        <v>13</v>
      </c>
      <c r="AM15" s="11">
        <v>6.7</v>
      </c>
      <c r="AN15" s="11" t="s">
        <v>135</v>
      </c>
    </row>
    <row r="16" spans="1:41" ht="13.8" thickBot="1" x14ac:dyDescent="0.3">
      <c r="A16" s="133" t="s">
        <v>44</v>
      </c>
      <c r="B16" s="133"/>
      <c r="C16" s="102" t="str">
        <f>'DCWW Bryn Cowlyd'!C16</f>
        <v>Medium/Clay</v>
      </c>
      <c r="D16" s="102" t="str">
        <f>'DCWW Bryn Cowlyd'!D16</f>
        <v>Medium/Clay</v>
      </c>
      <c r="E16" s="102" t="str">
        <f>'DCWW Bryn Cowlyd'!E16</f>
        <v>Medium/Clay</v>
      </c>
      <c r="F16" s="102" t="str">
        <f>'DCWW Bryn Cowlyd'!F16</f>
        <v>Medium/Clay</v>
      </c>
      <c r="G16" s="102" t="str">
        <f>'DCWW Bryn Cowlyd'!G16</f>
        <v>Medium/Clay</v>
      </c>
      <c r="H16" s="102" t="str">
        <f>'DCWW Bryn Cowlyd'!H16</f>
        <v>Medium/Clay</v>
      </c>
      <c r="I16" s="102" t="str">
        <f>'DCWW Bryn Cowlyd'!I16</f>
        <v>Medium/Clay</v>
      </c>
      <c r="J16" s="102" t="str">
        <f>'DCWW Bryn Cowlyd'!J16</f>
        <v>Medium/Clay</v>
      </c>
      <c r="K16" s="102" t="str">
        <f>'DCWW Bryn Cowlyd'!K16</f>
        <v>Medium/Clay</v>
      </c>
      <c r="L16" s="102">
        <f>'DCWW Bryn Cowlyd'!L16</f>
        <v>0</v>
      </c>
      <c r="M16" s="102">
        <f>'DCWW Bryn Cowlyd'!M16</f>
        <v>0</v>
      </c>
      <c r="N16" s="102">
        <f>'DCWW Bryn Cowlyd'!N16</f>
        <v>0</v>
      </c>
      <c r="O16" s="102">
        <f>'DCWW Bryn Cowlyd'!O16</f>
        <v>0</v>
      </c>
      <c r="P16" s="102">
        <f>'DCWW Bryn Cowlyd'!P16</f>
        <v>0</v>
      </c>
      <c r="Q16" s="102">
        <f>'DCWW Bryn Cowlyd'!Q16</f>
        <v>0</v>
      </c>
      <c r="R16" s="102">
        <f>'DCWW Bryn Cowlyd'!R16</f>
        <v>0</v>
      </c>
      <c r="S16" s="102">
        <f>'DCWW Bryn Cowlyd'!S16</f>
        <v>0</v>
      </c>
      <c r="T16" s="102">
        <f>'DCWW Bryn Cowlyd'!T16</f>
        <v>0</v>
      </c>
      <c r="U16" s="102">
        <f>'DCWW Bryn Cowlyd'!U16</f>
        <v>0</v>
      </c>
      <c r="V16" s="102">
        <f>'DCWW Bryn Cowlyd'!V16</f>
        <v>0</v>
      </c>
      <c r="AD16" s="52" t="s">
        <v>145</v>
      </c>
      <c r="AE16" s="30">
        <v>8</v>
      </c>
      <c r="AI16" s="53" t="s">
        <v>118</v>
      </c>
      <c r="AJ16" s="54">
        <v>8</v>
      </c>
      <c r="AK16" s="55">
        <v>5.5</v>
      </c>
      <c r="AL16" s="12">
        <v>14</v>
      </c>
      <c r="AM16" s="11">
        <v>6.7</v>
      </c>
      <c r="AN16" s="11" t="s">
        <v>135</v>
      </c>
    </row>
    <row r="17" spans="1:40" x14ac:dyDescent="0.25">
      <c r="A17" s="123" t="s">
        <v>69</v>
      </c>
      <c r="B17" s="12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5" t="s">
        <v>23</v>
      </c>
      <c r="B18" s="126"/>
      <c r="C18" s="16">
        <f>$D31</f>
        <v>0</v>
      </c>
      <c r="D18" s="16">
        <f>$D32</f>
        <v>0</v>
      </c>
      <c r="E18" s="16">
        <f>$D33</f>
        <v>69.374343750000008</v>
      </c>
      <c r="F18" s="16">
        <f>$D34</f>
        <v>65.211883125</v>
      </c>
      <c r="G18" s="16">
        <f>$D35</f>
        <v>69.374343750000008</v>
      </c>
      <c r="H18" s="16">
        <f>$D36</f>
        <v>69.374343750000008</v>
      </c>
      <c r="I18" s="16">
        <f>$D37</f>
        <v>65.211883125</v>
      </c>
      <c r="J18" s="16">
        <f>$D38</f>
        <v>69.374343750000008</v>
      </c>
      <c r="K18" s="16">
        <f>$D39</f>
        <v>69.374343750000008</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5" t="s">
        <v>90</v>
      </c>
      <c r="B19" s="126"/>
      <c r="C19" s="16">
        <f>C18-C17</f>
        <v>-64.599999999999994</v>
      </c>
      <c r="D19" s="16">
        <f t="shared" ref="D19:V19" si="1">D18-D17</f>
        <v>-64.599999999999994</v>
      </c>
      <c r="E19" s="16">
        <f t="shared" si="1"/>
        <v>4.7743437500000141</v>
      </c>
      <c r="F19" s="16">
        <f t="shared" si="1"/>
        <v>0.61188312500000563</v>
      </c>
      <c r="G19" s="16">
        <f t="shared" si="1"/>
        <v>4.7743437500000141</v>
      </c>
      <c r="H19" s="16">
        <f t="shared" si="1"/>
        <v>4.7743437500000141</v>
      </c>
      <c r="I19" s="16">
        <f t="shared" si="1"/>
        <v>0.61188312500000563</v>
      </c>
      <c r="J19" s="16">
        <f t="shared" si="1"/>
        <v>4.7743437500000141</v>
      </c>
      <c r="K19" s="16">
        <f t="shared" si="1"/>
        <v>4.7743437500000141</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27" t="s">
        <v>91</v>
      </c>
      <c r="B20" s="128"/>
      <c r="C20" s="26" t="str">
        <f>IF($B31="","",IF(C$19&gt;=0,"INCREASE","DECREASE"))</f>
        <v>DECREASE</v>
      </c>
      <c r="D20" s="26" t="str">
        <f>IF($B32="","",IF(D$19&gt;=0,"INCREASE","DECREASE"))</f>
        <v>DECREASE</v>
      </c>
      <c r="E20" s="26" t="str">
        <f>IF($B33="","",IF(E$19&gt;=0,"INCREASE","DECREASE"))</f>
        <v>INCREASE</v>
      </c>
      <c r="F20" s="26" t="str">
        <f>IF($B34="","",IF(F$19&gt;=0,"INCREASE","DECREASE"))</f>
        <v>INCREASE</v>
      </c>
      <c r="G20" s="26" t="str">
        <f>IF($B35="","",IF(G$19&gt;=0,"INCREASE","DECREASE"))</f>
        <v>INCREASE</v>
      </c>
      <c r="H20" s="26" t="str">
        <f>IF($B36="","",IF(H$19&gt;=0,"INCREASE","DECREASE"))</f>
        <v>INCREASE</v>
      </c>
      <c r="I20" s="26" t="str">
        <f>IF($B37="","",IF(I$19&gt;=0,"INCREASE","DECREASE"))</f>
        <v>INCREASE</v>
      </c>
      <c r="J20" s="26" t="str">
        <f>IF($B38="","",IF(J$19&gt;=0,"INCREASE","DECREASE"))</f>
        <v>INCREASE</v>
      </c>
      <c r="K20" s="26" t="str">
        <f>IF($B39="","",IF(K$19&gt;=0,"INCREASE","DECREASE"))</f>
        <v>INCREASE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3" t="s">
        <v>88</v>
      </c>
      <c r="B21" s="12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5" t="s">
        <v>89</v>
      </c>
      <c r="B22" s="126"/>
      <c r="C22" s="16">
        <f>$E31</f>
        <v>0</v>
      </c>
      <c r="D22" s="16">
        <f>$E32</f>
        <v>0</v>
      </c>
      <c r="E22" s="16">
        <f>$E33</f>
        <v>1.5471296250000004</v>
      </c>
      <c r="F22" s="16">
        <f>$E34</f>
        <v>1.4543018475000002</v>
      </c>
      <c r="G22" s="16">
        <f>$E35</f>
        <v>1.5471296250000004</v>
      </c>
      <c r="H22" s="16">
        <f>$E36</f>
        <v>1.5471296250000004</v>
      </c>
      <c r="I22" s="16">
        <f>$E37</f>
        <v>1.4543018475000002</v>
      </c>
      <c r="J22" s="16">
        <f>$E38</f>
        <v>1.5471296250000004</v>
      </c>
      <c r="K22" s="16">
        <f>$E39</f>
        <v>1.5471296250000004</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5" t="s">
        <v>92</v>
      </c>
      <c r="B23" s="126"/>
      <c r="C23" s="16">
        <f>C22-C21</f>
        <v>-228</v>
      </c>
      <c r="D23" s="16">
        <f t="shared" ref="D23:V23" si="3">D22-D21</f>
        <v>-228</v>
      </c>
      <c r="E23" s="16">
        <f t="shared" si="3"/>
        <v>-226.452870375</v>
      </c>
      <c r="F23" s="16">
        <f t="shared" si="3"/>
        <v>-226.54569815249999</v>
      </c>
      <c r="G23" s="16">
        <f t="shared" si="3"/>
        <v>-226.452870375</v>
      </c>
      <c r="H23" s="16">
        <f t="shared" si="3"/>
        <v>-226.452870375</v>
      </c>
      <c r="I23" s="16">
        <f t="shared" si="3"/>
        <v>-226.54569815249999</v>
      </c>
      <c r="J23" s="16">
        <f t="shared" si="3"/>
        <v>-226.452870375</v>
      </c>
      <c r="K23" s="16">
        <f t="shared" si="3"/>
        <v>-226.452870375</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27" t="s">
        <v>93</v>
      </c>
      <c r="B24" s="128"/>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8" t="s">
        <v>116</v>
      </c>
      <c r="AJ26" s="69">
        <v>0.7</v>
      </c>
      <c r="AK26" s="70">
        <v>2.4</v>
      </c>
      <c r="AL26" s="29">
        <v>24</v>
      </c>
      <c r="AM26" s="10">
        <v>6.7</v>
      </c>
      <c r="AN26" s="11" t="s">
        <v>135</v>
      </c>
    </row>
    <row r="27" spans="1:40" s="57" customFormat="1" x14ac:dyDescent="0.3">
      <c r="A27" s="105"/>
      <c r="B27" s="71"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c r="S27" s="106" t="s">
        <v>55</v>
      </c>
      <c r="T27" s="106"/>
      <c r="U27" s="106"/>
    </row>
    <row r="28" spans="1:40" s="57" customFormat="1" x14ac:dyDescent="0.3">
      <c r="A28" s="107"/>
      <c r="B28" s="24">
        <v>3.23</v>
      </c>
      <c r="C28" s="15">
        <v>1.27</v>
      </c>
      <c r="D28" s="15">
        <v>0.375</v>
      </c>
      <c r="E28" s="15">
        <v>1.5900000000000001E-2</v>
      </c>
      <c r="F28" s="15">
        <v>391</v>
      </c>
      <c r="G28" s="15">
        <v>78.5</v>
      </c>
      <c r="H28" s="15">
        <v>327</v>
      </c>
      <c r="I28" s="15">
        <v>4.05</v>
      </c>
      <c r="J28" s="15">
        <v>0.61</v>
      </c>
      <c r="K28" s="23">
        <v>0.63</v>
      </c>
      <c r="L28" s="15">
        <v>22.3</v>
      </c>
      <c r="M28" s="15">
        <v>4.3</v>
      </c>
      <c r="N28" s="15">
        <v>204000</v>
      </c>
      <c r="O28" s="15">
        <v>6140</v>
      </c>
      <c r="P28" s="15"/>
      <c r="Q28" s="15">
        <v>7250</v>
      </c>
      <c r="R28" s="15"/>
      <c r="S28" s="15">
        <v>24.3</v>
      </c>
      <c r="T28" s="15"/>
      <c r="U28" s="15"/>
    </row>
    <row r="29" spans="1:40" s="7" customFormat="1" ht="28.8" x14ac:dyDescent="0.3">
      <c r="A29" s="12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3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f>C8</f>
        <v>1</v>
      </c>
      <c r="B31" s="15">
        <v>0</v>
      </c>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f>D8</f>
        <v>2</v>
      </c>
      <c r="B32" s="15">
        <v>0</v>
      </c>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3">
      <c r="A33" s="13">
        <f>E8</f>
        <v>3</v>
      </c>
      <c r="B33" s="15">
        <v>250</v>
      </c>
      <c r="C33" s="77">
        <f t="shared" si="6"/>
        <v>102.55250000000001</v>
      </c>
      <c r="D33" s="77">
        <f t="shared" si="7"/>
        <v>69.374343750000008</v>
      </c>
      <c r="E33" s="77">
        <f t="shared" si="8"/>
        <v>1.5471296250000004</v>
      </c>
      <c r="F33" s="77">
        <f t="shared" si="9"/>
        <v>5.23484485</v>
      </c>
      <c r="G33" s="77">
        <f t="shared" si="5"/>
        <v>0.63388750000000005</v>
      </c>
      <c r="H33" s="77">
        <f t="shared" si="5"/>
        <v>2.6405250000000002</v>
      </c>
      <c r="I33" s="77">
        <f t="shared" si="5"/>
        <v>3.2703749999999997E-2</v>
      </c>
      <c r="J33" s="77">
        <f t="shared" si="5"/>
        <v>4.9257500000000004E-3</v>
      </c>
      <c r="K33" s="77">
        <f t="shared" si="5"/>
        <v>5.0872500000000006E-3</v>
      </c>
      <c r="L33" s="77">
        <f t="shared" si="5"/>
        <v>0.18007250000000002</v>
      </c>
      <c r="M33" s="77">
        <f t="shared" si="5"/>
        <v>3.4722500000000003E-2</v>
      </c>
      <c r="N33" s="77">
        <f t="shared" si="5"/>
        <v>1647.3000000000002</v>
      </c>
      <c r="O33" s="77">
        <f t="shared" si="5"/>
        <v>49.580500000000008</v>
      </c>
      <c r="P33" s="77">
        <f t="shared" si="5"/>
        <v>0</v>
      </c>
      <c r="Q33" s="77">
        <f t="shared" si="10"/>
        <v>146.359375</v>
      </c>
      <c r="R33" s="77">
        <f t="shared" si="11"/>
        <v>0</v>
      </c>
      <c r="S33" s="77">
        <f t="shared" si="11"/>
        <v>0.19622250000000002</v>
      </c>
      <c r="T33" s="77">
        <f t="shared" si="11"/>
        <v>0</v>
      </c>
      <c r="U33" s="77">
        <f t="shared" si="11"/>
        <v>0</v>
      </c>
      <c r="AB33" s="59"/>
      <c r="AC33" s="59"/>
      <c r="AD33" s="59"/>
      <c r="AE33" s="59"/>
      <c r="AF33" s="59"/>
      <c r="AG33" s="59"/>
      <c r="AH33" s="59"/>
      <c r="AI33" s="59"/>
    </row>
    <row r="34" spans="1:35" s="72" customFormat="1" x14ac:dyDescent="0.3">
      <c r="A34" s="13">
        <f>F8</f>
        <v>4</v>
      </c>
      <c r="B34" s="15">
        <v>235</v>
      </c>
      <c r="C34" s="77">
        <f t="shared" si="6"/>
        <v>96.399349999999998</v>
      </c>
      <c r="D34" s="77">
        <f t="shared" si="7"/>
        <v>65.211883125</v>
      </c>
      <c r="E34" s="77">
        <f t="shared" si="8"/>
        <v>1.4543018475000002</v>
      </c>
      <c r="F34" s="77">
        <f t="shared" si="9"/>
        <v>4.9207541590000003</v>
      </c>
      <c r="G34" s="77">
        <f t="shared" si="5"/>
        <v>0.59585425000000003</v>
      </c>
      <c r="H34" s="77">
        <f t="shared" si="5"/>
        <v>2.4820935000000004</v>
      </c>
      <c r="I34" s="77">
        <f t="shared" si="5"/>
        <v>3.0741524999999999E-2</v>
      </c>
      <c r="J34" s="77">
        <f t="shared" si="5"/>
        <v>4.6302050000000001E-3</v>
      </c>
      <c r="K34" s="77">
        <f t="shared" si="5"/>
        <v>4.7820150000000006E-3</v>
      </c>
      <c r="L34" s="77">
        <f t="shared" si="5"/>
        <v>0.16926815000000001</v>
      </c>
      <c r="M34" s="77">
        <f t="shared" si="5"/>
        <v>3.2639150000000006E-2</v>
      </c>
      <c r="N34" s="77">
        <f t="shared" si="5"/>
        <v>1548.4620000000002</v>
      </c>
      <c r="O34" s="77">
        <f t="shared" si="5"/>
        <v>46.605670000000003</v>
      </c>
      <c r="P34" s="77">
        <f t="shared" si="5"/>
        <v>0</v>
      </c>
      <c r="Q34" s="77">
        <f t="shared" si="10"/>
        <v>137.57781249999999</v>
      </c>
      <c r="R34" s="77">
        <f t="shared" si="11"/>
        <v>0</v>
      </c>
      <c r="S34" s="77">
        <f t="shared" si="11"/>
        <v>0.18444915000000003</v>
      </c>
      <c r="T34" s="77">
        <f t="shared" si="11"/>
        <v>0</v>
      </c>
      <c r="U34" s="77">
        <f t="shared" si="11"/>
        <v>0</v>
      </c>
      <c r="AB34" s="59"/>
      <c r="AC34" s="59"/>
      <c r="AD34" s="59"/>
      <c r="AE34" s="59"/>
      <c r="AF34" s="59"/>
      <c r="AG34" s="59"/>
      <c r="AH34" s="59"/>
      <c r="AI34" s="59"/>
    </row>
    <row r="35" spans="1:35" s="72" customFormat="1" x14ac:dyDescent="0.3">
      <c r="A35" s="13">
        <f>G8</f>
        <v>7</v>
      </c>
      <c r="B35" s="15">
        <v>250</v>
      </c>
      <c r="C35" s="77">
        <f t="shared" si="6"/>
        <v>102.55250000000001</v>
      </c>
      <c r="D35" s="77">
        <f t="shared" si="7"/>
        <v>69.374343750000008</v>
      </c>
      <c r="E35" s="77">
        <f t="shared" si="8"/>
        <v>1.5471296250000004</v>
      </c>
      <c r="F35" s="77">
        <f t="shared" si="9"/>
        <v>5.23484485</v>
      </c>
      <c r="G35" s="77">
        <f t="shared" si="5"/>
        <v>0.63388750000000005</v>
      </c>
      <c r="H35" s="77">
        <f t="shared" si="5"/>
        <v>2.6405250000000002</v>
      </c>
      <c r="I35" s="77">
        <f t="shared" si="5"/>
        <v>3.2703749999999997E-2</v>
      </c>
      <c r="J35" s="77">
        <f t="shared" si="5"/>
        <v>4.9257500000000004E-3</v>
      </c>
      <c r="K35" s="77">
        <f t="shared" si="5"/>
        <v>5.0872500000000006E-3</v>
      </c>
      <c r="L35" s="77">
        <f t="shared" si="5"/>
        <v>0.18007250000000002</v>
      </c>
      <c r="M35" s="77">
        <f t="shared" si="5"/>
        <v>3.4722500000000003E-2</v>
      </c>
      <c r="N35" s="77">
        <f t="shared" si="5"/>
        <v>1647.3000000000002</v>
      </c>
      <c r="O35" s="77">
        <f t="shared" si="5"/>
        <v>49.580500000000008</v>
      </c>
      <c r="P35" s="77">
        <f t="shared" si="5"/>
        <v>0</v>
      </c>
      <c r="Q35" s="77">
        <f t="shared" si="10"/>
        <v>146.359375</v>
      </c>
      <c r="R35" s="77">
        <f t="shared" si="11"/>
        <v>0</v>
      </c>
      <c r="S35" s="77">
        <f t="shared" si="11"/>
        <v>0.19622250000000002</v>
      </c>
      <c r="T35" s="77">
        <f t="shared" si="11"/>
        <v>0</v>
      </c>
      <c r="U35" s="77">
        <f t="shared" si="11"/>
        <v>0</v>
      </c>
      <c r="AB35" s="59"/>
      <c r="AC35" s="59"/>
      <c r="AD35" s="59"/>
      <c r="AE35" s="59"/>
      <c r="AF35" s="59"/>
      <c r="AG35" s="59"/>
      <c r="AH35" s="59"/>
      <c r="AI35" s="59"/>
    </row>
    <row r="36" spans="1:35" s="72" customFormat="1" x14ac:dyDescent="0.3">
      <c r="A36" s="13">
        <f>H8</f>
        <v>8</v>
      </c>
      <c r="B36" s="15">
        <v>250</v>
      </c>
      <c r="C36" s="77">
        <f t="shared" si="6"/>
        <v>102.55250000000001</v>
      </c>
      <c r="D36" s="77">
        <f t="shared" si="7"/>
        <v>69.374343750000008</v>
      </c>
      <c r="E36" s="77">
        <f t="shared" si="8"/>
        <v>1.5471296250000004</v>
      </c>
      <c r="F36" s="77">
        <f t="shared" si="9"/>
        <v>5.23484485</v>
      </c>
      <c r="G36" s="77">
        <f t="shared" si="5"/>
        <v>0.63388750000000005</v>
      </c>
      <c r="H36" s="77">
        <f t="shared" si="5"/>
        <v>2.6405250000000002</v>
      </c>
      <c r="I36" s="77">
        <f t="shared" si="5"/>
        <v>3.2703749999999997E-2</v>
      </c>
      <c r="J36" s="77">
        <f t="shared" si="5"/>
        <v>4.9257500000000004E-3</v>
      </c>
      <c r="K36" s="77">
        <f t="shared" si="5"/>
        <v>5.0872500000000006E-3</v>
      </c>
      <c r="L36" s="77">
        <f t="shared" si="5"/>
        <v>0.18007250000000002</v>
      </c>
      <c r="M36" s="77">
        <f t="shared" si="5"/>
        <v>3.4722500000000003E-2</v>
      </c>
      <c r="N36" s="77">
        <f t="shared" si="5"/>
        <v>1647.3000000000002</v>
      </c>
      <c r="O36" s="77">
        <f t="shared" si="5"/>
        <v>49.580500000000008</v>
      </c>
      <c r="P36" s="77">
        <f t="shared" si="5"/>
        <v>0</v>
      </c>
      <c r="Q36" s="77">
        <f t="shared" si="10"/>
        <v>146.359375</v>
      </c>
      <c r="R36" s="77">
        <f t="shared" si="11"/>
        <v>0</v>
      </c>
      <c r="S36" s="77">
        <f t="shared" si="11"/>
        <v>0.19622250000000002</v>
      </c>
      <c r="T36" s="77">
        <f t="shared" si="11"/>
        <v>0</v>
      </c>
      <c r="U36" s="77">
        <f t="shared" si="11"/>
        <v>0</v>
      </c>
      <c r="AB36" s="59"/>
      <c r="AC36" s="59"/>
      <c r="AD36" s="59"/>
      <c r="AE36" s="59"/>
      <c r="AF36" s="59"/>
      <c r="AG36" s="59"/>
      <c r="AH36" s="59"/>
      <c r="AI36" s="59"/>
    </row>
    <row r="37" spans="1:35" s="72" customFormat="1" x14ac:dyDescent="0.3">
      <c r="A37" s="13">
        <f>I8</f>
        <v>20</v>
      </c>
      <c r="B37" s="15">
        <v>235</v>
      </c>
      <c r="C37" s="77">
        <f t="shared" si="6"/>
        <v>96.399349999999998</v>
      </c>
      <c r="D37" s="77">
        <f t="shared" si="7"/>
        <v>65.211883125</v>
      </c>
      <c r="E37" s="77">
        <f t="shared" si="8"/>
        <v>1.4543018475000002</v>
      </c>
      <c r="F37" s="77">
        <f t="shared" si="9"/>
        <v>4.9207541590000003</v>
      </c>
      <c r="G37" s="77">
        <f t="shared" si="5"/>
        <v>0.59585425000000003</v>
      </c>
      <c r="H37" s="77">
        <f t="shared" si="5"/>
        <v>2.4820935000000004</v>
      </c>
      <c r="I37" s="77">
        <f t="shared" si="5"/>
        <v>3.0741524999999999E-2</v>
      </c>
      <c r="J37" s="77">
        <f t="shared" si="5"/>
        <v>4.6302050000000001E-3</v>
      </c>
      <c r="K37" s="77">
        <f t="shared" si="5"/>
        <v>4.7820150000000006E-3</v>
      </c>
      <c r="L37" s="77">
        <f t="shared" si="5"/>
        <v>0.16926815000000001</v>
      </c>
      <c r="M37" s="77">
        <f t="shared" si="5"/>
        <v>3.2639150000000006E-2</v>
      </c>
      <c r="N37" s="77">
        <f t="shared" si="5"/>
        <v>1548.4620000000002</v>
      </c>
      <c r="O37" s="77">
        <f t="shared" si="5"/>
        <v>46.605670000000003</v>
      </c>
      <c r="P37" s="77">
        <f t="shared" si="5"/>
        <v>0</v>
      </c>
      <c r="Q37" s="77">
        <f t="shared" si="10"/>
        <v>137.57781249999999</v>
      </c>
      <c r="R37" s="77">
        <f t="shared" si="11"/>
        <v>0</v>
      </c>
      <c r="S37" s="77">
        <f t="shared" si="11"/>
        <v>0.18444915000000003</v>
      </c>
      <c r="T37" s="77">
        <f t="shared" si="11"/>
        <v>0</v>
      </c>
      <c r="U37" s="77">
        <f t="shared" si="11"/>
        <v>0</v>
      </c>
      <c r="AB37" s="59"/>
      <c r="AC37" s="59"/>
      <c r="AD37" s="59"/>
      <c r="AE37" s="59"/>
      <c r="AF37" s="59"/>
      <c r="AG37" s="59"/>
      <c r="AH37" s="59"/>
      <c r="AI37" s="59"/>
    </row>
    <row r="38" spans="1:35" s="72" customFormat="1" x14ac:dyDescent="0.3">
      <c r="A38" s="13">
        <f>J8</f>
        <v>21</v>
      </c>
      <c r="B38" s="15">
        <v>250</v>
      </c>
      <c r="C38" s="77">
        <f t="shared" si="6"/>
        <v>102.55250000000001</v>
      </c>
      <c r="D38" s="77">
        <f t="shared" si="7"/>
        <v>69.374343750000008</v>
      </c>
      <c r="E38" s="77">
        <f t="shared" si="8"/>
        <v>1.5471296250000004</v>
      </c>
      <c r="F38" s="77">
        <f t="shared" si="9"/>
        <v>5.23484485</v>
      </c>
      <c r="G38" s="77">
        <f t="shared" si="5"/>
        <v>0.63388750000000005</v>
      </c>
      <c r="H38" s="77">
        <f t="shared" si="5"/>
        <v>2.6405250000000002</v>
      </c>
      <c r="I38" s="77">
        <f t="shared" si="5"/>
        <v>3.2703749999999997E-2</v>
      </c>
      <c r="J38" s="77">
        <f t="shared" si="5"/>
        <v>4.9257500000000004E-3</v>
      </c>
      <c r="K38" s="77">
        <f t="shared" si="5"/>
        <v>5.0872500000000006E-3</v>
      </c>
      <c r="L38" s="77">
        <f t="shared" si="5"/>
        <v>0.18007250000000002</v>
      </c>
      <c r="M38" s="77">
        <f t="shared" si="5"/>
        <v>3.4722500000000003E-2</v>
      </c>
      <c r="N38" s="77">
        <f t="shared" si="5"/>
        <v>1647.3000000000002</v>
      </c>
      <c r="O38" s="77">
        <f t="shared" si="5"/>
        <v>49.580500000000008</v>
      </c>
      <c r="P38" s="77">
        <f t="shared" si="5"/>
        <v>0</v>
      </c>
      <c r="Q38" s="77">
        <f t="shared" si="10"/>
        <v>146.359375</v>
      </c>
      <c r="R38" s="77">
        <f t="shared" si="11"/>
        <v>0</v>
      </c>
      <c r="S38" s="77">
        <f t="shared" si="11"/>
        <v>0.19622250000000002</v>
      </c>
      <c r="T38" s="77">
        <f t="shared" si="11"/>
        <v>0</v>
      </c>
      <c r="U38" s="77">
        <f t="shared" si="11"/>
        <v>0</v>
      </c>
      <c r="AB38" s="59"/>
      <c r="AC38" s="59"/>
      <c r="AD38" s="59"/>
      <c r="AE38" s="59"/>
      <c r="AF38" s="59"/>
      <c r="AG38" s="59"/>
      <c r="AH38" s="59"/>
      <c r="AI38" s="59"/>
    </row>
    <row r="39" spans="1:35" s="72" customFormat="1" x14ac:dyDescent="0.3">
      <c r="A39" s="13">
        <f>K8</f>
        <v>22</v>
      </c>
      <c r="B39" s="15">
        <v>250</v>
      </c>
      <c r="C39" s="77">
        <f t="shared" si="6"/>
        <v>102.55250000000001</v>
      </c>
      <c r="D39" s="77">
        <f t="shared" si="7"/>
        <v>69.374343750000008</v>
      </c>
      <c r="E39" s="77">
        <f t="shared" si="8"/>
        <v>1.5471296250000004</v>
      </c>
      <c r="F39" s="77">
        <f t="shared" si="9"/>
        <v>5.23484485</v>
      </c>
      <c r="G39" s="77">
        <f t="shared" si="5"/>
        <v>0.63388750000000005</v>
      </c>
      <c r="H39" s="77">
        <f t="shared" si="5"/>
        <v>2.6405250000000002</v>
      </c>
      <c r="I39" s="77">
        <f t="shared" si="5"/>
        <v>3.2703749999999997E-2</v>
      </c>
      <c r="J39" s="77">
        <f t="shared" si="5"/>
        <v>4.9257500000000004E-3</v>
      </c>
      <c r="K39" s="77">
        <f t="shared" si="5"/>
        <v>5.0872500000000006E-3</v>
      </c>
      <c r="L39" s="77">
        <f t="shared" si="5"/>
        <v>0.18007250000000002</v>
      </c>
      <c r="M39" s="77">
        <f t="shared" si="5"/>
        <v>3.4722500000000003E-2</v>
      </c>
      <c r="N39" s="77">
        <f t="shared" si="5"/>
        <v>1647.3000000000002</v>
      </c>
      <c r="O39" s="77">
        <f t="shared" si="5"/>
        <v>49.580500000000008</v>
      </c>
      <c r="P39" s="77">
        <f t="shared" si="5"/>
        <v>0</v>
      </c>
      <c r="Q39" s="77">
        <f t="shared" si="10"/>
        <v>146.359375</v>
      </c>
      <c r="R39" s="77">
        <f t="shared" si="11"/>
        <v>0</v>
      </c>
      <c r="S39" s="77">
        <f t="shared" si="11"/>
        <v>0.19622250000000002</v>
      </c>
      <c r="T39" s="77">
        <f t="shared" si="11"/>
        <v>0</v>
      </c>
      <c r="U39" s="77">
        <f t="shared" si="11"/>
        <v>0</v>
      </c>
      <c r="AB39" s="59"/>
      <c r="AC39" s="59"/>
      <c r="AD39" s="59"/>
      <c r="AE39" s="59"/>
      <c r="AF39" s="59"/>
      <c r="AG39" s="59"/>
      <c r="AH39" s="59"/>
      <c r="AI39" s="59"/>
    </row>
    <row r="40" spans="1:35" s="72" customFormat="1" x14ac:dyDescent="0.3">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3">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f>C8</f>
        <v>1</v>
      </c>
      <c r="C57" s="8">
        <f t="shared" ref="C57:U57" si="13">D8</f>
        <v>2</v>
      </c>
      <c r="D57" s="8">
        <f t="shared" si="13"/>
        <v>3</v>
      </c>
      <c r="E57" s="8">
        <f t="shared" si="13"/>
        <v>4</v>
      </c>
      <c r="F57" s="8">
        <f t="shared" si="13"/>
        <v>7</v>
      </c>
      <c r="G57" s="8">
        <f t="shared" si="13"/>
        <v>8</v>
      </c>
      <c r="H57" s="8">
        <f t="shared" si="13"/>
        <v>20</v>
      </c>
      <c r="I57" s="8">
        <f t="shared" si="13"/>
        <v>21</v>
      </c>
      <c r="J57" s="8">
        <f t="shared" si="13"/>
        <v>22</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str">
        <f>J16&amp;" I "&amp;(VLOOKUP(J14,Table24581112[],6,FALSE))</f>
        <v>Medium/Clay I Grass</v>
      </c>
      <c r="J58" s="13" t="str">
        <f>K16&amp;" I "&amp;(VLOOKUP(K14,Table24581112[],6,FALSE))</f>
        <v>Medium/Clay I Grass</v>
      </c>
      <c r="K58" s="13" t="e">
        <f>L16&amp;" I "&amp;(VLOOKUP(L14,Table24581112[],6,FALSE))</f>
        <v>#N/A</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x14ac:dyDescent="0.25">
      <c r="A59" s="110" t="s">
        <v>132</v>
      </c>
      <c r="B59" s="76">
        <f>VLOOKUP(C$14,Table24581112[],5,FALSE)</f>
        <v>6.2</v>
      </c>
      <c r="C59" s="76">
        <f>VLOOKUP(D$14,Table24581112[],5,FALSE)</f>
        <v>6.2</v>
      </c>
      <c r="D59" s="76">
        <f>VLOOKUP(E$14,Table24581112[],5,FALSE)</f>
        <v>6.2</v>
      </c>
      <c r="E59" s="76">
        <f>VLOOKUP(F$14,Table24581112[],5,FALSE)</f>
        <v>6.2</v>
      </c>
      <c r="F59" s="76">
        <f>VLOOKUP(G$14,Table24581112[],5,FALSE)</f>
        <v>6.2</v>
      </c>
      <c r="G59" s="76">
        <f>VLOOKUP(H$14,Table24581112[],5,FALSE)</f>
        <v>6.2</v>
      </c>
      <c r="H59" s="76">
        <f>VLOOKUP(I$14,Table24581112[],5,FALSE)</f>
        <v>6.2</v>
      </c>
      <c r="I59" s="76">
        <f>VLOOKUP(J$14,Table24581112[],5,FALSE)</f>
        <v>6.2</v>
      </c>
      <c r="J59" s="76">
        <f>VLOOKUP(K$14,Table24581112[],5,FALSE)</f>
        <v>6.2</v>
      </c>
      <c r="K59" s="76" t="e">
        <f>VLOOKUP(L$14,Table24581112[],5,FALSE)</f>
        <v>#N/A</v>
      </c>
      <c r="L59" s="76" t="e">
        <f>VLOOKUP(M$14,Table24581112[],5,FALSE)</f>
        <v>#N/A</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x14ac:dyDescent="0.25">
      <c r="A60" s="110" t="s">
        <v>4</v>
      </c>
      <c r="B60" s="76">
        <f>C10</f>
        <v>5.6</v>
      </c>
      <c r="C60" s="76">
        <f t="shared" ref="C60:U60" si="14">D10</f>
        <v>5.7</v>
      </c>
      <c r="D60" s="76">
        <f t="shared" si="14"/>
        <v>6.8</v>
      </c>
      <c r="E60" s="76">
        <f t="shared" si="14"/>
        <v>6.4</v>
      </c>
      <c r="F60" s="76">
        <f t="shared" si="14"/>
        <v>6.2</v>
      </c>
      <c r="G60" s="76">
        <f t="shared" si="14"/>
        <v>6.2</v>
      </c>
      <c r="H60" s="76">
        <f t="shared" si="14"/>
        <v>6.1</v>
      </c>
      <c r="I60" s="76">
        <f t="shared" si="14"/>
        <v>6.2</v>
      </c>
      <c r="J60" s="76">
        <f t="shared" si="14"/>
        <v>6</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0"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0" t="s">
        <v>134</v>
      </c>
      <c r="B62" s="77">
        <f>B31</f>
        <v>0</v>
      </c>
      <c r="C62" s="77">
        <f>B32</f>
        <v>0</v>
      </c>
      <c r="D62" s="77">
        <f>B33</f>
        <v>250</v>
      </c>
      <c r="E62" s="77">
        <f>B34</f>
        <v>235</v>
      </c>
      <c r="F62" s="77">
        <f>B35</f>
        <v>250</v>
      </c>
      <c r="G62" s="77">
        <f>B36</f>
        <v>250</v>
      </c>
      <c r="H62" s="77">
        <f>B37</f>
        <v>235</v>
      </c>
      <c r="I62" s="77">
        <f>B38</f>
        <v>250</v>
      </c>
      <c r="J62" s="77">
        <f>B39</f>
        <v>250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1"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1" t="s">
        <v>156</v>
      </c>
      <c r="B64" s="77">
        <f>(B59-B60)*B61</f>
        <v>3.6000000000000032</v>
      </c>
      <c r="C64" s="77">
        <f t="shared" ref="C64:U64" si="17">(C59-C60)*C61</f>
        <v>3</v>
      </c>
      <c r="D64" s="77">
        <f t="shared" si="17"/>
        <v>-3.5999999999999979</v>
      </c>
      <c r="E64" s="77">
        <f t="shared" si="17"/>
        <v>-1.2000000000000011</v>
      </c>
      <c r="F64" s="77">
        <f t="shared" si="17"/>
        <v>0</v>
      </c>
      <c r="G64" s="77">
        <f t="shared" si="17"/>
        <v>0</v>
      </c>
      <c r="H64" s="77">
        <f t="shared" si="17"/>
        <v>0.6000000000000032</v>
      </c>
      <c r="I64" s="77">
        <f t="shared" si="17"/>
        <v>0</v>
      </c>
      <c r="J64" s="77">
        <f t="shared" si="17"/>
        <v>1.2000000000000011</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1" t="s">
        <v>157</v>
      </c>
      <c r="B65" s="77">
        <f>B63-B64</f>
        <v>-3.6000000000000032</v>
      </c>
      <c r="C65" s="77">
        <f t="shared" ref="C65:U65" si="18">C63-C64</f>
        <v>-3</v>
      </c>
      <c r="D65" s="77">
        <f t="shared" si="18"/>
        <v>3.5999999999999979</v>
      </c>
      <c r="E65" s="77">
        <f t="shared" si="18"/>
        <v>1.2000000000000011</v>
      </c>
      <c r="F65" s="77">
        <f t="shared" si="18"/>
        <v>0</v>
      </c>
      <c r="G65" s="77">
        <f t="shared" si="18"/>
        <v>0</v>
      </c>
      <c r="H65" s="77">
        <f t="shared" si="18"/>
        <v>-0.6000000000000032</v>
      </c>
      <c r="I65" s="77">
        <f t="shared" si="18"/>
        <v>0</v>
      </c>
      <c r="J65" s="77">
        <f t="shared" si="18"/>
        <v>-1.2000000000000011</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1" t="s">
        <v>148</v>
      </c>
      <c r="B66" s="78" t="str">
        <f>IF(B64&lt;=B63,"OVER","UNDER")</f>
        <v>UNDER</v>
      </c>
      <c r="C66" s="78" t="str">
        <f t="shared" ref="C66:U66" si="19">IF(C64&lt;=C63,"OVER","UNDER")</f>
        <v>UNDER</v>
      </c>
      <c r="D66" s="78" t="str">
        <f t="shared" si="19"/>
        <v>OVER</v>
      </c>
      <c r="E66" s="78" t="str">
        <f t="shared" si="19"/>
        <v>OVER</v>
      </c>
      <c r="F66" s="78" t="str">
        <f t="shared" si="19"/>
        <v>OVER</v>
      </c>
      <c r="G66" s="78" t="str">
        <f t="shared" si="19"/>
        <v>OVER</v>
      </c>
      <c r="H66" s="78" t="str">
        <f t="shared" si="19"/>
        <v>UNDER</v>
      </c>
      <c r="I66" s="78" t="str">
        <f t="shared" si="19"/>
        <v>OVER</v>
      </c>
      <c r="J66" s="78" t="str">
        <f t="shared" si="19"/>
        <v>UNDER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11" priority="37" operator="equal">
      <formula>"DECREASE"</formula>
    </cfRule>
    <cfRule type="cellIs" dxfId="210" priority="38" operator="equal">
      <formula>"INCREASE"</formula>
    </cfRule>
  </conditionalFormatting>
  <conditionalFormatting sqref="B31:B50 B62:U66">
    <cfRule type="cellIs" dxfId="209" priority="36" operator="greaterThan">
      <formula>$B$51</formula>
    </cfRule>
  </conditionalFormatting>
  <conditionalFormatting sqref="C31:C50">
    <cfRule type="cellIs" dxfId="208" priority="35" operator="greaterThan">
      <formula>$C$51</formula>
    </cfRule>
  </conditionalFormatting>
  <conditionalFormatting sqref="C18:V18">
    <cfRule type="cellIs" dxfId="207" priority="34" operator="equal">
      <formula>0</formula>
    </cfRule>
  </conditionalFormatting>
  <conditionalFormatting sqref="C17:V17">
    <cfRule type="cellIs" dxfId="206" priority="33" operator="equal">
      <formula>0</formula>
    </cfRule>
  </conditionalFormatting>
  <conditionalFormatting sqref="C19:V19">
    <cfRule type="cellIs" dxfId="205" priority="32" operator="equal">
      <formula>0</formula>
    </cfRule>
  </conditionalFormatting>
  <conditionalFormatting sqref="G31:G50">
    <cfRule type="cellIs" dxfId="204" priority="31" operator="greaterThan">
      <formula>$G$51</formula>
    </cfRule>
  </conditionalFormatting>
  <conditionalFormatting sqref="H31:H50">
    <cfRule type="cellIs" dxfId="203" priority="30" operator="greaterThan">
      <formula>$H$51</formula>
    </cfRule>
  </conditionalFormatting>
  <conditionalFormatting sqref="I31:I50">
    <cfRule type="cellIs" dxfId="202" priority="29" operator="greaterThan">
      <formula>$I$51</formula>
    </cfRule>
  </conditionalFormatting>
  <conditionalFormatting sqref="K31:K50">
    <cfRule type="cellIs" dxfId="201" priority="28" operator="greaterThan">
      <formula>$K$51</formula>
    </cfRule>
  </conditionalFormatting>
  <conditionalFormatting sqref="L31:L50">
    <cfRule type="cellIs" dxfId="200" priority="27" operator="greaterThan">
      <formula>$L$51</formula>
    </cfRule>
  </conditionalFormatting>
  <conditionalFormatting sqref="M31:M50">
    <cfRule type="cellIs" dxfId="199" priority="26" operator="greaterThan">
      <formula>$M$51</formula>
    </cfRule>
  </conditionalFormatting>
  <conditionalFormatting sqref="P31:P50">
    <cfRule type="cellIs" dxfId="198" priority="25" operator="greaterThan">
      <formula>$P$51</formula>
    </cfRule>
  </conditionalFormatting>
  <conditionalFormatting sqref="R31:R50">
    <cfRule type="cellIs" dxfId="197" priority="24" operator="greaterThan">
      <formula>$R$51</formula>
    </cfRule>
  </conditionalFormatting>
  <conditionalFormatting sqref="S31:S50">
    <cfRule type="cellIs" dxfId="196" priority="23" operator="greaterThan">
      <formula>$S$51</formula>
    </cfRule>
  </conditionalFormatting>
  <conditionalFormatting sqref="T31:T50">
    <cfRule type="cellIs" dxfId="195" priority="22" operator="greaterThan">
      <formula>$T$51</formula>
    </cfRule>
  </conditionalFormatting>
  <conditionalFormatting sqref="U31:U50">
    <cfRule type="cellIs" dxfId="194" priority="21" operator="greaterThan">
      <formula>$U$51</formula>
    </cfRule>
  </conditionalFormatting>
  <conditionalFormatting sqref="C22:V22">
    <cfRule type="cellIs" dxfId="193" priority="20" operator="equal">
      <formula>0</formula>
    </cfRule>
  </conditionalFormatting>
  <conditionalFormatting sqref="C24:V24">
    <cfRule type="cellIs" dxfId="192" priority="18" operator="equal">
      <formula>"DECREASE"</formula>
    </cfRule>
    <cfRule type="cellIs" dxfId="191" priority="19" operator="equal">
      <formula>"INCREASE"</formula>
    </cfRule>
  </conditionalFormatting>
  <conditionalFormatting sqref="C23:V23">
    <cfRule type="cellIs" dxfId="190" priority="17" operator="equal">
      <formula>0</formula>
    </cfRule>
  </conditionalFormatting>
  <conditionalFormatting sqref="C21:V21">
    <cfRule type="cellIs" dxfId="189" priority="13" operator="equal">
      <formula>0</formula>
    </cfRule>
  </conditionalFormatting>
  <conditionalFormatting sqref="B66:U66">
    <cfRule type="cellIs" dxfId="188" priority="11" operator="equal">
      <formula>"UNDER"</formula>
    </cfRule>
    <cfRule type="cellIs" dxfId="187" priority="12" operator="equal">
      <formula>"OVER"</formula>
    </cfRule>
  </conditionalFormatting>
  <conditionalFormatting sqref="J31:J50">
    <cfRule type="cellIs" dxfId="186" priority="8" operator="greaterThan">
      <formula>$J$51</formula>
    </cfRule>
  </conditionalFormatting>
  <conditionalFormatting sqref="L3">
    <cfRule type="cellIs" dxfId="185" priority="4" operator="lessThan">
      <formula>30</formula>
    </cfRule>
    <cfRule type="cellIs" dxfId="184" priority="5" operator="greaterThanOrEqual">
      <formula>30</formula>
    </cfRule>
  </conditionalFormatting>
  <conditionalFormatting sqref="I1">
    <cfRule type="cellIs" dxfId="183" priority="3" operator="between">
      <formula>0.1</formula>
      <formula>5</formula>
    </cfRule>
  </conditionalFormatting>
  <conditionalFormatting sqref="I2">
    <cfRule type="cellIs" dxfId="182" priority="2" operator="greaterThan">
      <formula>5000.1</formula>
    </cfRule>
  </conditionalFormatting>
  <conditionalFormatting sqref="I3">
    <cfRule type="cellIs" dxfId="181"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topLeftCell="A7" zoomScale="90" zoomScaleNormal="90" workbookViewId="0">
      <selection activeCell="R38" sqref="R38"/>
    </sheetView>
  </sheetViews>
  <sheetFormatPr defaultColWidth="13.109375" defaultRowHeight="13.2" x14ac:dyDescent="0.3"/>
  <cols>
    <col min="1" max="1" width="13.109375" style="11"/>
    <col min="2" max="2" width="15.88671875" style="11" customWidth="1"/>
    <col min="3" max="3" width="20.5546875" style="11" customWidth="1"/>
    <col min="4" max="4" width="20.33203125" style="11" bestFit="1" customWidth="1"/>
    <col min="5" max="22" width="21.33203125" style="11" customWidth="1"/>
    <col min="23" max="26" width="13.109375" style="11"/>
    <col min="27" max="27" width="0" style="11" hidden="1" customWidth="1"/>
    <col min="28" max="29" width="10.6640625" style="19" hidden="1" customWidth="1"/>
    <col min="30" max="30" width="19.6640625" style="19" hidden="1" customWidth="1"/>
    <col min="31" max="34" width="12.44140625" style="19" hidden="1" customWidth="1"/>
    <col min="35" max="35" width="27.6640625" style="19" hidden="1" customWidth="1"/>
    <col min="36" max="40" width="0" style="11" hidden="1" customWidth="1"/>
    <col min="41" max="41" width="67.33203125" style="11" hidden="1" customWidth="1"/>
    <col min="42" max="42" width="0" style="11" hidden="1" customWidth="1"/>
    <col min="43" max="16384" width="13.109375" style="11"/>
  </cols>
  <sheetData>
    <row r="1" spans="1:41" x14ac:dyDescent="0.25">
      <c r="A1" s="120" t="s">
        <v>41</v>
      </c>
      <c r="B1" s="120"/>
      <c r="C1" s="141" t="str">
        <f>'DCWW Bryn Cowlyd'!C1:D1</f>
        <v>PAN-022455</v>
      </c>
      <c r="D1" s="142"/>
      <c r="E1" s="93" t="s">
        <v>45</v>
      </c>
      <c r="F1" s="39">
        <f>'DCWW Bryn Cowlyd'!F1</f>
        <v>27.8</v>
      </c>
      <c r="G1" s="121" t="s">
        <v>43</v>
      </c>
      <c r="H1" s="122"/>
      <c r="I1" s="117">
        <v>6.6</v>
      </c>
      <c r="J1" s="120" t="s">
        <v>153</v>
      </c>
      <c r="K1" s="120"/>
      <c r="L1" s="96">
        <v>438</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20" t="s">
        <v>87</v>
      </c>
      <c r="B2" s="120"/>
      <c r="C2" s="143" t="str">
        <f>'DCWW Bryn Cowlyd'!C2:D2</f>
        <v>EPR/GP3792SK</v>
      </c>
      <c r="D2" s="144"/>
      <c r="E2" s="93" t="s">
        <v>109</v>
      </c>
      <c r="F2" s="118" t="s">
        <v>169</v>
      </c>
      <c r="G2" s="139" t="s">
        <v>110</v>
      </c>
      <c r="H2" s="140"/>
      <c r="I2" s="117"/>
      <c r="J2" s="120" t="s">
        <v>158</v>
      </c>
      <c r="K2" s="120"/>
      <c r="L2" s="96">
        <v>0.80500000000000005</v>
      </c>
      <c r="AB2" s="30" t="s">
        <v>56</v>
      </c>
      <c r="AC2" s="17"/>
      <c r="AD2" s="30" t="s">
        <v>70</v>
      </c>
      <c r="AE2" s="17"/>
      <c r="AF2" s="17"/>
      <c r="AG2" s="44" t="s">
        <v>76</v>
      </c>
      <c r="AH2" s="18"/>
      <c r="AI2" s="45" t="s">
        <v>126</v>
      </c>
      <c r="AJ2" s="46">
        <v>0</v>
      </c>
      <c r="AK2" s="47">
        <v>0</v>
      </c>
      <c r="AL2" s="10">
        <v>0</v>
      </c>
      <c r="AM2" s="11">
        <v>0</v>
      </c>
      <c r="AN2" s="11">
        <v>0</v>
      </c>
    </row>
    <row r="3" spans="1:41" x14ac:dyDescent="0.25">
      <c r="A3" s="121" t="s">
        <v>42</v>
      </c>
      <c r="B3" s="122"/>
      <c r="C3" s="143" t="str">
        <f>'DCWW Bryn Cowlyd'!C3:D3</f>
        <v>ByProduct recovery LTD</v>
      </c>
      <c r="D3" s="144"/>
      <c r="E3" s="93" t="s">
        <v>108</v>
      </c>
      <c r="F3" s="31" t="s">
        <v>78</v>
      </c>
      <c r="G3" s="120" t="s">
        <v>159</v>
      </c>
      <c r="H3" s="120"/>
      <c r="I3" s="117"/>
      <c r="J3" s="121" t="s">
        <v>154</v>
      </c>
      <c r="K3" s="122"/>
      <c r="L3" s="96">
        <f>(L1/(L2*10000))*100</f>
        <v>5.4409937888198749</v>
      </c>
      <c r="AB3" s="30" t="s">
        <v>57</v>
      </c>
      <c r="AC3" s="17"/>
      <c r="AD3" s="30" t="s">
        <v>71</v>
      </c>
      <c r="AE3" s="17"/>
      <c r="AF3" s="17"/>
      <c r="AG3" s="44" t="s">
        <v>77</v>
      </c>
      <c r="AH3" s="18"/>
      <c r="AI3" s="48" t="s">
        <v>113</v>
      </c>
      <c r="AJ3" s="49">
        <v>1.7</v>
      </c>
      <c r="AK3" s="50">
        <v>6</v>
      </c>
      <c r="AL3" s="51">
        <v>1</v>
      </c>
      <c r="AM3" s="11">
        <v>6.2</v>
      </c>
      <c r="AN3" s="11" t="s">
        <v>112</v>
      </c>
    </row>
    <row r="4" spans="1:41" x14ac:dyDescent="0.25">
      <c r="A4" s="120" t="s">
        <v>0</v>
      </c>
      <c r="B4" s="120"/>
      <c r="C4" s="141" t="str">
        <f>'DCWW Bryn Cowlyd'!C4:D4</f>
        <v>Blaen Y Coed Farm, Betws-y-Coed, LL24 0NY</v>
      </c>
      <c r="D4" s="142"/>
      <c r="E4" s="94" t="s">
        <v>1</v>
      </c>
      <c r="F4" s="95" t="s">
        <v>170</v>
      </c>
      <c r="G4" s="121"/>
      <c r="H4" s="122"/>
      <c r="I4" s="39"/>
      <c r="J4" s="121"/>
      <c r="K4" s="122"/>
      <c r="L4" s="95"/>
      <c r="AB4" s="30" t="s">
        <v>52</v>
      </c>
      <c r="AC4" s="17"/>
      <c r="AD4" s="52" t="s">
        <v>72</v>
      </c>
      <c r="AE4" s="17"/>
      <c r="AF4" s="17"/>
      <c r="AG4" s="44" t="s">
        <v>78</v>
      </c>
      <c r="AH4" s="18"/>
      <c r="AI4" s="53" t="s">
        <v>124</v>
      </c>
      <c r="AJ4" s="54">
        <v>7</v>
      </c>
      <c r="AK4" s="55">
        <v>10.5</v>
      </c>
      <c r="AL4" s="11">
        <v>2</v>
      </c>
      <c r="AM4" s="11">
        <v>6.7</v>
      </c>
      <c r="AN4" s="11" t="s">
        <v>135</v>
      </c>
    </row>
    <row r="5" spans="1:41" x14ac:dyDescent="0.25">
      <c r="A5" s="120" t="s">
        <v>47</v>
      </c>
      <c r="B5" s="120"/>
      <c r="C5" s="141" t="str">
        <f>'DCWW Bryn Cowlyd'!C5:D5</f>
        <v xml:space="preserve">Owen Clee </v>
      </c>
      <c r="D5" s="142"/>
      <c r="E5" s="93"/>
      <c r="F5" s="39"/>
      <c r="G5" s="121"/>
      <c r="H5" s="122"/>
      <c r="I5" s="39"/>
      <c r="J5" s="121"/>
      <c r="K5" s="122"/>
      <c r="L5" s="95"/>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26" t="s">
        <v>63</v>
      </c>
      <c r="B7" s="12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8"/>
    </row>
    <row r="8" spans="1:41" x14ac:dyDescent="0.25">
      <c r="A8" s="120" t="s">
        <v>2</v>
      </c>
      <c r="B8" s="120"/>
      <c r="C8" s="60">
        <f>'DCWW Bryn Cowlyd'!C8</f>
        <v>1</v>
      </c>
      <c r="D8" s="60">
        <f>'DCWW Bryn Cowlyd'!D8</f>
        <v>2</v>
      </c>
      <c r="E8" s="60">
        <f>'DCWW Bryn Cowlyd'!E8</f>
        <v>3</v>
      </c>
      <c r="F8" s="60">
        <f>'DCWW Bryn Cowlyd'!F8</f>
        <v>4</v>
      </c>
      <c r="G8" s="60">
        <f>'DCWW Bryn Cowlyd'!G8</f>
        <v>7</v>
      </c>
      <c r="H8" s="60">
        <f>'DCWW Bryn Cowlyd'!H8</f>
        <v>8</v>
      </c>
      <c r="I8" s="60">
        <f>'DCWW Bryn Cowlyd'!I8</f>
        <v>20</v>
      </c>
      <c r="J8" s="60">
        <f>'DCWW Bryn Cowlyd'!J8</f>
        <v>21</v>
      </c>
      <c r="K8" s="60">
        <f>'DCWW Bryn Cowlyd'!K8</f>
        <v>22</v>
      </c>
      <c r="L8" s="60">
        <f>'DCWW Bryn Cowlyd'!L8</f>
        <v>0</v>
      </c>
      <c r="M8" s="60">
        <f>'DCWW Bryn Cowlyd'!M8</f>
        <v>0</v>
      </c>
      <c r="N8" s="60">
        <f>'DCWW Bryn Cowlyd'!N8</f>
        <v>0</v>
      </c>
      <c r="O8" s="60">
        <f>'DCWW Bryn Cowlyd'!O8</f>
        <v>0</v>
      </c>
      <c r="P8" s="60">
        <f>'DCWW Bryn Cowlyd'!P8</f>
        <v>0</v>
      </c>
      <c r="Q8" s="60">
        <f>'DCWW Bryn Cowlyd'!Q8</f>
        <v>0</v>
      </c>
      <c r="R8" s="60">
        <f>'DCWW Bryn Cowlyd'!R8</f>
        <v>0</v>
      </c>
      <c r="S8" s="60">
        <f>'DCWW Bryn Cowlyd'!S8</f>
        <v>0</v>
      </c>
      <c r="T8" s="60">
        <f>'DCWW Bryn Cowlyd'!T8</f>
        <v>0</v>
      </c>
      <c r="U8" s="60">
        <f>'DCWW Bryn Cowlyd'!U8</f>
        <v>0</v>
      </c>
      <c r="V8" s="60">
        <f>'DCWW Bryn Cowlyd'!V8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20" t="s">
        <v>3</v>
      </c>
      <c r="B9" s="120"/>
      <c r="C9" s="60" t="str">
        <f>'DCWW Bryn Cowlyd'!C9</f>
        <v>Moderate</v>
      </c>
      <c r="D9" s="60" t="str">
        <f>'DCWW Bryn Cowlyd'!D9</f>
        <v>Moderate</v>
      </c>
      <c r="E9" s="60" t="str">
        <f>'DCWW Bryn Cowlyd'!E9</f>
        <v>Moderate</v>
      </c>
      <c r="F9" s="60" t="str">
        <f>'DCWW Bryn Cowlyd'!F9</f>
        <v>Moderate</v>
      </c>
      <c r="G9" s="60" t="str">
        <f>'DCWW Bryn Cowlyd'!G9</f>
        <v>Moderate</v>
      </c>
      <c r="H9" s="60" t="str">
        <f>'DCWW Bryn Cowlyd'!H9</f>
        <v>Moderate</v>
      </c>
      <c r="I9" s="60" t="str">
        <f>'DCWW Bryn Cowlyd'!I9</f>
        <v>Moderate</v>
      </c>
      <c r="J9" s="60" t="str">
        <f>'DCWW Bryn Cowlyd'!J9</f>
        <v>Moderate</v>
      </c>
      <c r="K9" s="60" t="str">
        <f>'DCWW Bryn Cowlyd'!K9</f>
        <v>Moderate</v>
      </c>
      <c r="L9" s="60">
        <f>'DCWW Bryn Cowlyd'!L9</f>
        <v>0</v>
      </c>
      <c r="M9" s="60">
        <f>'DCWW Bryn Cowlyd'!M9</f>
        <v>0</v>
      </c>
      <c r="N9" s="60">
        <f>'DCWW Bryn Cowlyd'!N9</f>
        <v>0</v>
      </c>
      <c r="O9" s="60">
        <f>'DCWW Bryn Cowlyd'!O9</f>
        <v>0</v>
      </c>
      <c r="P9" s="60">
        <f>'DCWW Bryn Cowlyd'!P9</f>
        <v>0</v>
      </c>
      <c r="Q9" s="60">
        <f>'DCWW Bryn Cowlyd'!Q9</f>
        <v>0</v>
      </c>
      <c r="R9" s="60">
        <f>'DCWW Bryn Cowlyd'!R9</f>
        <v>0</v>
      </c>
      <c r="S9" s="60">
        <f>'DCWW Bryn Cowlyd'!S9</f>
        <v>0</v>
      </c>
      <c r="T9" s="60">
        <f>'DCWW Bryn Cowlyd'!T9</f>
        <v>0</v>
      </c>
      <c r="U9" s="60">
        <f>'DCWW Bryn Cowlyd'!U9</f>
        <v>0</v>
      </c>
      <c r="V9" s="60">
        <f>'DCWW Bryn Cowlyd'!V9</f>
        <v>0</v>
      </c>
      <c r="AB9" s="17"/>
      <c r="AC9" s="17"/>
      <c r="AD9" s="30" t="s">
        <v>137</v>
      </c>
      <c r="AE9" s="30">
        <v>4.5</v>
      </c>
      <c r="AF9" s="17"/>
      <c r="AG9" s="18"/>
      <c r="AH9" s="18"/>
      <c r="AI9" s="63" t="s">
        <v>103</v>
      </c>
      <c r="AJ9" s="64">
        <v>0.7</v>
      </c>
      <c r="AK9" s="65">
        <v>4</v>
      </c>
      <c r="AL9" s="29">
        <v>7</v>
      </c>
      <c r="AM9" s="11">
        <v>6.7</v>
      </c>
      <c r="AN9" s="11" t="s">
        <v>135</v>
      </c>
      <c r="AO9" s="98"/>
    </row>
    <row r="10" spans="1:41" x14ac:dyDescent="0.25">
      <c r="A10" s="120" t="s">
        <v>4</v>
      </c>
      <c r="B10" s="120"/>
      <c r="C10" s="60">
        <f>'DCWW Bryn Cowlyd'!C10</f>
        <v>5.6</v>
      </c>
      <c r="D10" s="60">
        <f>'DCWW Bryn Cowlyd'!D10</f>
        <v>5.7</v>
      </c>
      <c r="E10" s="60">
        <f>'DCWW Bryn Cowlyd'!E10</f>
        <v>6.8</v>
      </c>
      <c r="F10" s="60">
        <f>'DCWW Bryn Cowlyd'!F10</f>
        <v>6.4</v>
      </c>
      <c r="G10" s="60">
        <f>'DCWW Bryn Cowlyd'!G10</f>
        <v>6.2</v>
      </c>
      <c r="H10" s="60">
        <f>'DCWW Bryn Cowlyd'!H10</f>
        <v>6.2</v>
      </c>
      <c r="I10" s="60">
        <f>'DCWW Bryn Cowlyd'!I10</f>
        <v>6.1</v>
      </c>
      <c r="J10" s="60">
        <f>'DCWW Bryn Cowlyd'!J10</f>
        <v>6.2</v>
      </c>
      <c r="K10" s="60">
        <f>'DCWW Bryn Cowlyd'!K10</f>
        <v>6</v>
      </c>
      <c r="L10" s="60">
        <f>'DCWW Bryn Cowlyd'!L10</f>
        <v>0</v>
      </c>
      <c r="M10" s="60">
        <f>'DCWW Bryn Cowlyd'!M10</f>
        <v>0</v>
      </c>
      <c r="N10" s="60">
        <f>'DCWW Bryn Cowlyd'!N10</f>
        <v>0</v>
      </c>
      <c r="O10" s="60">
        <f>'DCWW Bryn Cowlyd'!O10</f>
        <v>0</v>
      </c>
      <c r="P10" s="60">
        <f>'DCWW Bryn Cowlyd'!P10</f>
        <v>0</v>
      </c>
      <c r="Q10" s="60">
        <f>'DCWW Bryn Cowlyd'!Q10</f>
        <v>0</v>
      </c>
      <c r="R10" s="60">
        <f>'DCWW Bryn Cowlyd'!R10</f>
        <v>0</v>
      </c>
      <c r="S10" s="60">
        <f>'DCWW Bryn Cowlyd'!S10</f>
        <v>0</v>
      </c>
      <c r="T10" s="60">
        <f>'DCWW Bryn Cowlyd'!T10</f>
        <v>0</v>
      </c>
      <c r="U10" s="60">
        <f>'DCWW Bryn Cowlyd'!U10</f>
        <v>0</v>
      </c>
      <c r="V10" s="60">
        <f>'DCWW Bryn Cowlyd'!V10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20" t="s">
        <v>5</v>
      </c>
      <c r="B11" s="120"/>
      <c r="C11" s="60">
        <f>'DCWW Bryn Cowlyd'!C11</f>
        <v>2</v>
      </c>
      <c r="D11" s="60">
        <f>'DCWW Bryn Cowlyd'!D11</f>
        <v>3</v>
      </c>
      <c r="E11" s="60">
        <f>'DCWW Bryn Cowlyd'!E11</f>
        <v>1</v>
      </c>
      <c r="F11" s="60">
        <f>'DCWW Bryn Cowlyd'!F11</f>
        <v>3</v>
      </c>
      <c r="G11" s="60">
        <f>'DCWW Bryn Cowlyd'!G11</f>
        <v>1</v>
      </c>
      <c r="H11" s="60">
        <f>'DCWW Bryn Cowlyd'!H11</f>
        <v>1</v>
      </c>
      <c r="I11" s="60">
        <f>'DCWW Bryn Cowlyd'!I11</f>
        <v>2</v>
      </c>
      <c r="J11" s="60">
        <f>'DCWW Bryn Cowlyd'!J11</f>
        <v>1</v>
      </c>
      <c r="K11" s="60">
        <f>'DCWW Bryn Cowlyd'!K11</f>
        <v>1</v>
      </c>
      <c r="L11" s="60">
        <f>'DCWW Bryn Cowlyd'!L11</f>
        <v>0</v>
      </c>
      <c r="M11" s="60">
        <f>'DCWW Bryn Cowlyd'!M11</f>
        <v>0</v>
      </c>
      <c r="N11" s="60">
        <f>'DCWW Bryn Cowlyd'!N11</f>
        <v>0</v>
      </c>
      <c r="O11" s="60">
        <f>'DCWW Bryn Cowlyd'!O11</f>
        <v>0</v>
      </c>
      <c r="P11" s="60">
        <f>'DCWW Bryn Cowlyd'!P11</f>
        <v>0</v>
      </c>
      <c r="Q11" s="60">
        <f>'DCWW Bryn Cowlyd'!Q11</f>
        <v>0</v>
      </c>
      <c r="R11" s="60">
        <f>'DCWW Bryn Cowlyd'!R11</f>
        <v>0</v>
      </c>
      <c r="S11" s="60">
        <f>'DCWW Bryn Cowlyd'!S11</f>
        <v>0</v>
      </c>
      <c r="T11" s="60">
        <f>'DCWW Bryn Cowlyd'!T11</f>
        <v>0</v>
      </c>
      <c r="U11" s="60">
        <f>'DCWW Bryn Cowlyd'!U11</f>
        <v>0</v>
      </c>
      <c r="V11" s="60">
        <f>'DCWW Bryn Cowlyd'!V11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20" t="s">
        <v>6</v>
      </c>
      <c r="B12" s="120"/>
      <c r="C12" s="60">
        <f>'DCWW Bryn Cowlyd'!C12</f>
        <v>2</v>
      </c>
      <c r="D12" s="60">
        <f>'DCWW Bryn Cowlyd'!D12</f>
        <v>2</v>
      </c>
      <c r="E12" s="60">
        <f>'DCWW Bryn Cowlyd'!E12</f>
        <v>1</v>
      </c>
      <c r="F12" s="60">
        <f>'DCWW Bryn Cowlyd'!F12</f>
        <v>2</v>
      </c>
      <c r="G12" s="60">
        <f>'DCWW Bryn Cowlyd'!G12</f>
        <v>1</v>
      </c>
      <c r="H12" s="60">
        <f>'DCWW Bryn Cowlyd'!H12</f>
        <v>0</v>
      </c>
      <c r="I12" s="60">
        <f>'DCWW Bryn Cowlyd'!I12</f>
        <v>1</v>
      </c>
      <c r="J12" s="60">
        <f>'DCWW Bryn Cowlyd'!J12</f>
        <v>0</v>
      </c>
      <c r="K12" s="60">
        <f>'DCWW Bryn Cowlyd'!K12</f>
        <v>0</v>
      </c>
      <c r="L12" s="60">
        <f>'DCWW Bryn Cowlyd'!L12</f>
        <v>0</v>
      </c>
      <c r="M12" s="60">
        <f>'DCWW Bryn Cowlyd'!M12</f>
        <v>0</v>
      </c>
      <c r="N12" s="60">
        <f>'DCWW Bryn Cowlyd'!N12</f>
        <v>0</v>
      </c>
      <c r="O12" s="60">
        <f>'DCWW Bryn Cowlyd'!O12</f>
        <v>0</v>
      </c>
      <c r="P12" s="60">
        <f>'DCWW Bryn Cowlyd'!P12</f>
        <v>0</v>
      </c>
      <c r="Q12" s="60">
        <f>'DCWW Bryn Cowlyd'!Q12</f>
        <v>0</v>
      </c>
      <c r="R12" s="60">
        <f>'DCWW Bryn Cowlyd'!R12</f>
        <v>0</v>
      </c>
      <c r="S12" s="60">
        <f>'DCWW Bryn Cowlyd'!S12</f>
        <v>0</v>
      </c>
      <c r="T12" s="60">
        <f>'DCWW Bryn Cowlyd'!T12</f>
        <v>0</v>
      </c>
      <c r="U12" s="60">
        <f>'DCWW Bryn Cowlyd'!U12</f>
        <v>0</v>
      </c>
      <c r="V12" s="60">
        <f>'DCWW Bryn Cowlyd'!V12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20" t="s">
        <v>7</v>
      </c>
      <c r="B13" s="120"/>
      <c r="C13" s="60">
        <f>'DCWW Bryn Cowlyd'!C13</f>
        <v>2</v>
      </c>
      <c r="D13" s="60">
        <f>'DCWW Bryn Cowlyd'!D13</f>
        <v>2</v>
      </c>
      <c r="E13" s="60">
        <f>'DCWW Bryn Cowlyd'!E13</f>
        <v>2</v>
      </c>
      <c r="F13" s="60">
        <f>'DCWW Bryn Cowlyd'!F13</f>
        <v>3</v>
      </c>
      <c r="G13" s="60">
        <f>'DCWW Bryn Cowlyd'!G13</f>
        <v>2</v>
      </c>
      <c r="H13" s="60">
        <f>'DCWW Bryn Cowlyd'!H13</f>
        <v>2</v>
      </c>
      <c r="I13" s="60">
        <f>'DCWW Bryn Cowlyd'!I13</f>
        <v>2</v>
      </c>
      <c r="J13" s="60">
        <f>'DCWW Bryn Cowlyd'!J13</f>
        <v>2</v>
      </c>
      <c r="K13" s="60">
        <f>'DCWW Bryn Cowlyd'!K13</f>
        <v>2</v>
      </c>
      <c r="L13" s="60">
        <f>'DCWW Bryn Cowlyd'!L13</f>
        <v>0</v>
      </c>
      <c r="M13" s="60">
        <f>'DCWW Bryn Cowlyd'!M13</f>
        <v>0</v>
      </c>
      <c r="N13" s="60">
        <f>'DCWW Bryn Cowlyd'!N13</f>
        <v>0</v>
      </c>
      <c r="O13" s="60">
        <f>'DCWW Bryn Cowlyd'!O13</f>
        <v>0</v>
      </c>
      <c r="P13" s="60">
        <f>'DCWW Bryn Cowlyd'!P13</f>
        <v>0</v>
      </c>
      <c r="Q13" s="60">
        <f>'DCWW Bryn Cowlyd'!Q13</f>
        <v>0</v>
      </c>
      <c r="R13" s="60">
        <f>'DCWW Bryn Cowlyd'!R13</f>
        <v>0</v>
      </c>
      <c r="S13" s="60">
        <f>'DCWW Bryn Cowlyd'!S13</f>
        <v>0</v>
      </c>
      <c r="T13" s="60">
        <f>'DCWW Bryn Cowlyd'!T13</f>
        <v>0</v>
      </c>
      <c r="U13" s="60">
        <f>'DCWW Bryn Cowlyd'!U13</f>
        <v>0</v>
      </c>
      <c r="V13" s="60">
        <f>'DCWW Bryn Cowlyd'!V13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2" t="s">
        <v>8</v>
      </c>
      <c r="B14" s="132"/>
      <c r="C14" s="101" t="str">
        <f>'DCWW Bryn Cowlyd'!C14</f>
        <v xml:space="preserve">Grass Silage (25% DM) </v>
      </c>
      <c r="D14" s="101" t="str">
        <f>'DCWW Bryn Cowlyd'!D14</f>
        <v xml:space="preserve">Grass Silage (25% DM) </v>
      </c>
      <c r="E14" s="101" t="str">
        <f>'DCWW Bryn Cowlyd'!E14</f>
        <v xml:space="preserve">Grass Silage (25% DM) </v>
      </c>
      <c r="F14" s="101" t="str">
        <f>'DCWW Bryn Cowlyd'!F14</f>
        <v xml:space="preserve">Grass Silage (25% DM) </v>
      </c>
      <c r="G14" s="101" t="str">
        <f>'DCWW Bryn Cowlyd'!G14</f>
        <v xml:space="preserve">Grass Silage (25% DM) </v>
      </c>
      <c r="H14" s="101" t="str">
        <f>'DCWW Bryn Cowlyd'!H14</f>
        <v xml:space="preserve">Grass Silage (25% DM) </v>
      </c>
      <c r="I14" s="101" t="str">
        <f>'DCWW Bryn Cowlyd'!I14</f>
        <v xml:space="preserve">Grass Silage (25% DM) </v>
      </c>
      <c r="J14" s="101" t="str">
        <f>'DCWW Bryn Cowlyd'!J14</f>
        <v xml:space="preserve">Grass Silage (25% DM) </v>
      </c>
      <c r="K14" s="101" t="str">
        <f>'DCWW Bryn Cowlyd'!K14</f>
        <v xml:space="preserve">Grass Silage (25% DM) </v>
      </c>
      <c r="L14" s="101">
        <f>'DCWW Bryn Cowlyd'!L14</f>
        <v>0</v>
      </c>
      <c r="M14" s="101">
        <f>'DCWW Bryn Cowlyd'!M14</f>
        <v>0</v>
      </c>
      <c r="N14" s="101">
        <f>'DCWW Bryn Cowlyd'!N14</f>
        <v>0</v>
      </c>
      <c r="O14" s="101">
        <f>'DCWW Bryn Cowlyd'!O14</f>
        <v>0</v>
      </c>
      <c r="P14" s="101">
        <f>'DCWW Bryn Cowlyd'!P14</f>
        <v>0</v>
      </c>
      <c r="Q14" s="101">
        <f>'DCWW Bryn Cowlyd'!Q14</f>
        <v>0</v>
      </c>
      <c r="R14" s="101">
        <f>'DCWW Bryn Cowlyd'!R14</f>
        <v>0</v>
      </c>
      <c r="S14" s="101">
        <f>'DCWW Bryn Cowlyd'!S14</f>
        <v>0</v>
      </c>
      <c r="T14" s="101">
        <f>'DCWW Bryn Cowlyd'!T14</f>
        <v>0</v>
      </c>
      <c r="U14" s="101">
        <f>'DCWW Bryn Cowlyd'!U14</f>
        <v>0</v>
      </c>
      <c r="V14" s="101">
        <f>'DCWW Bryn Cowlyd'!V14</f>
        <v>0</v>
      </c>
      <c r="AD14" s="30" t="s">
        <v>138</v>
      </c>
      <c r="AE14" s="30">
        <v>6</v>
      </c>
      <c r="AI14" s="53" t="s">
        <v>119</v>
      </c>
      <c r="AJ14" s="54">
        <v>0.8</v>
      </c>
      <c r="AK14" s="55">
        <v>1.7</v>
      </c>
      <c r="AL14" s="11">
        <v>12</v>
      </c>
      <c r="AM14" s="11">
        <v>6.7</v>
      </c>
      <c r="AN14" s="11" t="s">
        <v>135</v>
      </c>
    </row>
    <row r="15" spans="1:41" x14ac:dyDescent="0.25">
      <c r="A15" s="131" t="s">
        <v>9</v>
      </c>
      <c r="B15" s="131"/>
      <c r="C15" s="60">
        <f>'DCWW Bryn Cowlyd'!C15</f>
        <v>38</v>
      </c>
      <c r="D15" s="60">
        <f>'DCWW Bryn Cowlyd'!D15</f>
        <v>38</v>
      </c>
      <c r="E15" s="60">
        <f>'DCWW Bryn Cowlyd'!E15</f>
        <v>38</v>
      </c>
      <c r="F15" s="60">
        <f>'DCWW Bryn Cowlyd'!F15</f>
        <v>38</v>
      </c>
      <c r="G15" s="60">
        <f>'DCWW Bryn Cowlyd'!G15</f>
        <v>38</v>
      </c>
      <c r="H15" s="60">
        <f>'DCWW Bryn Cowlyd'!H15</f>
        <v>38</v>
      </c>
      <c r="I15" s="60">
        <f>'DCWW Bryn Cowlyd'!I15</f>
        <v>38</v>
      </c>
      <c r="J15" s="60">
        <f>'DCWW Bryn Cowlyd'!J15</f>
        <v>38</v>
      </c>
      <c r="K15" s="60">
        <f>'DCWW Bryn Cowlyd'!K15</f>
        <v>38</v>
      </c>
      <c r="L15" s="60">
        <f>'DCWW Bryn Cowlyd'!L15</f>
        <v>0</v>
      </c>
      <c r="M15" s="60">
        <f>'DCWW Bryn Cowlyd'!M15</f>
        <v>0</v>
      </c>
      <c r="N15" s="60">
        <f>'DCWW Bryn Cowlyd'!N15</f>
        <v>0</v>
      </c>
      <c r="O15" s="60">
        <f>'DCWW Bryn Cowlyd'!O15</f>
        <v>0</v>
      </c>
      <c r="P15" s="60">
        <f>'DCWW Bryn Cowlyd'!P15</f>
        <v>0</v>
      </c>
      <c r="Q15" s="60">
        <f>'DCWW Bryn Cowlyd'!Q15</f>
        <v>0</v>
      </c>
      <c r="R15" s="60">
        <f>'DCWW Bryn Cowlyd'!R15</f>
        <v>0</v>
      </c>
      <c r="S15" s="60">
        <f>'DCWW Bryn Cowlyd'!S15</f>
        <v>0</v>
      </c>
      <c r="T15" s="60">
        <f>'DCWW Bryn Cowlyd'!T15</f>
        <v>0</v>
      </c>
      <c r="U15" s="60">
        <f>'DCWW Bryn Cowlyd'!U15</f>
        <v>0</v>
      </c>
      <c r="V15" s="60">
        <f>'DCWW Bryn Cowlyd'!V15</f>
        <v>0</v>
      </c>
      <c r="AD15" s="30" t="s">
        <v>144</v>
      </c>
      <c r="AE15" s="30">
        <v>7</v>
      </c>
      <c r="AI15" s="53" t="s">
        <v>101</v>
      </c>
      <c r="AJ15" s="62">
        <v>1.8</v>
      </c>
      <c r="AK15" s="55">
        <v>5.4</v>
      </c>
      <c r="AL15" s="11">
        <v>13</v>
      </c>
      <c r="AM15" s="11">
        <v>6.7</v>
      </c>
      <c r="AN15" s="11" t="s">
        <v>135</v>
      </c>
    </row>
    <row r="16" spans="1:41" ht="13.8" thickBot="1" x14ac:dyDescent="0.3">
      <c r="A16" s="133" t="s">
        <v>44</v>
      </c>
      <c r="B16" s="133"/>
      <c r="C16" s="102" t="str">
        <f>'DCWW Bryn Cowlyd'!C16</f>
        <v>Medium/Clay</v>
      </c>
      <c r="D16" s="102" t="str">
        <f>'DCWW Bryn Cowlyd'!D16</f>
        <v>Medium/Clay</v>
      </c>
      <c r="E16" s="102" t="str">
        <f>'DCWW Bryn Cowlyd'!E16</f>
        <v>Medium/Clay</v>
      </c>
      <c r="F16" s="102" t="str">
        <f>'DCWW Bryn Cowlyd'!F16</f>
        <v>Medium/Clay</v>
      </c>
      <c r="G16" s="102" t="str">
        <f>'DCWW Bryn Cowlyd'!G16</f>
        <v>Medium/Clay</v>
      </c>
      <c r="H16" s="102" t="str">
        <f>'DCWW Bryn Cowlyd'!H16</f>
        <v>Medium/Clay</v>
      </c>
      <c r="I16" s="102" t="str">
        <f>'DCWW Bryn Cowlyd'!I16</f>
        <v>Medium/Clay</v>
      </c>
      <c r="J16" s="102" t="str">
        <f>'DCWW Bryn Cowlyd'!J16</f>
        <v>Medium/Clay</v>
      </c>
      <c r="K16" s="102" t="str">
        <f>'DCWW Bryn Cowlyd'!K16</f>
        <v>Medium/Clay</v>
      </c>
      <c r="L16" s="102">
        <f>'DCWW Bryn Cowlyd'!L16</f>
        <v>0</v>
      </c>
      <c r="M16" s="102">
        <f>'DCWW Bryn Cowlyd'!M16</f>
        <v>0</v>
      </c>
      <c r="N16" s="102">
        <f>'DCWW Bryn Cowlyd'!N16</f>
        <v>0</v>
      </c>
      <c r="O16" s="102">
        <f>'DCWW Bryn Cowlyd'!O16</f>
        <v>0</v>
      </c>
      <c r="P16" s="102">
        <f>'DCWW Bryn Cowlyd'!P16</f>
        <v>0</v>
      </c>
      <c r="Q16" s="102">
        <f>'DCWW Bryn Cowlyd'!Q16</f>
        <v>0</v>
      </c>
      <c r="R16" s="102">
        <f>'DCWW Bryn Cowlyd'!R16</f>
        <v>0</v>
      </c>
      <c r="S16" s="102">
        <f>'DCWW Bryn Cowlyd'!S16</f>
        <v>0</v>
      </c>
      <c r="T16" s="102">
        <f>'DCWW Bryn Cowlyd'!T16</f>
        <v>0</v>
      </c>
      <c r="U16" s="102">
        <f>'DCWW Bryn Cowlyd'!U16</f>
        <v>0</v>
      </c>
      <c r="V16" s="102">
        <f>'DCWW Bryn Cowlyd'!V16</f>
        <v>0</v>
      </c>
      <c r="AD16" s="52" t="s">
        <v>145</v>
      </c>
      <c r="AE16" s="30">
        <v>8</v>
      </c>
      <c r="AI16" s="53" t="s">
        <v>118</v>
      </c>
      <c r="AJ16" s="54">
        <v>8</v>
      </c>
      <c r="AK16" s="55">
        <v>5.5</v>
      </c>
      <c r="AL16" s="12">
        <v>14</v>
      </c>
      <c r="AM16" s="11">
        <v>6.7</v>
      </c>
      <c r="AN16" s="11" t="s">
        <v>135</v>
      </c>
    </row>
    <row r="17" spans="1:40" x14ac:dyDescent="0.25">
      <c r="A17" s="123" t="s">
        <v>69</v>
      </c>
      <c r="B17" s="12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5" t="s">
        <v>23</v>
      </c>
      <c r="B18" s="126"/>
      <c r="C18" s="16">
        <f>$D31</f>
        <v>0</v>
      </c>
      <c r="D18" s="16">
        <f>$D32</f>
        <v>0</v>
      </c>
      <c r="E18" s="16">
        <f>$D33</f>
        <v>18.843474999999994</v>
      </c>
      <c r="F18" s="16">
        <f>$D34</f>
        <v>18.843474999999994</v>
      </c>
      <c r="G18" s="16">
        <f>$D35</f>
        <v>18.843474999999994</v>
      </c>
      <c r="H18" s="16">
        <f>$D36</f>
        <v>18.843474999999994</v>
      </c>
      <c r="I18" s="16">
        <f>$D37</f>
        <v>18.843474999999994</v>
      </c>
      <c r="J18" s="16">
        <f>$D38</f>
        <v>18.843474999999994</v>
      </c>
      <c r="K18" s="16">
        <f>$D39</f>
        <v>18.843474999999994</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5" t="s">
        <v>90</v>
      </c>
      <c r="B19" s="126"/>
      <c r="C19" s="16">
        <f>C18-C17</f>
        <v>-64.599999999999994</v>
      </c>
      <c r="D19" s="16">
        <f t="shared" ref="D19:V19" si="1">D18-D17</f>
        <v>-64.599999999999994</v>
      </c>
      <c r="E19" s="16">
        <f t="shared" si="1"/>
        <v>-45.756524999999996</v>
      </c>
      <c r="F19" s="16">
        <f t="shared" si="1"/>
        <v>-45.756524999999996</v>
      </c>
      <c r="G19" s="16">
        <f t="shared" si="1"/>
        <v>-45.756524999999996</v>
      </c>
      <c r="H19" s="16">
        <f t="shared" si="1"/>
        <v>-45.756524999999996</v>
      </c>
      <c r="I19" s="16">
        <f t="shared" si="1"/>
        <v>-45.756524999999996</v>
      </c>
      <c r="J19" s="16">
        <f t="shared" si="1"/>
        <v>-45.756524999999996</v>
      </c>
      <c r="K19" s="16">
        <f t="shared" si="1"/>
        <v>-45.756524999999996</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27" t="s">
        <v>91</v>
      </c>
      <c r="B20" s="128"/>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3" t="s">
        <v>88</v>
      </c>
      <c r="B21" s="12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5" t="s">
        <v>89</v>
      </c>
      <c r="B22" s="126"/>
      <c r="C22" s="16">
        <f>$E31</f>
        <v>0</v>
      </c>
      <c r="D22" s="16">
        <f>$E32</f>
        <v>0</v>
      </c>
      <c r="E22" s="16">
        <f>$E33</f>
        <v>0.71697500000000003</v>
      </c>
      <c r="F22" s="16">
        <f>$E34</f>
        <v>0.71697500000000003</v>
      </c>
      <c r="G22" s="16">
        <f>$E35</f>
        <v>0.71697500000000003</v>
      </c>
      <c r="H22" s="16">
        <f>$E36</f>
        <v>0.71697500000000003</v>
      </c>
      <c r="I22" s="16">
        <f>$E37</f>
        <v>0.71697500000000003</v>
      </c>
      <c r="J22" s="16">
        <f>$E38</f>
        <v>0.71697500000000003</v>
      </c>
      <c r="K22" s="16">
        <f>$E39</f>
        <v>0.71697500000000003</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5" t="s">
        <v>92</v>
      </c>
      <c r="B23" s="126"/>
      <c r="C23" s="16">
        <f>C22-C21</f>
        <v>-228</v>
      </c>
      <c r="D23" s="16">
        <f t="shared" ref="D23:V23" si="3">D22-D21</f>
        <v>-228</v>
      </c>
      <c r="E23" s="16">
        <f t="shared" si="3"/>
        <v>-227.28302500000001</v>
      </c>
      <c r="F23" s="16">
        <f t="shared" si="3"/>
        <v>-227.28302500000001</v>
      </c>
      <c r="G23" s="16">
        <f t="shared" si="3"/>
        <v>-227.28302500000001</v>
      </c>
      <c r="H23" s="16">
        <f t="shared" si="3"/>
        <v>-227.28302500000001</v>
      </c>
      <c r="I23" s="16">
        <f t="shared" si="3"/>
        <v>-227.28302500000001</v>
      </c>
      <c r="J23" s="16">
        <f t="shared" si="3"/>
        <v>-227.28302500000001</v>
      </c>
      <c r="K23" s="16">
        <f t="shared" si="3"/>
        <v>-227.28302500000001</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27" t="s">
        <v>93</v>
      </c>
      <c r="B24" s="128"/>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8" t="s">
        <v>116</v>
      </c>
      <c r="AJ26" s="69">
        <v>0.7</v>
      </c>
      <c r="AK26" s="70">
        <v>2.4</v>
      </c>
      <c r="AL26" s="29">
        <v>24</v>
      </c>
      <c r="AM26" s="10">
        <v>6.7</v>
      </c>
      <c r="AN26" s="11" t="s">
        <v>135</v>
      </c>
    </row>
    <row r="27" spans="1:40" s="57" customFormat="1" x14ac:dyDescent="0.3">
      <c r="A27" s="105"/>
      <c r="B27" s="71"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t="s">
        <v>55</v>
      </c>
      <c r="S27" s="106" t="s">
        <v>55</v>
      </c>
      <c r="T27" s="106"/>
      <c r="U27" s="106"/>
    </row>
    <row r="28" spans="1:40" s="57" customFormat="1" x14ac:dyDescent="0.3">
      <c r="A28" s="107"/>
      <c r="B28" s="24">
        <v>1.4</v>
      </c>
      <c r="C28" s="15">
        <v>0.80500000000000005</v>
      </c>
      <c r="D28" s="15">
        <v>0.23499999999999999</v>
      </c>
      <c r="E28" s="15">
        <v>1.7000000000000001E-2</v>
      </c>
      <c r="F28" s="15">
        <v>193</v>
      </c>
      <c r="G28" s="15">
        <v>51.6</v>
      </c>
      <c r="H28" s="15">
        <v>394</v>
      </c>
      <c r="I28" s="15">
        <v>9.27</v>
      </c>
      <c r="J28" s="15">
        <v>2.0299999999999998</v>
      </c>
      <c r="K28" s="23">
        <v>1.43</v>
      </c>
      <c r="L28" s="15">
        <v>24.4</v>
      </c>
      <c r="M28" s="15">
        <v>4.8499999999999996</v>
      </c>
      <c r="N28" s="15">
        <v>268000</v>
      </c>
      <c r="O28" s="15">
        <v>3920</v>
      </c>
      <c r="P28" s="15"/>
      <c r="Q28" s="15">
        <v>13900</v>
      </c>
      <c r="R28" s="15"/>
      <c r="S28" s="15">
        <v>27.7</v>
      </c>
      <c r="T28" s="15"/>
      <c r="U28" s="15"/>
    </row>
    <row r="29" spans="1:40" s="7" customFormat="1" ht="28.8" x14ac:dyDescent="0.3">
      <c r="A29" s="12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3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f>C8</f>
        <v>1</v>
      </c>
      <c r="B31" s="15">
        <v>0</v>
      </c>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f>D8</f>
        <v>2</v>
      </c>
      <c r="B32" s="15">
        <v>0</v>
      </c>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3">
      <c r="A33" s="13">
        <f>E8</f>
        <v>3</v>
      </c>
      <c r="B33" s="15">
        <v>250</v>
      </c>
      <c r="C33" s="77">
        <f t="shared" si="6"/>
        <v>28.174999999999997</v>
      </c>
      <c r="D33" s="77">
        <f t="shared" si="7"/>
        <v>18.843474999999994</v>
      </c>
      <c r="E33" s="77">
        <f t="shared" si="8"/>
        <v>0.71697500000000003</v>
      </c>
      <c r="F33" s="77">
        <f t="shared" si="9"/>
        <v>1.1199789999999998</v>
      </c>
      <c r="G33" s="77">
        <f t="shared" si="5"/>
        <v>0.18059999999999998</v>
      </c>
      <c r="H33" s="77">
        <f t="shared" si="5"/>
        <v>1.379</v>
      </c>
      <c r="I33" s="77">
        <f t="shared" si="5"/>
        <v>3.2445000000000002E-2</v>
      </c>
      <c r="J33" s="77">
        <f t="shared" si="5"/>
        <v>7.1049999999999985E-3</v>
      </c>
      <c r="K33" s="77">
        <f t="shared" si="5"/>
        <v>5.0049999999999999E-3</v>
      </c>
      <c r="L33" s="77">
        <f t="shared" si="5"/>
        <v>8.539999999999999E-2</v>
      </c>
      <c r="M33" s="77">
        <f t="shared" si="5"/>
        <v>1.6975000000000001E-2</v>
      </c>
      <c r="N33" s="77">
        <f t="shared" si="5"/>
        <v>938</v>
      </c>
      <c r="O33" s="77">
        <f t="shared" si="5"/>
        <v>13.719999999999997</v>
      </c>
      <c r="P33" s="77">
        <f t="shared" si="5"/>
        <v>0</v>
      </c>
      <c r="Q33" s="77">
        <f t="shared" si="10"/>
        <v>121.625</v>
      </c>
      <c r="R33" s="77">
        <f t="shared" si="11"/>
        <v>0</v>
      </c>
      <c r="S33" s="77">
        <f t="shared" si="11"/>
        <v>9.6949999999999981E-2</v>
      </c>
      <c r="T33" s="77">
        <f t="shared" si="11"/>
        <v>0</v>
      </c>
      <c r="U33" s="77">
        <f t="shared" si="11"/>
        <v>0</v>
      </c>
      <c r="AB33" s="59"/>
      <c r="AC33" s="59"/>
      <c r="AD33" s="59"/>
      <c r="AE33" s="59"/>
      <c r="AF33" s="59"/>
      <c r="AG33" s="59"/>
      <c r="AH33" s="59"/>
      <c r="AI33" s="59"/>
    </row>
    <row r="34" spans="1:35" s="72" customFormat="1" x14ac:dyDescent="0.3">
      <c r="A34" s="13">
        <f>F8</f>
        <v>4</v>
      </c>
      <c r="B34" s="15">
        <v>250</v>
      </c>
      <c r="C34" s="77">
        <f t="shared" si="6"/>
        <v>28.174999999999997</v>
      </c>
      <c r="D34" s="77">
        <f t="shared" si="7"/>
        <v>18.843474999999994</v>
      </c>
      <c r="E34" s="77">
        <f t="shared" si="8"/>
        <v>0.71697500000000003</v>
      </c>
      <c r="F34" s="77">
        <f t="shared" si="9"/>
        <v>1.1199789999999998</v>
      </c>
      <c r="G34" s="77">
        <f t="shared" si="5"/>
        <v>0.18059999999999998</v>
      </c>
      <c r="H34" s="77">
        <f t="shared" si="5"/>
        <v>1.379</v>
      </c>
      <c r="I34" s="77">
        <f t="shared" si="5"/>
        <v>3.2445000000000002E-2</v>
      </c>
      <c r="J34" s="77">
        <f t="shared" si="5"/>
        <v>7.1049999999999985E-3</v>
      </c>
      <c r="K34" s="77">
        <f t="shared" si="5"/>
        <v>5.0049999999999999E-3</v>
      </c>
      <c r="L34" s="77">
        <f t="shared" si="5"/>
        <v>8.539999999999999E-2</v>
      </c>
      <c r="M34" s="77">
        <f t="shared" si="5"/>
        <v>1.6975000000000001E-2</v>
      </c>
      <c r="N34" s="77">
        <f t="shared" si="5"/>
        <v>938</v>
      </c>
      <c r="O34" s="77">
        <f t="shared" si="5"/>
        <v>13.719999999999997</v>
      </c>
      <c r="P34" s="77">
        <f t="shared" si="5"/>
        <v>0</v>
      </c>
      <c r="Q34" s="77">
        <f t="shared" si="10"/>
        <v>121.625</v>
      </c>
      <c r="R34" s="77">
        <f t="shared" si="11"/>
        <v>0</v>
      </c>
      <c r="S34" s="77">
        <f t="shared" si="11"/>
        <v>9.6949999999999981E-2</v>
      </c>
      <c r="T34" s="77">
        <f t="shared" si="11"/>
        <v>0</v>
      </c>
      <c r="U34" s="77">
        <f t="shared" si="11"/>
        <v>0</v>
      </c>
      <c r="AB34" s="59"/>
      <c r="AC34" s="59"/>
      <c r="AD34" s="59"/>
      <c r="AE34" s="59"/>
      <c r="AF34" s="59"/>
      <c r="AG34" s="59"/>
      <c r="AH34" s="59"/>
      <c r="AI34" s="59"/>
    </row>
    <row r="35" spans="1:35" s="72" customFormat="1" x14ac:dyDescent="0.3">
      <c r="A35" s="13">
        <f>G8</f>
        <v>7</v>
      </c>
      <c r="B35" s="15">
        <v>250</v>
      </c>
      <c r="C35" s="77">
        <f t="shared" si="6"/>
        <v>28.174999999999997</v>
      </c>
      <c r="D35" s="77">
        <f t="shared" si="7"/>
        <v>18.843474999999994</v>
      </c>
      <c r="E35" s="77">
        <f t="shared" si="8"/>
        <v>0.71697500000000003</v>
      </c>
      <c r="F35" s="77">
        <f t="shared" si="9"/>
        <v>1.1199789999999998</v>
      </c>
      <c r="G35" s="77">
        <f t="shared" si="5"/>
        <v>0.18059999999999998</v>
      </c>
      <c r="H35" s="77">
        <f t="shared" si="5"/>
        <v>1.379</v>
      </c>
      <c r="I35" s="77">
        <f t="shared" si="5"/>
        <v>3.2445000000000002E-2</v>
      </c>
      <c r="J35" s="77">
        <f t="shared" si="5"/>
        <v>7.1049999999999985E-3</v>
      </c>
      <c r="K35" s="77">
        <f t="shared" si="5"/>
        <v>5.0049999999999999E-3</v>
      </c>
      <c r="L35" s="77">
        <f t="shared" si="5"/>
        <v>8.539999999999999E-2</v>
      </c>
      <c r="M35" s="77">
        <f t="shared" si="5"/>
        <v>1.6975000000000001E-2</v>
      </c>
      <c r="N35" s="77">
        <f t="shared" si="5"/>
        <v>938</v>
      </c>
      <c r="O35" s="77">
        <f t="shared" si="5"/>
        <v>13.719999999999997</v>
      </c>
      <c r="P35" s="77">
        <f t="shared" si="5"/>
        <v>0</v>
      </c>
      <c r="Q35" s="77">
        <f t="shared" si="10"/>
        <v>121.625</v>
      </c>
      <c r="R35" s="77">
        <f t="shared" si="11"/>
        <v>0</v>
      </c>
      <c r="S35" s="77">
        <f t="shared" si="11"/>
        <v>9.6949999999999981E-2</v>
      </c>
      <c r="T35" s="77">
        <f t="shared" si="11"/>
        <v>0</v>
      </c>
      <c r="U35" s="77">
        <f t="shared" si="11"/>
        <v>0</v>
      </c>
      <c r="AB35" s="59"/>
      <c r="AC35" s="59"/>
      <c r="AD35" s="59"/>
      <c r="AE35" s="59"/>
      <c r="AF35" s="59"/>
      <c r="AG35" s="59"/>
      <c r="AH35" s="59"/>
      <c r="AI35" s="59"/>
    </row>
    <row r="36" spans="1:35" s="72" customFormat="1" x14ac:dyDescent="0.3">
      <c r="A36" s="13">
        <f>H8</f>
        <v>8</v>
      </c>
      <c r="B36" s="15">
        <v>250</v>
      </c>
      <c r="C36" s="77">
        <f t="shared" si="6"/>
        <v>28.174999999999997</v>
      </c>
      <c r="D36" s="77">
        <f t="shared" si="7"/>
        <v>18.843474999999994</v>
      </c>
      <c r="E36" s="77">
        <f t="shared" si="8"/>
        <v>0.71697500000000003</v>
      </c>
      <c r="F36" s="77">
        <f t="shared" si="9"/>
        <v>1.1199789999999998</v>
      </c>
      <c r="G36" s="77">
        <f t="shared" si="5"/>
        <v>0.18059999999999998</v>
      </c>
      <c r="H36" s="77">
        <f t="shared" si="5"/>
        <v>1.379</v>
      </c>
      <c r="I36" s="77">
        <f t="shared" si="5"/>
        <v>3.2445000000000002E-2</v>
      </c>
      <c r="J36" s="77">
        <f t="shared" si="5"/>
        <v>7.1049999999999985E-3</v>
      </c>
      <c r="K36" s="77">
        <f t="shared" si="5"/>
        <v>5.0049999999999999E-3</v>
      </c>
      <c r="L36" s="77">
        <f t="shared" si="5"/>
        <v>8.539999999999999E-2</v>
      </c>
      <c r="M36" s="77">
        <f t="shared" si="5"/>
        <v>1.6975000000000001E-2</v>
      </c>
      <c r="N36" s="77">
        <f t="shared" si="5"/>
        <v>938</v>
      </c>
      <c r="O36" s="77">
        <f t="shared" si="5"/>
        <v>13.719999999999997</v>
      </c>
      <c r="P36" s="77">
        <f t="shared" si="5"/>
        <v>0</v>
      </c>
      <c r="Q36" s="77">
        <f t="shared" si="10"/>
        <v>121.625</v>
      </c>
      <c r="R36" s="77">
        <f t="shared" si="11"/>
        <v>0</v>
      </c>
      <c r="S36" s="77">
        <f t="shared" si="11"/>
        <v>9.6949999999999981E-2</v>
      </c>
      <c r="T36" s="77">
        <f t="shared" si="11"/>
        <v>0</v>
      </c>
      <c r="U36" s="77">
        <f t="shared" si="11"/>
        <v>0</v>
      </c>
      <c r="AB36" s="59"/>
      <c r="AC36" s="59"/>
      <c r="AD36" s="59"/>
      <c r="AE36" s="59"/>
      <c r="AF36" s="59"/>
      <c r="AG36" s="59"/>
      <c r="AH36" s="59"/>
      <c r="AI36" s="59"/>
    </row>
    <row r="37" spans="1:35" s="72" customFormat="1" x14ac:dyDescent="0.3">
      <c r="A37" s="13">
        <f>I8</f>
        <v>20</v>
      </c>
      <c r="B37" s="15">
        <v>250</v>
      </c>
      <c r="C37" s="77">
        <f t="shared" si="6"/>
        <v>28.174999999999997</v>
      </c>
      <c r="D37" s="77">
        <f t="shared" si="7"/>
        <v>18.843474999999994</v>
      </c>
      <c r="E37" s="77">
        <f t="shared" si="8"/>
        <v>0.71697500000000003</v>
      </c>
      <c r="F37" s="77">
        <f t="shared" si="9"/>
        <v>1.1199789999999998</v>
      </c>
      <c r="G37" s="77">
        <f t="shared" si="5"/>
        <v>0.18059999999999998</v>
      </c>
      <c r="H37" s="77">
        <f t="shared" si="5"/>
        <v>1.379</v>
      </c>
      <c r="I37" s="77">
        <f t="shared" si="5"/>
        <v>3.2445000000000002E-2</v>
      </c>
      <c r="J37" s="77">
        <f t="shared" si="5"/>
        <v>7.1049999999999985E-3</v>
      </c>
      <c r="K37" s="77">
        <f t="shared" si="5"/>
        <v>5.0049999999999999E-3</v>
      </c>
      <c r="L37" s="77">
        <f t="shared" si="5"/>
        <v>8.539999999999999E-2</v>
      </c>
      <c r="M37" s="77">
        <f t="shared" si="5"/>
        <v>1.6975000000000001E-2</v>
      </c>
      <c r="N37" s="77">
        <f t="shared" si="5"/>
        <v>938</v>
      </c>
      <c r="O37" s="77">
        <f t="shared" si="5"/>
        <v>13.719999999999997</v>
      </c>
      <c r="P37" s="77">
        <f t="shared" si="5"/>
        <v>0</v>
      </c>
      <c r="Q37" s="77">
        <f t="shared" si="10"/>
        <v>121.625</v>
      </c>
      <c r="R37" s="77">
        <f t="shared" si="11"/>
        <v>0</v>
      </c>
      <c r="S37" s="77">
        <f t="shared" si="11"/>
        <v>9.6949999999999981E-2</v>
      </c>
      <c r="T37" s="77">
        <f t="shared" si="11"/>
        <v>0</v>
      </c>
      <c r="U37" s="77">
        <f t="shared" si="11"/>
        <v>0</v>
      </c>
      <c r="AB37" s="59"/>
      <c r="AC37" s="59"/>
      <c r="AD37" s="59"/>
      <c r="AE37" s="59"/>
      <c r="AF37" s="59"/>
      <c r="AG37" s="59"/>
      <c r="AH37" s="59"/>
      <c r="AI37" s="59"/>
    </row>
    <row r="38" spans="1:35" s="72" customFormat="1" x14ac:dyDescent="0.3">
      <c r="A38" s="13">
        <f>J8</f>
        <v>21</v>
      </c>
      <c r="B38" s="15">
        <v>250</v>
      </c>
      <c r="C38" s="77">
        <f t="shared" si="6"/>
        <v>28.174999999999997</v>
      </c>
      <c r="D38" s="77">
        <f t="shared" si="7"/>
        <v>18.843474999999994</v>
      </c>
      <c r="E38" s="77">
        <f t="shared" si="8"/>
        <v>0.71697500000000003</v>
      </c>
      <c r="F38" s="77">
        <f t="shared" si="9"/>
        <v>1.1199789999999998</v>
      </c>
      <c r="G38" s="77">
        <f t="shared" si="5"/>
        <v>0.18059999999999998</v>
      </c>
      <c r="H38" s="77">
        <f t="shared" si="5"/>
        <v>1.379</v>
      </c>
      <c r="I38" s="77">
        <f t="shared" si="5"/>
        <v>3.2445000000000002E-2</v>
      </c>
      <c r="J38" s="77">
        <f t="shared" si="5"/>
        <v>7.1049999999999985E-3</v>
      </c>
      <c r="K38" s="77">
        <f t="shared" si="5"/>
        <v>5.0049999999999999E-3</v>
      </c>
      <c r="L38" s="77">
        <f t="shared" si="5"/>
        <v>8.539999999999999E-2</v>
      </c>
      <c r="M38" s="77">
        <f t="shared" si="5"/>
        <v>1.6975000000000001E-2</v>
      </c>
      <c r="N38" s="77">
        <f t="shared" si="5"/>
        <v>938</v>
      </c>
      <c r="O38" s="77">
        <f t="shared" si="5"/>
        <v>13.719999999999997</v>
      </c>
      <c r="P38" s="77">
        <f t="shared" si="5"/>
        <v>0</v>
      </c>
      <c r="Q38" s="77">
        <f t="shared" si="10"/>
        <v>121.625</v>
      </c>
      <c r="R38" s="77">
        <f t="shared" si="11"/>
        <v>0</v>
      </c>
      <c r="S38" s="77">
        <f t="shared" si="11"/>
        <v>9.6949999999999981E-2</v>
      </c>
      <c r="T38" s="77">
        <f t="shared" si="11"/>
        <v>0</v>
      </c>
      <c r="U38" s="77">
        <f t="shared" si="11"/>
        <v>0</v>
      </c>
      <c r="AB38" s="59"/>
      <c r="AC38" s="59"/>
      <c r="AD38" s="59"/>
      <c r="AE38" s="59"/>
      <c r="AF38" s="59"/>
      <c r="AG38" s="59"/>
      <c r="AH38" s="59"/>
      <c r="AI38" s="59"/>
    </row>
    <row r="39" spans="1:35" s="72" customFormat="1" x14ac:dyDescent="0.3">
      <c r="A39" s="13">
        <f>K8</f>
        <v>22</v>
      </c>
      <c r="B39" s="15">
        <v>250</v>
      </c>
      <c r="C39" s="77">
        <f t="shared" si="6"/>
        <v>28.174999999999997</v>
      </c>
      <c r="D39" s="77">
        <f t="shared" si="7"/>
        <v>18.843474999999994</v>
      </c>
      <c r="E39" s="77">
        <f t="shared" si="8"/>
        <v>0.71697500000000003</v>
      </c>
      <c r="F39" s="77">
        <f t="shared" si="9"/>
        <v>1.1199789999999998</v>
      </c>
      <c r="G39" s="77">
        <f t="shared" si="5"/>
        <v>0.18059999999999998</v>
      </c>
      <c r="H39" s="77">
        <f t="shared" si="5"/>
        <v>1.379</v>
      </c>
      <c r="I39" s="77">
        <f t="shared" si="5"/>
        <v>3.2445000000000002E-2</v>
      </c>
      <c r="J39" s="77">
        <f t="shared" si="5"/>
        <v>7.1049999999999985E-3</v>
      </c>
      <c r="K39" s="77">
        <f t="shared" si="5"/>
        <v>5.0049999999999999E-3</v>
      </c>
      <c r="L39" s="77">
        <f t="shared" si="5"/>
        <v>8.539999999999999E-2</v>
      </c>
      <c r="M39" s="77">
        <f t="shared" si="5"/>
        <v>1.6975000000000001E-2</v>
      </c>
      <c r="N39" s="77">
        <f t="shared" si="5"/>
        <v>938</v>
      </c>
      <c r="O39" s="77">
        <f t="shared" si="5"/>
        <v>13.719999999999997</v>
      </c>
      <c r="P39" s="77">
        <f t="shared" si="5"/>
        <v>0</v>
      </c>
      <c r="Q39" s="77">
        <f t="shared" si="10"/>
        <v>121.625</v>
      </c>
      <c r="R39" s="77">
        <f t="shared" si="11"/>
        <v>0</v>
      </c>
      <c r="S39" s="77">
        <f t="shared" si="11"/>
        <v>9.6949999999999981E-2</v>
      </c>
      <c r="T39" s="77">
        <f t="shared" si="11"/>
        <v>0</v>
      </c>
      <c r="U39" s="77">
        <f t="shared" si="11"/>
        <v>0</v>
      </c>
      <c r="AB39" s="59"/>
      <c r="AC39" s="59"/>
      <c r="AD39" s="59"/>
      <c r="AE39" s="59"/>
      <c r="AF39" s="59"/>
      <c r="AG39" s="59"/>
      <c r="AH39" s="59"/>
      <c r="AI39" s="59"/>
    </row>
    <row r="40" spans="1:35" s="72" customFormat="1" x14ac:dyDescent="0.3">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3">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f>C8</f>
        <v>1</v>
      </c>
      <c r="C57" s="8">
        <f t="shared" ref="C57:U57" si="13">D8</f>
        <v>2</v>
      </c>
      <c r="D57" s="8">
        <f t="shared" si="13"/>
        <v>3</v>
      </c>
      <c r="E57" s="8">
        <f t="shared" si="13"/>
        <v>4</v>
      </c>
      <c r="F57" s="8">
        <f t="shared" si="13"/>
        <v>7</v>
      </c>
      <c r="G57" s="8">
        <f t="shared" si="13"/>
        <v>8</v>
      </c>
      <c r="H57" s="8">
        <f t="shared" si="13"/>
        <v>20</v>
      </c>
      <c r="I57" s="8">
        <f t="shared" si="13"/>
        <v>21</v>
      </c>
      <c r="J57" s="8">
        <f t="shared" si="13"/>
        <v>22</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Grass</v>
      </c>
      <c r="G58" s="13" t="str">
        <f>H16&amp;" I "&amp;(VLOOKUP(H14,Table24581114[],6,FALSE))</f>
        <v>Medium/Clay I Grass</v>
      </c>
      <c r="H58" s="13" t="str">
        <f>I16&amp;" I "&amp;(VLOOKUP(I14,Table24581114[],6,FALSE))</f>
        <v>Medium/Clay I Grass</v>
      </c>
      <c r="I58" s="13" t="str">
        <f>J16&amp;" I "&amp;(VLOOKUP(J14,Table24581114[],6,FALSE))</f>
        <v>Medium/Clay I Grass</v>
      </c>
      <c r="J58" s="13" t="str">
        <f>K16&amp;" I "&amp;(VLOOKUP(K14,Table24581114[],6,FALSE))</f>
        <v>Medium/Clay I Grass</v>
      </c>
      <c r="K58" s="13" t="e">
        <f>L16&amp;" I "&amp;(VLOOKUP(L14,Table24581114[],6,FALSE))</f>
        <v>#N/A</v>
      </c>
      <c r="L58" s="13" t="e">
        <f>M16&amp;" I "&amp;(VLOOKUP(M14,Table24581114[],6,FALSE))</f>
        <v>#N/A</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x14ac:dyDescent="0.25">
      <c r="A59" s="110" t="s">
        <v>132</v>
      </c>
      <c r="B59" s="76">
        <f>VLOOKUP(C$14,Table24581114[],5,FALSE)</f>
        <v>6.2</v>
      </c>
      <c r="C59" s="76">
        <f>VLOOKUP(D$14,Table24581114[],5,FALSE)</f>
        <v>6.2</v>
      </c>
      <c r="D59" s="76">
        <f>VLOOKUP(E$14,Table24581114[],5,FALSE)</f>
        <v>6.2</v>
      </c>
      <c r="E59" s="76">
        <f>VLOOKUP(F$14,Table24581114[],5,FALSE)</f>
        <v>6.2</v>
      </c>
      <c r="F59" s="76">
        <f>VLOOKUP(G$14,Table24581114[],5,FALSE)</f>
        <v>6.2</v>
      </c>
      <c r="G59" s="76">
        <f>VLOOKUP(H$14,Table24581114[],5,FALSE)</f>
        <v>6.2</v>
      </c>
      <c r="H59" s="76">
        <f>VLOOKUP(I$14,Table24581114[],5,FALSE)</f>
        <v>6.2</v>
      </c>
      <c r="I59" s="76">
        <f>VLOOKUP(J$14,Table24581114[],5,FALSE)</f>
        <v>6.2</v>
      </c>
      <c r="J59" s="76">
        <f>VLOOKUP(K$14,Table24581114[],5,FALSE)</f>
        <v>6.2</v>
      </c>
      <c r="K59" s="76" t="e">
        <f>VLOOKUP(L$14,Table24581114[],5,FALSE)</f>
        <v>#N/A</v>
      </c>
      <c r="L59" s="76" t="e">
        <f>VLOOKUP(M$14,Table24581114[],5,FALSE)</f>
        <v>#N/A</v>
      </c>
      <c r="M59" s="76" t="e">
        <f>VLOOKUP(N$14,Table24581114[],5,FALSE)</f>
        <v>#N/A</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x14ac:dyDescent="0.25">
      <c r="A60" s="110" t="s">
        <v>4</v>
      </c>
      <c r="B60" s="76">
        <f>C10</f>
        <v>5.6</v>
      </c>
      <c r="C60" s="76">
        <f t="shared" ref="C60:U60" si="14">D10</f>
        <v>5.7</v>
      </c>
      <c r="D60" s="76">
        <f t="shared" si="14"/>
        <v>6.8</v>
      </c>
      <c r="E60" s="76">
        <f t="shared" si="14"/>
        <v>6.4</v>
      </c>
      <c r="F60" s="76">
        <f t="shared" si="14"/>
        <v>6.2</v>
      </c>
      <c r="G60" s="76">
        <f t="shared" si="14"/>
        <v>6.2</v>
      </c>
      <c r="H60" s="76">
        <f t="shared" si="14"/>
        <v>6.1</v>
      </c>
      <c r="I60" s="76">
        <f t="shared" si="14"/>
        <v>6.2</v>
      </c>
      <c r="J60" s="76">
        <f t="shared" si="14"/>
        <v>6</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0"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0" t="s">
        <v>134</v>
      </c>
      <c r="B62" s="77">
        <f>B31</f>
        <v>0</v>
      </c>
      <c r="C62" s="77">
        <f>B32</f>
        <v>0</v>
      </c>
      <c r="D62" s="77">
        <f>B33</f>
        <v>250</v>
      </c>
      <c r="E62" s="77">
        <f>B34</f>
        <v>250</v>
      </c>
      <c r="F62" s="77">
        <f>B35</f>
        <v>250</v>
      </c>
      <c r="G62" s="77">
        <f>B36</f>
        <v>250</v>
      </c>
      <c r="H62" s="77">
        <f>B37</f>
        <v>250</v>
      </c>
      <c r="I62" s="77">
        <f>B38</f>
        <v>250</v>
      </c>
      <c r="J62" s="77">
        <f>B39</f>
        <v>250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1"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1" t="s">
        <v>156</v>
      </c>
      <c r="B64" s="77">
        <f>(B59-B60)*B61</f>
        <v>3.6000000000000032</v>
      </c>
      <c r="C64" s="77">
        <f t="shared" ref="C64:U64" si="17">(C59-C60)*C61</f>
        <v>3</v>
      </c>
      <c r="D64" s="77">
        <f t="shared" si="17"/>
        <v>-3.5999999999999979</v>
      </c>
      <c r="E64" s="77">
        <f t="shared" si="17"/>
        <v>-1.2000000000000011</v>
      </c>
      <c r="F64" s="77">
        <f t="shared" si="17"/>
        <v>0</v>
      </c>
      <c r="G64" s="77">
        <f t="shared" si="17"/>
        <v>0</v>
      </c>
      <c r="H64" s="77">
        <f t="shared" si="17"/>
        <v>0.6000000000000032</v>
      </c>
      <c r="I64" s="77">
        <f t="shared" si="17"/>
        <v>0</v>
      </c>
      <c r="J64" s="77">
        <f t="shared" si="17"/>
        <v>1.2000000000000011</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1" t="s">
        <v>157</v>
      </c>
      <c r="B65" s="77">
        <f>B63-B64</f>
        <v>-3.6000000000000032</v>
      </c>
      <c r="C65" s="77">
        <f t="shared" ref="C65:U65" si="18">C63-C64</f>
        <v>-3</v>
      </c>
      <c r="D65" s="77">
        <f t="shared" si="18"/>
        <v>3.5999999999999979</v>
      </c>
      <c r="E65" s="77">
        <f t="shared" si="18"/>
        <v>1.2000000000000011</v>
      </c>
      <c r="F65" s="77">
        <f t="shared" si="18"/>
        <v>0</v>
      </c>
      <c r="G65" s="77">
        <f t="shared" si="18"/>
        <v>0</v>
      </c>
      <c r="H65" s="77">
        <f t="shared" si="18"/>
        <v>-0.6000000000000032</v>
      </c>
      <c r="I65" s="77">
        <f t="shared" si="18"/>
        <v>0</v>
      </c>
      <c r="J65" s="77">
        <f t="shared" si="18"/>
        <v>-1.2000000000000011</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1" t="s">
        <v>148</v>
      </c>
      <c r="B66" s="78" t="str">
        <f>IF(B64&lt;=B63,"OVER","UNDER")</f>
        <v>UNDER</v>
      </c>
      <c r="C66" s="78" t="str">
        <f t="shared" ref="C66:U66" si="19">IF(C64&lt;=C63,"OVER","UNDER")</f>
        <v>UNDER</v>
      </c>
      <c r="D66" s="78" t="str">
        <f t="shared" si="19"/>
        <v>OVER</v>
      </c>
      <c r="E66" s="78" t="str">
        <f t="shared" si="19"/>
        <v>OVER</v>
      </c>
      <c r="F66" s="78" t="str">
        <f t="shared" si="19"/>
        <v>OVER</v>
      </c>
      <c r="G66" s="78" t="str">
        <f t="shared" si="19"/>
        <v>OVER</v>
      </c>
      <c r="H66" s="78" t="str">
        <f t="shared" si="19"/>
        <v>UNDER</v>
      </c>
      <c r="I66" s="78" t="str">
        <f t="shared" si="19"/>
        <v>OVER</v>
      </c>
      <c r="J66" s="78" t="str">
        <f t="shared" si="19"/>
        <v>UNDER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69" priority="37" operator="equal">
      <formula>"DECREASE"</formula>
    </cfRule>
    <cfRule type="cellIs" dxfId="168" priority="38" operator="equal">
      <formula>"INCREASE"</formula>
    </cfRule>
  </conditionalFormatting>
  <conditionalFormatting sqref="B62:U66 B31:B50">
    <cfRule type="cellIs" dxfId="167" priority="36" operator="greaterThan">
      <formula>$B$51</formula>
    </cfRule>
  </conditionalFormatting>
  <conditionalFormatting sqref="C31:C50">
    <cfRule type="cellIs" dxfId="166" priority="35" operator="greaterThan">
      <formula>$C$51</formula>
    </cfRule>
  </conditionalFormatting>
  <conditionalFormatting sqref="C18:V18">
    <cfRule type="cellIs" dxfId="165" priority="34" operator="equal">
      <formula>0</formula>
    </cfRule>
  </conditionalFormatting>
  <conditionalFormatting sqref="C17:V17">
    <cfRule type="cellIs" dxfId="164" priority="33" operator="equal">
      <formula>0</formula>
    </cfRule>
  </conditionalFormatting>
  <conditionalFormatting sqref="C19:V19">
    <cfRule type="cellIs" dxfId="163" priority="32" operator="equal">
      <formula>0</formula>
    </cfRule>
  </conditionalFormatting>
  <conditionalFormatting sqref="G31:G50">
    <cfRule type="cellIs" dxfId="162" priority="31" operator="greaterThan">
      <formula>$G$51</formula>
    </cfRule>
  </conditionalFormatting>
  <conditionalFormatting sqref="H31:H50">
    <cfRule type="cellIs" dxfId="161" priority="30" operator="greaterThan">
      <formula>$H$51</formula>
    </cfRule>
  </conditionalFormatting>
  <conditionalFormatting sqref="I31:I50">
    <cfRule type="cellIs" dxfId="160" priority="29" operator="greaterThan">
      <formula>$I$51</formula>
    </cfRule>
  </conditionalFormatting>
  <conditionalFormatting sqref="K31:K50">
    <cfRule type="cellIs" dxfId="159" priority="28" operator="greaterThan">
      <formula>$K$51</formula>
    </cfRule>
  </conditionalFormatting>
  <conditionalFormatting sqref="L31:L50">
    <cfRule type="cellIs" dxfId="158" priority="27" operator="greaterThan">
      <formula>$L$51</formula>
    </cfRule>
  </conditionalFormatting>
  <conditionalFormatting sqref="M31:M50">
    <cfRule type="cellIs" dxfId="157" priority="26" operator="greaterThan">
      <formula>$M$51</formula>
    </cfRule>
  </conditionalFormatting>
  <conditionalFormatting sqref="P31:P50">
    <cfRule type="cellIs" dxfId="156" priority="25" operator="greaterThan">
      <formula>$P$51</formula>
    </cfRule>
  </conditionalFormatting>
  <conditionalFormatting sqref="R31:R50">
    <cfRule type="cellIs" dxfId="155" priority="24" operator="greaterThan">
      <formula>$R$51</formula>
    </cfRule>
  </conditionalFormatting>
  <conditionalFormatting sqref="S31:S50">
    <cfRule type="cellIs" dxfId="154" priority="23" operator="greaterThan">
      <formula>$S$51</formula>
    </cfRule>
  </conditionalFormatting>
  <conditionalFormatting sqref="T31:T50">
    <cfRule type="cellIs" dxfId="153" priority="22" operator="greaterThan">
      <formula>$T$51</formula>
    </cfRule>
  </conditionalFormatting>
  <conditionalFormatting sqref="U31:U50">
    <cfRule type="cellIs" dxfId="152" priority="21" operator="greaterThan">
      <formula>$U$51</formula>
    </cfRule>
  </conditionalFormatting>
  <conditionalFormatting sqref="C22:V22">
    <cfRule type="cellIs" dxfId="151" priority="20" operator="equal">
      <formula>0</formula>
    </cfRule>
  </conditionalFormatting>
  <conditionalFormatting sqref="C24:V24">
    <cfRule type="cellIs" dxfId="150" priority="18" operator="equal">
      <formula>"DECREASE"</formula>
    </cfRule>
    <cfRule type="cellIs" dxfId="149" priority="19" operator="equal">
      <formula>"INCREASE"</formula>
    </cfRule>
  </conditionalFormatting>
  <conditionalFormatting sqref="C23:V23">
    <cfRule type="cellIs" dxfId="148" priority="17" operator="equal">
      <formula>0</formula>
    </cfRule>
  </conditionalFormatting>
  <conditionalFormatting sqref="C21:V21">
    <cfRule type="cellIs" dxfId="147" priority="13" operator="equal">
      <formula>0</formula>
    </cfRule>
  </conditionalFormatting>
  <conditionalFormatting sqref="B66:U66">
    <cfRule type="cellIs" dxfId="146" priority="11" operator="equal">
      <formula>"UNDER"</formula>
    </cfRule>
    <cfRule type="cellIs" dxfId="145" priority="12" operator="equal">
      <formula>"OVER"</formula>
    </cfRule>
  </conditionalFormatting>
  <conditionalFormatting sqref="J31:J50">
    <cfRule type="cellIs" dxfId="144" priority="8" operator="greaterThan">
      <formula>$J$51</formula>
    </cfRule>
  </conditionalFormatting>
  <conditionalFormatting sqref="L3">
    <cfRule type="cellIs" dxfId="143" priority="4" operator="lessThan">
      <formula>30</formula>
    </cfRule>
    <cfRule type="cellIs" dxfId="142" priority="5" operator="greaterThanOrEqual">
      <formula>30</formula>
    </cfRule>
  </conditionalFormatting>
  <conditionalFormatting sqref="I1">
    <cfRule type="cellIs" dxfId="141" priority="3" operator="between">
      <formula>0.1</formula>
      <formula>5</formula>
    </cfRule>
  </conditionalFormatting>
  <conditionalFormatting sqref="I2">
    <cfRule type="cellIs" dxfId="140" priority="2" operator="greaterThan">
      <formula>5000.1</formula>
    </cfRule>
  </conditionalFormatting>
  <conditionalFormatting sqref="I3">
    <cfRule type="cellIs" dxfId="139"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topLeftCell="B1" zoomScale="90" zoomScaleNormal="90" workbookViewId="0">
      <selection activeCell="H30" sqref="H30"/>
    </sheetView>
  </sheetViews>
  <sheetFormatPr defaultColWidth="13.109375" defaultRowHeight="13.2" x14ac:dyDescent="0.3"/>
  <cols>
    <col min="1" max="1" width="13.109375" style="11"/>
    <col min="2" max="2" width="15.88671875" style="11" customWidth="1"/>
    <col min="3" max="3" width="20.5546875" style="11" customWidth="1"/>
    <col min="4" max="4" width="20.33203125" style="11" bestFit="1" customWidth="1"/>
    <col min="5" max="22" width="21.33203125" style="11" customWidth="1"/>
    <col min="23" max="26" width="13.109375" style="11"/>
    <col min="27" max="27" width="0" style="11" hidden="1" customWidth="1"/>
    <col min="28" max="29" width="10.6640625" style="19" hidden="1" customWidth="1"/>
    <col min="30" max="30" width="19.6640625" style="19" hidden="1" customWidth="1"/>
    <col min="31" max="34" width="12.44140625" style="19" hidden="1" customWidth="1"/>
    <col min="35" max="35" width="27.6640625" style="19" hidden="1" customWidth="1"/>
    <col min="36" max="40" width="0" style="11" hidden="1" customWidth="1"/>
    <col min="41" max="41" width="67.33203125" style="11" hidden="1" customWidth="1"/>
    <col min="42" max="16384" width="13.109375" style="11"/>
  </cols>
  <sheetData>
    <row r="1" spans="1:41" x14ac:dyDescent="0.25">
      <c r="A1" s="120" t="s">
        <v>41</v>
      </c>
      <c r="B1" s="120"/>
      <c r="C1" s="141" t="str">
        <f>'DCWW Bryn Cowlyd'!C1:D1</f>
        <v>PAN-022455</v>
      </c>
      <c r="D1" s="142"/>
      <c r="E1" s="93" t="s">
        <v>45</v>
      </c>
      <c r="F1" s="39">
        <f>'DCWW Bryn Cowlyd'!F1</f>
        <v>27.8</v>
      </c>
      <c r="G1" s="121" t="s">
        <v>43</v>
      </c>
      <c r="H1" s="122"/>
      <c r="I1" s="117">
        <v>6.2</v>
      </c>
      <c r="J1" s="120" t="s">
        <v>153</v>
      </c>
      <c r="K1" s="120"/>
      <c r="L1" s="96">
        <v>125</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20" t="s">
        <v>87</v>
      </c>
      <c r="B2" s="120"/>
      <c r="C2" s="143" t="str">
        <f>'DCWW Bryn Cowlyd'!C2:D2</f>
        <v>EPR/GP3792SK</v>
      </c>
      <c r="D2" s="144"/>
      <c r="E2" s="93" t="s">
        <v>109</v>
      </c>
      <c r="F2" s="118" t="s">
        <v>169</v>
      </c>
      <c r="G2" s="139" t="s">
        <v>110</v>
      </c>
      <c r="H2" s="140"/>
      <c r="I2" s="117"/>
      <c r="J2" s="120" t="s">
        <v>158</v>
      </c>
      <c r="K2" s="120"/>
      <c r="L2" s="96">
        <v>0.56599999999999995</v>
      </c>
      <c r="AB2" s="30" t="s">
        <v>56</v>
      </c>
      <c r="AC2" s="17"/>
      <c r="AD2" s="30" t="s">
        <v>70</v>
      </c>
      <c r="AE2" s="17"/>
      <c r="AF2" s="17"/>
      <c r="AG2" s="44" t="s">
        <v>76</v>
      </c>
      <c r="AH2" s="18"/>
      <c r="AI2" s="45" t="s">
        <v>126</v>
      </c>
      <c r="AJ2" s="46">
        <v>0</v>
      </c>
      <c r="AK2" s="47">
        <v>0</v>
      </c>
      <c r="AL2" s="10">
        <v>0</v>
      </c>
      <c r="AM2" s="11">
        <v>0</v>
      </c>
      <c r="AN2" s="11">
        <v>0</v>
      </c>
    </row>
    <row r="3" spans="1:41" x14ac:dyDescent="0.25">
      <c r="A3" s="121" t="s">
        <v>42</v>
      </c>
      <c r="B3" s="122"/>
      <c r="C3" s="143" t="str">
        <f>'DCWW Bryn Cowlyd'!C3:D3</f>
        <v>ByProduct recovery LTD</v>
      </c>
      <c r="D3" s="144"/>
      <c r="E3" s="93" t="s">
        <v>108</v>
      </c>
      <c r="F3" s="31" t="s">
        <v>78</v>
      </c>
      <c r="G3" s="120" t="s">
        <v>159</v>
      </c>
      <c r="H3" s="120"/>
      <c r="I3" s="117"/>
      <c r="J3" s="121" t="s">
        <v>154</v>
      </c>
      <c r="K3" s="122"/>
      <c r="L3" s="96">
        <f>(L1/(L2*10000))*100</f>
        <v>2.2084805653710253</v>
      </c>
      <c r="AB3" s="30" t="s">
        <v>57</v>
      </c>
      <c r="AC3" s="17"/>
      <c r="AD3" s="30" t="s">
        <v>71</v>
      </c>
      <c r="AE3" s="17"/>
      <c r="AF3" s="17"/>
      <c r="AG3" s="44" t="s">
        <v>77</v>
      </c>
      <c r="AH3" s="18"/>
      <c r="AI3" s="48" t="s">
        <v>113</v>
      </c>
      <c r="AJ3" s="49">
        <v>1.7</v>
      </c>
      <c r="AK3" s="50">
        <v>6</v>
      </c>
      <c r="AL3" s="51">
        <v>1</v>
      </c>
      <c r="AM3" s="11">
        <v>6.2</v>
      </c>
      <c r="AN3" s="11" t="s">
        <v>112</v>
      </c>
    </row>
    <row r="4" spans="1:41" x14ac:dyDescent="0.25">
      <c r="A4" s="120" t="s">
        <v>0</v>
      </c>
      <c r="B4" s="120"/>
      <c r="C4" s="141" t="str">
        <f>'DCWW Bryn Cowlyd'!C4:D4</f>
        <v>Blaen Y Coed Farm, Betws-y-Coed, LL24 0NY</v>
      </c>
      <c r="D4" s="142"/>
      <c r="E4" s="94" t="s">
        <v>1</v>
      </c>
      <c r="F4" s="95" t="s">
        <v>172</v>
      </c>
      <c r="G4" s="121"/>
      <c r="H4" s="122"/>
      <c r="I4" s="39"/>
      <c r="J4" s="121"/>
      <c r="K4" s="122"/>
      <c r="L4" s="95"/>
      <c r="AB4" s="30" t="s">
        <v>52</v>
      </c>
      <c r="AC4" s="17"/>
      <c r="AD4" s="52" t="s">
        <v>72</v>
      </c>
      <c r="AE4" s="17"/>
      <c r="AF4" s="17"/>
      <c r="AG4" s="44" t="s">
        <v>78</v>
      </c>
      <c r="AH4" s="18"/>
      <c r="AI4" s="53" t="s">
        <v>124</v>
      </c>
      <c r="AJ4" s="54">
        <v>7</v>
      </c>
      <c r="AK4" s="55">
        <v>10.5</v>
      </c>
      <c r="AL4" s="11">
        <v>2</v>
      </c>
      <c r="AM4" s="11">
        <v>6.7</v>
      </c>
      <c r="AN4" s="11" t="s">
        <v>135</v>
      </c>
    </row>
    <row r="5" spans="1:41" x14ac:dyDescent="0.25">
      <c r="A5" s="120" t="s">
        <v>47</v>
      </c>
      <c r="B5" s="120"/>
      <c r="C5" s="141" t="str">
        <f>'DCWW Bryn Cowlyd'!C5:D5</f>
        <v xml:space="preserve">Owen Clee </v>
      </c>
      <c r="D5" s="142"/>
      <c r="E5" s="93"/>
      <c r="F5" s="39"/>
      <c r="G5" s="121"/>
      <c r="H5" s="122"/>
      <c r="I5" s="39"/>
      <c r="J5" s="121"/>
      <c r="K5" s="122"/>
      <c r="L5" s="95"/>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26" t="s">
        <v>63</v>
      </c>
      <c r="B7" s="12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8"/>
    </row>
    <row r="8" spans="1:41" x14ac:dyDescent="0.25">
      <c r="A8" s="120" t="s">
        <v>2</v>
      </c>
      <c r="B8" s="120"/>
      <c r="C8" s="60">
        <f>'DCWW Bryn Cowlyd'!C8</f>
        <v>1</v>
      </c>
      <c r="D8" s="60">
        <f>'DCWW Bryn Cowlyd'!D8</f>
        <v>2</v>
      </c>
      <c r="E8" s="60">
        <f>'DCWW Bryn Cowlyd'!E8</f>
        <v>3</v>
      </c>
      <c r="F8" s="60">
        <f>'DCWW Bryn Cowlyd'!F8</f>
        <v>4</v>
      </c>
      <c r="G8" s="60">
        <f>'DCWW Bryn Cowlyd'!G8</f>
        <v>7</v>
      </c>
      <c r="H8" s="60">
        <f>'DCWW Bryn Cowlyd'!H8</f>
        <v>8</v>
      </c>
      <c r="I8" s="60">
        <f>'DCWW Bryn Cowlyd'!I8</f>
        <v>20</v>
      </c>
      <c r="J8" s="60">
        <f>'DCWW Bryn Cowlyd'!J8</f>
        <v>21</v>
      </c>
      <c r="K8" s="60">
        <f>'DCWW Bryn Cowlyd'!K8</f>
        <v>22</v>
      </c>
      <c r="L8" s="60">
        <f>'DCWW Bryn Cowlyd'!L8</f>
        <v>0</v>
      </c>
      <c r="M8" s="60">
        <f>'DCWW Bryn Cowlyd'!M8</f>
        <v>0</v>
      </c>
      <c r="N8" s="60">
        <f>'DCWW Bryn Cowlyd'!N8</f>
        <v>0</v>
      </c>
      <c r="O8" s="60">
        <f>'DCWW Bryn Cowlyd'!O8</f>
        <v>0</v>
      </c>
      <c r="P8" s="60">
        <f>'DCWW Bryn Cowlyd'!P8</f>
        <v>0</v>
      </c>
      <c r="Q8" s="60">
        <f>'DCWW Bryn Cowlyd'!Q8</f>
        <v>0</v>
      </c>
      <c r="R8" s="60">
        <f>'DCWW Bryn Cowlyd'!R8</f>
        <v>0</v>
      </c>
      <c r="S8" s="60">
        <f>'DCWW Bryn Cowlyd'!S8</f>
        <v>0</v>
      </c>
      <c r="T8" s="60">
        <f>'DCWW Bryn Cowlyd'!T8</f>
        <v>0</v>
      </c>
      <c r="U8" s="60">
        <f>'DCWW Bryn Cowlyd'!U8</f>
        <v>0</v>
      </c>
      <c r="V8" s="60">
        <f>'DCWW Bryn Cowlyd'!V8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20" t="s">
        <v>3</v>
      </c>
      <c r="B9" s="120"/>
      <c r="C9" s="60" t="str">
        <f>'DCWW Bryn Cowlyd'!C9</f>
        <v>Moderate</v>
      </c>
      <c r="D9" s="60" t="str">
        <f>'DCWW Bryn Cowlyd'!D9</f>
        <v>Moderate</v>
      </c>
      <c r="E9" s="60" t="str">
        <f>'DCWW Bryn Cowlyd'!E9</f>
        <v>Moderate</v>
      </c>
      <c r="F9" s="60" t="str">
        <f>'DCWW Bryn Cowlyd'!F9</f>
        <v>Moderate</v>
      </c>
      <c r="G9" s="60" t="str">
        <f>'DCWW Bryn Cowlyd'!G9</f>
        <v>Moderate</v>
      </c>
      <c r="H9" s="60" t="str">
        <f>'DCWW Bryn Cowlyd'!H9</f>
        <v>Moderate</v>
      </c>
      <c r="I9" s="60" t="str">
        <f>'DCWW Bryn Cowlyd'!I9</f>
        <v>Moderate</v>
      </c>
      <c r="J9" s="60" t="str">
        <f>'DCWW Bryn Cowlyd'!J9</f>
        <v>Moderate</v>
      </c>
      <c r="K9" s="60" t="str">
        <f>'DCWW Bryn Cowlyd'!K9</f>
        <v>Moderate</v>
      </c>
      <c r="L9" s="60">
        <f>'DCWW Bryn Cowlyd'!L9</f>
        <v>0</v>
      </c>
      <c r="M9" s="60">
        <f>'DCWW Bryn Cowlyd'!M9</f>
        <v>0</v>
      </c>
      <c r="N9" s="60">
        <f>'DCWW Bryn Cowlyd'!N9</f>
        <v>0</v>
      </c>
      <c r="O9" s="60">
        <f>'DCWW Bryn Cowlyd'!O9</f>
        <v>0</v>
      </c>
      <c r="P9" s="60">
        <f>'DCWW Bryn Cowlyd'!P9</f>
        <v>0</v>
      </c>
      <c r="Q9" s="60">
        <f>'DCWW Bryn Cowlyd'!Q9</f>
        <v>0</v>
      </c>
      <c r="R9" s="60">
        <f>'DCWW Bryn Cowlyd'!R9</f>
        <v>0</v>
      </c>
      <c r="S9" s="60">
        <f>'DCWW Bryn Cowlyd'!S9</f>
        <v>0</v>
      </c>
      <c r="T9" s="60">
        <f>'DCWW Bryn Cowlyd'!T9</f>
        <v>0</v>
      </c>
      <c r="U9" s="60">
        <f>'DCWW Bryn Cowlyd'!U9</f>
        <v>0</v>
      </c>
      <c r="V9" s="60">
        <f>'DCWW Bryn Cowlyd'!V9</f>
        <v>0</v>
      </c>
      <c r="AB9" s="17"/>
      <c r="AC9" s="17"/>
      <c r="AD9" s="30" t="s">
        <v>137</v>
      </c>
      <c r="AE9" s="30">
        <v>4.5</v>
      </c>
      <c r="AF9" s="17"/>
      <c r="AG9" s="18"/>
      <c r="AH9" s="18"/>
      <c r="AI9" s="63" t="s">
        <v>103</v>
      </c>
      <c r="AJ9" s="64">
        <v>0.7</v>
      </c>
      <c r="AK9" s="65">
        <v>4</v>
      </c>
      <c r="AL9" s="29">
        <v>7</v>
      </c>
      <c r="AM9" s="11">
        <v>6.7</v>
      </c>
      <c r="AN9" s="11" t="s">
        <v>135</v>
      </c>
      <c r="AO9" s="98"/>
    </row>
    <row r="10" spans="1:41" x14ac:dyDescent="0.25">
      <c r="A10" s="120" t="s">
        <v>4</v>
      </c>
      <c r="B10" s="120"/>
      <c r="C10" s="60">
        <f>'DCWW Bryn Cowlyd'!C10</f>
        <v>5.6</v>
      </c>
      <c r="D10" s="60">
        <f>'DCWW Bryn Cowlyd'!D10</f>
        <v>5.7</v>
      </c>
      <c r="E10" s="60">
        <f>'DCWW Bryn Cowlyd'!E10</f>
        <v>6.8</v>
      </c>
      <c r="F10" s="60">
        <f>'DCWW Bryn Cowlyd'!F10</f>
        <v>6.4</v>
      </c>
      <c r="G10" s="60">
        <f>'DCWW Bryn Cowlyd'!G10</f>
        <v>6.2</v>
      </c>
      <c r="H10" s="60">
        <f>'DCWW Bryn Cowlyd'!H10</f>
        <v>6.2</v>
      </c>
      <c r="I10" s="60">
        <f>'DCWW Bryn Cowlyd'!I10</f>
        <v>6.1</v>
      </c>
      <c r="J10" s="60">
        <f>'DCWW Bryn Cowlyd'!J10</f>
        <v>6.2</v>
      </c>
      <c r="K10" s="60">
        <f>'DCWW Bryn Cowlyd'!K10</f>
        <v>6</v>
      </c>
      <c r="L10" s="60">
        <f>'DCWW Bryn Cowlyd'!L10</f>
        <v>0</v>
      </c>
      <c r="M10" s="60">
        <f>'DCWW Bryn Cowlyd'!M10</f>
        <v>0</v>
      </c>
      <c r="N10" s="60">
        <f>'DCWW Bryn Cowlyd'!N10</f>
        <v>0</v>
      </c>
      <c r="O10" s="60">
        <f>'DCWW Bryn Cowlyd'!O10</f>
        <v>0</v>
      </c>
      <c r="P10" s="60">
        <f>'DCWW Bryn Cowlyd'!P10</f>
        <v>0</v>
      </c>
      <c r="Q10" s="60">
        <f>'DCWW Bryn Cowlyd'!Q10</f>
        <v>0</v>
      </c>
      <c r="R10" s="60">
        <f>'DCWW Bryn Cowlyd'!R10</f>
        <v>0</v>
      </c>
      <c r="S10" s="60">
        <f>'DCWW Bryn Cowlyd'!S10</f>
        <v>0</v>
      </c>
      <c r="T10" s="60">
        <f>'DCWW Bryn Cowlyd'!T10</f>
        <v>0</v>
      </c>
      <c r="U10" s="60">
        <f>'DCWW Bryn Cowlyd'!U10</f>
        <v>0</v>
      </c>
      <c r="V10" s="60">
        <f>'DCWW Bryn Cowlyd'!V10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20" t="s">
        <v>5</v>
      </c>
      <c r="B11" s="120"/>
      <c r="C11" s="60">
        <f>'DCWW Bryn Cowlyd'!C11</f>
        <v>2</v>
      </c>
      <c r="D11" s="60">
        <f>'DCWW Bryn Cowlyd'!D11</f>
        <v>3</v>
      </c>
      <c r="E11" s="60">
        <f>'DCWW Bryn Cowlyd'!E11</f>
        <v>1</v>
      </c>
      <c r="F11" s="60">
        <f>'DCWW Bryn Cowlyd'!F11</f>
        <v>3</v>
      </c>
      <c r="G11" s="60">
        <f>'DCWW Bryn Cowlyd'!G11</f>
        <v>1</v>
      </c>
      <c r="H11" s="60">
        <f>'DCWW Bryn Cowlyd'!H11</f>
        <v>1</v>
      </c>
      <c r="I11" s="60">
        <f>'DCWW Bryn Cowlyd'!I11</f>
        <v>2</v>
      </c>
      <c r="J11" s="60">
        <f>'DCWW Bryn Cowlyd'!J11</f>
        <v>1</v>
      </c>
      <c r="K11" s="60">
        <f>'DCWW Bryn Cowlyd'!K11</f>
        <v>1</v>
      </c>
      <c r="L11" s="60">
        <f>'DCWW Bryn Cowlyd'!L11</f>
        <v>0</v>
      </c>
      <c r="M11" s="60">
        <f>'DCWW Bryn Cowlyd'!M11</f>
        <v>0</v>
      </c>
      <c r="N11" s="60">
        <f>'DCWW Bryn Cowlyd'!N11</f>
        <v>0</v>
      </c>
      <c r="O11" s="60">
        <f>'DCWW Bryn Cowlyd'!O11</f>
        <v>0</v>
      </c>
      <c r="P11" s="60">
        <f>'DCWW Bryn Cowlyd'!P11</f>
        <v>0</v>
      </c>
      <c r="Q11" s="60">
        <f>'DCWW Bryn Cowlyd'!Q11</f>
        <v>0</v>
      </c>
      <c r="R11" s="60">
        <f>'DCWW Bryn Cowlyd'!R11</f>
        <v>0</v>
      </c>
      <c r="S11" s="60">
        <f>'DCWW Bryn Cowlyd'!S11</f>
        <v>0</v>
      </c>
      <c r="T11" s="60">
        <f>'DCWW Bryn Cowlyd'!T11</f>
        <v>0</v>
      </c>
      <c r="U11" s="60">
        <f>'DCWW Bryn Cowlyd'!U11</f>
        <v>0</v>
      </c>
      <c r="V11" s="60">
        <f>'DCWW Bryn Cowlyd'!V11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20" t="s">
        <v>6</v>
      </c>
      <c r="B12" s="120"/>
      <c r="C12" s="60">
        <f>'DCWW Bryn Cowlyd'!C12</f>
        <v>2</v>
      </c>
      <c r="D12" s="60">
        <f>'DCWW Bryn Cowlyd'!D12</f>
        <v>2</v>
      </c>
      <c r="E12" s="60">
        <f>'DCWW Bryn Cowlyd'!E12</f>
        <v>1</v>
      </c>
      <c r="F12" s="60">
        <f>'DCWW Bryn Cowlyd'!F12</f>
        <v>2</v>
      </c>
      <c r="G12" s="60">
        <f>'DCWW Bryn Cowlyd'!G12</f>
        <v>1</v>
      </c>
      <c r="H12" s="60">
        <f>'DCWW Bryn Cowlyd'!H12</f>
        <v>0</v>
      </c>
      <c r="I12" s="60">
        <f>'DCWW Bryn Cowlyd'!I12</f>
        <v>1</v>
      </c>
      <c r="J12" s="60">
        <f>'DCWW Bryn Cowlyd'!J12</f>
        <v>0</v>
      </c>
      <c r="K12" s="60">
        <f>'DCWW Bryn Cowlyd'!K12</f>
        <v>0</v>
      </c>
      <c r="L12" s="60">
        <f>'DCWW Bryn Cowlyd'!L12</f>
        <v>0</v>
      </c>
      <c r="M12" s="60">
        <f>'DCWW Bryn Cowlyd'!M12</f>
        <v>0</v>
      </c>
      <c r="N12" s="60">
        <f>'DCWW Bryn Cowlyd'!N12</f>
        <v>0</v>
      </c>
      <c r="O12" s="60">
        <f>'DCWW Bryn Cowlyd'!O12</f>
        <v>0</v>
      </c>
      <c r="P12" s="60">
        <f>'DCWW Bryn Cowlyd'!P12</f>
        <v>0</v>
      </c>
      <c r="Q12" s="60">
        <f>'DCWW Bryn Cowlyd'!Q12</f>
        <v>0</v>
      </c>
      <c r="R12" s="60">
        <f>'DCWW Bryn Cowlyd'!R12</f>
        <v>0</v>
      </c>
      <c r="S12" s="60">
        <f>'DCWW Bryn Cowlyd'!S12</f>
        <v>0</v>
      </c>
      <c r="T12" s="60">
        <f>'DCWW Bryn Cowlyd'!T12</f>
        <v>0</v>
      </c>
      <c r="U12" s="60">
        <f>'DCWW Bryn Cowlyd'!U12</f>
        <v>0</v>
      </c>
      <c r="V12" s="60">
        <f>'DCWW Bryn Cowlyd'!V12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20" t="s">
        <v>7</v>
      </c>
      <c r="B13" s="120"/>
      <c r="C13" s="60">
        <f>'DCWW Bryn Cowlyd'!C13</f>
        <v>2</v>
      </c>
      <c r="D13" s="60">
        <f>'DCWW Bryn Cowlyd'!D13</f>
        <v>2</v>
      </c>
      <c r="E13" s="60">
        <f>'DCWW Bryn Cowlyd'!E13</f>
        <v>2</v>
      </c>
      <c r="F13" s="60">
        <f>'DCWW Bryn Cowlyd'!F13</f>
        <v>3</v>
      </c>
      <c r="G13" s="60">
        <f>'DCWW Bryn Cowlyd'!G13</f>
        <v>2</v>
      </c>
      <c r="H13" s="60">
        <f>'DCWW Bryn Cowlyd'!H13</f>
        <v>2</v>
      </c>
      <c r="I13" s="60">
        <f>'DCWW Bryn Cowlyd'!I13</f>
        <v>2</v>
      </c>
      <c r="J13" s="60">
        <f>'DCWW Bryn Cowlyd'!J13</f>
        <v>2</v>
      </c>
      <c r="K13" s="60">
        <f>'DCWW Bryn Cowlyd'!K13</f>
        <v>2</v>
      </c>
      <c r="L13" s="60">
        <f>'DCWW Bryn Cowlyd'!L13</f>
        <v>0</v>
      </c>
      <c r="M13" s="60">
        <f>'DCWW Bryn Cowlyd'!M13</f>
        <v>0</v>
      </c>
      <c r="N13" s="60">
        <f>'DCWW Bryn Cowlyd'!N13</f>
        <v>0</v>
      </c>
      <c r="O13" s="60">
        <f>'DCWW Bryn Cowlyd'!O13</f>
        <v>0</v>
      </c>
      <c r="P13" s="60">
        <f>'DCWW Bryn Cowlyd'!P13</f>
        <v>0</v>
      </c>
      <c r="Q13" s="60">
        <f>'DCWW Bryn Cowlyd'!Q13</f>
        <v>0</v>
      </c>
      <c r="R13" s="60">
        <f>'DCWW Bryn Cowlyd'!R13</f>
        <v>0</v>
      </c>
      <c r="S13" s="60">
        <f>'DCWW Bryn Cowlyd'!S13</f>
        <v>0</v>
      </c>
      <c r="T13" s="60">
        <f>'DCWW Bryn Cowlyd'!T13</f>
        <v>0</v>
      </c>
      <c r="U13" s="60">
        <f>'DCWW Bryn Cowlyd'!U13</f>
        <v>0</v>
      </c>
      <c r="V13" s="60">
        <f>'DCWW Bryn Cowlyd'!V13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2" t="s">
        <v>8</v>
      </c>
      <c r="B14" s="132"/>
      <c r="C14" s="101" t="str">
        <f>'DCWW Bryn Cowlyd'!C14</f>
        <v xml:space="preserve">Grass Silage (25% DM) </v>
      </c>
      <c r="D14" s="101" t="str">
        <f>'DCWW Bryn Cowlyd'!D14</f>
        <v xml:space="preserve">Grass Silage (25% DM) </v>
      </c>
      <c r="E14" s="101" t="str">
        <f>'DCWW Bryn Cowlyd'!E14</f>
        <v xml:space="preserve">Grass Silage (25% DM) </v>
      </c>
      <c r="F14" s="101" t="str">
        <f>'DCWW Bryn Cowlyd'!F14</f>
        <v xml:space="preserve">Grass Silage (25% DM) </v>
      </c>
      <c r="G14" s="101" t="str">
        <f>'DCWW Bryn Cowlyd'!G14</f>
        <v xml:space="preserve">Grass Silage (25% DM) </v>
      </c>
      <c r="H14" s="101" t="str">
        <f>'DCWW Bryn Cowlyd'!H14</f>
        <v xml:space="preserve">Grass Silage (25% DM) </v>
      </c>
      <c r="I14" s="101" t="str">
        <f>'DCWW Bryn Cowlyd'!I14</f>
        <v xml:space="preserve">Grass Silage (25% DM) </v>
      </c>
      <c r="J14" s="101" t="str">
        <f>'DCWW Bryn Cowlyd'!J14</f>
        <v xml:space="preserve">Grass Silage (25% DM) </v>
      </c>
      <c r="K14" s="101" t="str">
        <f>'DCWW Bryn Cowlyd'!K14</f>
        <v xml:space="preserve">Grass Silage (25% DM) </v>
      </c>
      <c r="L14" s="101">
        <f>'DCWW Bryn Cowlyd'!L14</f>
        <v>0</v>
      </c>
      <c r="M14" s="101">
        <f>'DCWW Bryn Cowlyd'!M14</f>
        <v>0</v>
      </c>
      <c r="N14" s="101">
        <f>'DCWW Bryn Cowlyd'!N14</f>
        <v>0</v>
      </c>
      <c r="O14" s="101">
        <f>'DCWW Bryn Cowlyd'!O14</f>
        <v>0</v>
      </c>
      <c r="P14" s="101">
        <f>'DCWW Bryn Cowlyd'!P14</f>
        <v>0</v>
      </c>
      <c r="Q14" s="101">
        <f>'DCWW Bryn Cowlyd'!Q14</f>
        <v>0</v>
      </c>
      <c r="R14" s="101">
        <f>'DCWW Bryn Cowlyd'!R14</f>
        <v>0</v>
      </c>
      <c r="S14" s="101">
        <f>'DCWW Bryn Cowlyd'!S14</f>
        <v>0</v>
      </c>
      <c r="T14" s="101">
        <f>'DCWW Bryn Cowlyd'!T14</f>
        <v>0</v>
      </c>
      <c r="U14" s="101">
        <f>'DCWW Bryn Cowlyd'!U14</f>
        <v>0</v>
      </c>
      <c r="V14" s="101">
        <f>'DCWW Bryn Cowlyd'!V14</f>
        <v>0</v>
      </c>
      <c r="AD14" s="30" t="s">
        <v>138</v>
      </c>
      <c r="AE14" s="30">
        <v>6</v>
      </c>
      <c r="AI14" s="53" t="s">
        <v>119</v>
      </c>
      <c r="AJ14" s="54">
        <v>0.8</v>
      </c>
      <c r="AK14" s="55">
        <v>1.7</v>
      </c>
      <c r="AL14" s="11">
        <v>12</v>
      </c>
      <c r="AM14" s="11">
        <v>6.7</v>
      </c>
      <c r="AN14" s="11" t="s">
        <v>135</v>
      </c>
    </row>
    <row r="15" spans="1:41" x14ac:dyDescent="0.25">
      <c r="A15" s="131" t="s">
        <v>9</v>
      </c>
      <c r="B15" s="131"/>
      <c r="C15" s="60">
        <f>'DCWW Bryn Cowlyd'!C15</f>
        <v>38</v>
      </c>
      <c r="D15" s="60">
        <f>'DCWW Bryn Cowlyd'!D15</f>
        <v>38</v>
      </c>
      <c r="E15" s="60">
        <f>'DCWW Bryn Cowlyd'!E15</f>
        <v>38</v>
      </c>
      <c r="F15" s="60">
        <f>'DCWW Bryn Cowlyd'!F15</f>
        <v>38</v>
      </c>
      <c r="G15" s="60">
        <f>'DCWW Bryn Cowlyd'!G15</f>
        <v>38</v>
      </c>
      <c r="H15" s="60">
        <f>'DCWW Bryn Cowlyd'!H15</f>
        <v>38</v>
      </c>
      <c r="I15" s="60">
        <f>'DCWW Bryn Cowlyd'!I15</f>
        <v>38</v>
      </c>
      <c r="J15" s="60">
        <f>'DCWW Bryn Cowlyd'!J15</f>
        <v>38</v>
      </c>
      <c r="K15" s="60">
        <f>'DCWW Bryn Cowlyd'!K15</f>
        <v>38</v>
      </c>
      <c r="L15" s="60">
        <f>'DCWW Bryn Cowlyd'!L15</f>
        <v>0</v>
      </c>
      <c r="M15" s="60">
        <f>'DCWW Bryn Cowlyd'!M15</f>
        <v>0</v>
      </c>
      <c r="N15" s="60">
        <f>'DCWW Bryn Cowlyd'!N15</f>
        <v>0</v>
      </c>
      <c r="O15" s="60">
        <f>'DCWW Bryn Cowlyd'!O15</f>
        <v>0</v>
      </c>
      <c r="P15" s="60">
        <f>'DCWW Bryn Cowlyd'!P15</f>
        <v>0</v>
      </c>
      <c r="Q15" s="60">
        <f>'DCWW Bryn Cowlyd'!Q15</f>
        <v>0</v>
      </c>
      <c r="R15" s="60">
        <f>'DCWW Bryn Cowlyd'!R15</f>
        <v>0</v>
      </c>
      <c r="S15" s="60">
        <f>'DCWW Bryn Cowlyd'!S15</f>
        <v>0</v>
      </c>
      <c r="T15" s="60">
        <f>'DCWW Bryn Cowlyd'!T15</f>
        <v>0</v>
      </c>
      <c r="U15" s="60">
        <f>'DCWW Bryn Cowlyd'!U15</f>
        <v>0</v>
      </c>
      <c r="V15" s="60">
        <f>'DCWW Bryn Cowlyd'!V15</f>
        <v>0</v>
      </c>
      <c r="AD15" s="30" t="s">
        <v>144</v>
      </c>
      <c r="AE15" s="30">
        <v>7</v>
      </c>
      <c r="AI15" s="53" t="s">
        <v>101</v>
      </c>
      <c r="AJ15" s="62">
        <v>1.8</v>
      </c>
      <c r="AK15" s="55">
        <v>5.4</v>
      </c>
      <c r="AL15" s="11">
        <v>13</v>
      </c>
      <c r="AM15" s="11">
        <v>6.7</v>
      </c>
      <c r="AN15" s="11" t="s">
        <v>135</v>
      </c>
    </row>
    <row r="16" spans="1:41" ht="13.8" thickBot="1" x14ac:dyDescent="0.3">
      <c r="A16" s="133" t="s">
        <v>44</v>
      </c>
      <c r="B16" s="133"/>
      <c r="C16" s="102" t="str">
        <f>'DCWW Bryn Cowlyd'!C16</f>
        <v>Medium/Clay</v>
      </c>
      <c r="D16" s="102" t="str">
        <f>'DCWW Bryn Cowlyd'!D16</f>
        <v>Medium/Clay</v>
      </c>
      <c r="E16" s="102" t="str">
        <f>'DCWW Bryn Cowlyd'!E16</f>
        <v>Medium/Clay</v>
      </c>
      <c r="F16" s="102" t="str">
        <f>'DCWW Bryn Cowlyd'!F16</f>
        <v>Medium/Clay</v>
      </c>
      <c r="G16" s="102" t="str">
        <f>'DCWW Bryn Cowlyd'!G16</f>
        <v>Medium/Clay</v>
      </c>
      <c r="H16" s="102" t="str">
        <f>'DCWW Bryn Cowlyd'!H16</f>
        <v>Medium/Clay</v>
      </c>
      <c r="I16" s="102" t="str">
        <f>'DCWW Bryn Cowlyd'!I16</f>
        <v>Medium/Clay</v>
      </c>
      <c r="J16" s="102" t="str">
        <f>'DCWW Bryn Cowlyd'!J16</f>
        <v>Medium/Clay</v>
      </c>
      <c r="K16" s="102" t="str">
        <f>'DCWW Bryn Cowlyd'!K16</f>
        <v>Medium/Clay</v>
      </c>
      <c r="L16" s="102">
        <f>'DCWW Bryn Cowlyd'!L16</f>
        <v>0</v>
      </c>
      <c r="M16" s="102">
        <f>'DCWW Bryn Cowlyd'!M16</f>
        <v>0</v>
      </c>
      <c r="N16" s="102">
        <f>'DCWW Bryn Cowlyd'!N16</f>
        <v>0</v>
      </c>
      <c r="O16" s="102">
        <f>'DCWW Bryn Cowlyd'!O16</f>
        <v>0</v>
      </c>
      <c r="P16" s="102">
        <f>'DCWW Bryn Cowlyd'!P16</f>
        <v>0</v>
      </c>
      <c r="Q16" s="102">
        <f>'DCWW Bryn Cowlyd'!Q16</f>
        <v>0</v>
      </c>
      <c r="R16" s="102">
        <f>'DCWW Bryn Cowlyd'!R16</f>
        <v>0</v>
      </c>
      <c r="S16" s="102">
        <f>'DCWW Bryn Cowlyd'!S16</f>
        <v>0</v>
      </c>
      <c r="T16" s="102">
        <f>'DCWW Bryn Cowlyd'!T16</f>
        <v>0</v>
      </c>
      <c r="U16" s="102">
        <f>'DCWW Bryn Cowlyd'!U16</f>
        <v>0</v>
      </c>
      <c r="V16" s="102">
        <f>'DCWW Bryn Cowlyd'!V16</f>
        <v>0</v>
      </c>
      <c r="AD16" s="52" t="s">
        <v>145</v>
      </c>
      <c r="AE16" s="30">
        <v>8</v>
      </c>
      <c r="AI16" s="53" t="s">
        <v>118</v>
      </c>
      <c r="AJ16" s="54">
        <v>8</v>
      </c>
      <c r="AK16" s="55">
        <v>5.5</v>
      </c>
      <c r="AL16" s="12">
        <v>14</v>
      </c>
      <c r="AM16" s="11">
        <v>6.7</v>
      </c>
      <c r="AN16" s="11" t="s">
        <v>135</v>
      </c>
    </row>
    <row r="17" spans="1:40" x14ac:dyDescent="0.25">
      <c r="A17" s="123" t="s">
        <v>69</v>
      </c>
      <c r="B17" s="12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5" t="s">
        <v>23</v>
      </c>
      <c r="B18" s="126"/>
      <c r="C18" s="16">
        <f>$D31</f>
        <v>5.2200435000000001</v>
      </c>
      <c r="D18" s="16">
        <f>$D32</f>
        <v>5.2200435000000001</v>
      </c>
      <c r="E18" s="16">
        <f>$D33</f>
        <v>5.2200435000000001</v>
      </c>
      <c r="F18" s="16">
        <f>$D34</f>
        <v>5.2200435000000001</v>
      </c>
      <c r="G18" s="16">
        <f>$D35</f>
        <v>5.2200435000000001</v>
      </c>
      <c r="H18" s="16">
        <f>$D36</f>
        <v>5.2200435000000001</v>
      </c>
      <c r="I18" s="16">
        <f>$D37</f>
        <v>5.2200435000000001</v>
      </c>
      <c r="J18" s="16">
        <f>$D38</f>
        <v>5.2200435000000001</v>
      </c>
      <c r="K18" s="16">
        <f>$D39</f>
        <v>5.2200435000000001</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5" t="s">
        <v>90</v>
      </c>
      <c r="B19" s="126"/>
      <c r="C19" s="16">
        <f>C18-C17</f>
        <v>-59.379956499999992</v>
      </c>
      <c r="D19" s="16">
        <f t="shared" ref="D19:V19" si="1">D18-D17</f>
        <v>-59.379956499999992</v>
      </c>
      <c r="E19" s="16">
        <f t="shared" si="1"/>
        <v>-59.379956499999992</v>
      </c>
      <c r="F19" s="16">
        <f t="shared" si="1"/>
        <v>-59.379956499999992</v>
      </c>
      <c r="G19" s="16">
        <f t="shared" si="1"/>
        <v>-59.379956499999992</v>
      </c>
      <c r="H19" s="16">
        <f t="shared" si="1"/>
        <v>-59.379956499999992</v>
      </c>
      <c r="I19" s="16">
        <f t="shared" si="1"/>
        <v>-59.379956499999992</v>
      </c>
      <c r="J19" s="16">
        <f t="shared" si="1"/>
        <v>-59.379956499999992</v>
      </c>
      <c r="K19" s="16">
        <f t="shared" si="1"/>
        <v>-59.379956499999992</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27" t="s">
        <v>91</v>
      </c>
      <c r="B20" s="128"/>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3" t="s">
        <v>88</v>
      </c>
      <c r="B21" s="12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5" t="s">
        <v>89</v>
      </c>
      <c r="B22" s="126"/>
      <c r="C22" s="16">
        <f>$E31</f>
        <v>1.4761250000000001</v>
      </c>
      <c r="D22" s="16">
        <f>$E32</f>
        <v>1.4761250000000001</v>
      </c>
      <c r="E22" s="16">
        <f>$E33</f>
        <v>1.4761250000000001</v>
      </c>
      <c r="F22" s="16">
        <f>$E34</f>
        <v>1.4761250000000001</v>
      </c>
      <c r="G22" s="16">
        <f>$E35</f>
        <v>1.4761250000000001</v>
      </c>
      <c r="H22" s="16">
        <f>$E36</f>
        <v>1.4761250000000001</v>
      </c>
      <c r="I22" s="16">
        <f>$E37</f>
        <v>1.4761250000000001</v>
      </c>
      <c r="J22" s="16">
        <f>$E38</f>
        <v>1.4761250000000001</v>
      </c>
      <c r="K22" s="16">
        <f>$E39</f>
        <v>1.4761250000000001</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5" t="s">
        <v>92</v>
      </c>
      <c r="B23" s="126"/>
      <c r="C23" s="16">
        <f>C22-C21</f>
        <v>-226.523875</v>
      </c>
      <c r="D23" s="16">
        <f t="shared" ref="D23:V23" si="3">D22-D21</f>
        <v>-226.523875</v>
      </c>
      <c r="E23" s="16">
        <f t="shared" si="3"/>
        <v>-226.523875</v>
      </c>
      <c r="F23" s="16">
        <f t="shared" si="3"/>
        <v>-226.523875</v>
      </c>
      <c r="G23" s="16">
        <f t="shared" si="3"/>
        <v>-226.523875</v>
      </c>
      <c r="H23" s="16">
        <f t="shared" si="3"/>
        <v>-226.523875</v>
      </c>
      <c r="I23" s="16">
        <f t="shared" si="3"/>
        <v>-226.523875</v>
      </c>
      <c r="J23" s="16">
        <f t="shared" si="3"/>
        <v>-226.523875</v>
      </c>
      <c r="K23" s="16">
        <f t="shared" si="3"/>
        <v>-226.523875</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27" t="s">
        <v>93</v>
      </c>
      <c r="B24" s="128"/>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8" t="s">
        <v>116</v>
      </c>
      <c r="AJ26" s="69">
        <v>0.7</v>
      </c>
      <c r="AK26" s="70">
        <v>2.4</v>
      </c>
      <c r="AL26" s="29">
        <v>24</v>
      </c>
      <c r="AM26" s="10">
        <v>6.7</v>
      </c>
      <c r="AN26" s="11" t="s">
        <v>135</v>
      </c>
    </row>
    <row r="27" spans="1:40" s="57" customFormat="1" x14ac:dyDescent="0.3">
      <c r="A27" s="105"/>
      <c r="B27" s="71"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c r="S27" s="106" t="s">
        <v>55</v>
      </c>
      <c r="T27" s="106"/>
      <c r="U27" s="106"/>
    </row>
    <row r="28" spans="1:40" s="57" customFormat="1" x14ac:dyDescent="0.3">
      <c r="A28" s="107"/>
      <c r="B28" s="24">
        <v>4.9000000000000004</v>
      </c>
      <c r="C28" s="15">
        <v>0.56599999999999995</v>
      </c>
      <c r="D28" s="15">
        <v>1.8599999999999998E-2</v>
      </c>
      <c r="E28" s="15">
        <v>0.01</v>
      </c>
      <c r="F28" s="15">
        <v>506</v>
      </c>
      <c r="G28" s="15">
        <v>36.1</v>
      </c>
      <c r="H28" s="15">
        <v>452</v>
      </c>
      <c r="I28" s="15">
        <v>45.9</v>
      </c>
      <c r="J28" s="15">
        <v>0.61</v>
      </c>
      <c r="K28" s="23">
        <v>0.42</v>
      </c>
      <c r="L28" s="15">
        <v>32</v>
      </c>
      <c r="M28" s="15">
        <v>10.6</v>
      </c>
      <c r="N28" s="15">
        <v>3840</v>
      </c>
      <c r="O28" s="15">
        <v>539000</v>
      </c>
      <c r="P28" s="15"/>
      <c r="Q28" s="15">
        <v>2170</v>
      </c>
      <c r="R28" s="15"/>
      <c r="S28" s="15">
        <v>13.2</v>
      </c>
      <c r="T28" s="15"/>
      <c r="U28" s="15"/>
    </row>
    <row r="29" spans="1:40" s="7" customFormat="1" ht="28.8" x14ac:dyDescent="0.3">
      <c r="A29" s="12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3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f>C8</f>
        <v>1</v>
      </c>
      <c r="B31" s="15">
        <v>250</v>
      </c>
      <c r="C31" s="77">
        <f>IF(C$27="%w/w SAR",((C$28*10)*$B31),IF(C$27="%w/w DM",(((C$28*10)*($B$28/100))*$B31),IF(C$27="kg/t SAR",(C$28*$B31),IF(C$27="kg/t DM",((C$28*($B$28/100))*$B31),IF(C$27="mg/kg SAR",((C$28*0.001)*$B31),IF(C$27="mg/kg DM",(((C$28*0.001)*($B$28/100))*$B31),0))))))</f>
        <v>69.334999999999994</v>
      </c>
      <c r="D31" s="77">
        <f>(IF(D$27="%w/w SAR",((D$28*10)*$B31),IF(D$27="%w/w DM",(((D$28*10)*($B$28/100))*$B31),IF(D$27="kg/t SAR",(D$28*$B31),IF(D$27="kg/t DM",((D$28*($B$28/100))*$B31),IF(D$27="mg/kg SAR",((D$28*0.001)*$B31),IF(D$27="mg/kg DM",(((D$28*0.001)*($B$28/100))*$B31),"0")))))))*2.291</f>
        <v>5.2200435000000001</v>
      </c>
      <c r="E31" s="77">
        <f>(IF(E$27="%w/w SAR",((E$28*10)*$B31),IF(E$27="%w/w DM",(((E$28*10)*($B$28/100))*$B31),IF(E$27="kg/t SAR",(E$28*$B31),IF(E$27="kg/t DM",((E$28*($B$28/100))*$B31),IF(E$27="mg/kg SAR",((E$28*0.001)*$B31),IF(E$27="mg/kg DM",(((E$28*0.001)*($B$28/100))*$B31),"0")))))))*1.205</f>
        <v>1.4761250000000001</v>
      </c>
      <c r="F31" s="77">
        <f>(IF(F$27="%w/w SAR",((F$28*10)*$B31),IF(F$27="%w/w DM",(((F$28*10)*($B$28/100))*$B31),IF(F$27="kg/t SAR",(F$28*$B31),IF(F$27="kg/t DM",((F$28*($B$28/100))*$B31),IF(F$27="mg/kg SAR",((F$28*0.001)*$B31),IF(F$27="mg/kg DM",(((F$28*0.001)*($B$28/100))*$B31),"0")))))))*1.658</f>
        <v>10.277113</v>
      </c>
      <c r="G31" s="77">
        <f t="shared" ref="G31:P46" si="5">IF(G$27="%w/w SAR",((G$28*10)*$B31),IF(G$27="%w/w DM",(((G$28*10)*($B$28/100))*$B31),IF(G$27="kg/t SAR",(G$28*$B31),IF(G$27="kg/t DM",((G$28*($B$28/100))*$B31),IF(G$27="mg/kg SAR",((G$28*0.001)*$B31),IF(G$27="mg/kg DM",(((G$28*0.001)*($B$28/100))*$B31),0))))))</f>
        <v>0.44222500000000003</v>
      </c>
      <c r="H31" s="77">
        <f t="shared" si="5"/>
        <v>5.5369999999999999</v>
      </c>
      <c r="I31" s="77">
        <f t="shared" si="5"/>
        <v>0.56227499999999997</v>
      </c>
      <c r="J31" s="77">
        <f t="shared" si="5"/>
        <v>7.4725E-3</v>
      </c>
      <c r="K31" s="77">
        <f t="shared" si="5"/>
        <v>5.1450000000000011E-3</v>
      </c>
      <c r="L31" s="77">
        <f t="shared" si="5"/>
        <v>0.39200000000000002</v>
      </c>
      <c r="M31" s="77">
        <f t="shared" si="5"/>
        <v>0.12985000000000002</v>
      </c>
      <c r="N31" s="77">
        <f t="shared" si="5"/>
        <v>47.04</v>
      </c>
      <c r="O31" s="77">
        <f t="shared" si="5"/>
        <v>6602.75</v>
      </c>
      <c r="P31" s="77">
        <f t="shared" si="5"/>
        <v>0</v>
      </c>
      <c r="Q31" s="77">
        <f>(IF(Q$27="%w/w SAR",((Q$28*10)*$B31),IF(Q$27="%w/w DM",(((Q$28*10)*($B$28/100))*$B31),IF(Q$27="kg/t SAR",(Q$28*$B31),IF(Q$27="kg/t DM",((Q$28*($B$28/100))*$B31),IF(Q$27="mg/kg SAR",((Q$28*0.001)*$B31),IF(Q$27="mg/kg DM",(((Q$28*0.001)*($B$28/100))*$B31),0)))))))*2.5</f>
        <v>66.456249999999997</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0.16170000000000001</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f>D8</f>
        <v>2</v>
      </c>
      <c r="B32" s="15">
        <v>250</v>
      </c>
      <c r="C32" s="77">
        <f t="shared" ref="C32:C50" si="6">IF(C$27="%w/w SAR",((C$28*10)*$B32),IF(C$27="%w/w DM",(((C$28*10)*($B$28/100))*$B32),IF(C$27="kg/t SAR",(C$28*$B32),IF(C$27="kg/t DM",((C$28*($B$28/100))*$B32),IF(C$27="mg/kg SAR",((C$28*0.001)*$B32),IF(C$27="mg/kg DM",(((C$28*0.001)*($B$28/100))*$B32),0))))))</f>
        <v>69.334999999999994</v>
      </c>
      <c r="D32" s="77">
        <f t="shared" ref="D32:D50" si="7">(IF(D$27="%w/w SAR",((D$28*10)*$B32),IF(D$27="%w/w DM",(((D$28*10)*($B$28/100))*$B32),IF(D$27="kg/t SAR",(D$28*$B32),IF(D$27="kg/t DM",((D$28*($B$28/100))*$B32),IF(D$27="mg/kg SAR",((D$28*0.001)*$B32),IF(D$27="mg/kg DM",(((D$28*0.001)*($B$28/100))*$B32),"0")))))))*2.291</f>
        <v>5.2200435000000001</v>
      </c>
      <c r="E32" s="77">
        <f t="shared" ref="E32:E50" si="8">(IF(E$27="%w/w SAR",((E$28*10)*$B32),IF(E$27="%w/w DM",(((E$28*10)*($B$28/100))*$B32),IF(E$27="kg/t SAR",(E$28*$B32),IF(E$27="kg/t DM",((E$28*($B$28/100))*$B32),IF(E$27="mg/kg SAR",((E$28*0.001)*$B32),IF(E$27="mg/kg DM",(((E$28*0.001)*($B$28/100))*$B32),"0")))))))*1.205</f>
        <v>1.4761250000000001</v>
      </c>
      <c r="F32" s="77">
        <f t="shared" ref="F32:F50" si="9">(IF(F$27="%w/w SAR",((F$28*10)*$B32),IF(F$27="%w/w DM",(((F$28*10)*($B$28/100))*$B32),IF(F$27="kg/t SAR",(F$28*$B32),IF(F$27="kg/t DM",((F$28*($B$28/100))*$B32),IF(F$27="mg/kg SAR",((F$28*0.001)*$B32),IF(F$27="mg/kg DM",(((F$28*0.001)*($B$28/100))*$B32),"0")))))))*1.658</f>
        <v>10.277113</v>
      </c>
      <c r="G32" s="77">
        <f t="shared" si="5"/>
        <v>0.44222500000000003</v>
      </c>
      <c r="H32" s="77">
        <f t="shared" si="5"/>
        <v>5.5369999999999999</v>
      </c>
      <c r="I32" s="77">
        <f t="shared" si="5"/>
        <v>0.56227499999999997</v>
      </c>
      <c r="J32" s="77">
        <f t="shared" si="5"/>
        <v>7.4725E-3</v>
      </c>
      <c r="K32" s="77">
        <f t="shared" si="5"/>
        <v>5.1450000000000011E-3</v>
      </c>
      <c r="L32" s="77">
        <f t="shared" si="5"/>
        <v>0.39200000000000002</v>
      </c>
      <c r="M32" s="77">
        <f t="shared" si="5"/>
        <v>0.12985000000000002</v>
      </c>
      <c r="N32" s="77">
        <f t="shared" si="5"/>
        <v>47.04</v>
      </c>
      <c r="O32" s="77">
        <f t="shared" si="5"/>
        <v>6602.75</v>
      </c>
      <c r="P32" s="77">
        <f t="shared" si="5"/>
        <v>0</v>
      </c>
      <c r="Q32" s="77">
        <f t="shared" ref="Q32:Q50" si="10">(IF(Q$27="%w/w SAR",((Q$28*10)*$B32),IF(Q$27="%w/w DM",(((Q$28*10)*($B$28/100))*$B32),IF(Q$27="kg/t SAR",(Q$28*$B32),IF(Q$27="kg/t DM",((Q$28*($B$28/100))*$B32),IF(Q$27="mg/kg SAR",((Q$28*0.001)*$B32),IF(Q$27="mg/kg DM",(((Q$28*0.001)*($B$28/100))*$B32),0)))))))*2.5</f>
        <v>66.456249999999997</v>
      </c>
      <c r="R32" s="77">
        <f t="shared" ref="R32:U50" si="11">IF(R$27="%w/w SAR",((R$28*10)*$B32),IF(R$27="%w/w DM",(((R$28*10)*($B$28/100))*$B32),IF(R$27="kg/t SAR",(R$28*$B32),IF(R$27="kg/t DM",((R$28*($B$28/100))*$B32),IF(R$27="mg/kg SAR",((R$28*0.001)*$B32),IF(R$27="mg/kg DM",(((R$28*0.001)*($B$28/100))*$B32),0))))))</f>
        <v>0</v>
      </c>
      <c r="S32" s="77">
        <f t="shared" si="11"/>
        <v>0.16170000000000001</v>
      </c>
      <c r="T32" s="77">
        <f t="shared" si="11"/>
        <v>0</v>
      </c>
      <c r="U32" s="77">
        <f t="shared" si="11"/>
        <v>0</v>
      </c>
      <c r="AB32" s="59"/>
      <c r="AC32" s="59"/>
      <c r="AD32" s="59"/>
      <c r="AE32" s="59"/>
      <c r="AF32" s="59"/>
      <c r="AG32" s="59"/>
      <c r="AH32" s="59"/>
      <c r="AI32" s="59"/>
    </row>
    <row r="33" spans="1:35" s="72" customFormat="1" x14ac:dyDescent="0.3">
      <c r="A33" s="13">
        <f>E8</f>
        <v>3</v>
      </c>
      <c r="B33" s="15">
        <v>250</v>
      </c>
      <c r="C33" s="77">
        <f t="shared" si="6"/>
        <v>69.334999999999994</v>
      </c>
      <c r="D33" s="77">
        <f t="shared" si="7"/>
        <v>5.2200435000000001</v>
      </c>
      <c r="E33" s="77">
        <f t="shared" si="8"/>
        <v>1.4761250000000001</v>
      </c>
      <c r="F33" s="77">
        <f t="shared" si="9"/>
        <v>10.277113</v>
      </c>
      <c r="G33" s="77">
        <f t="shared" si="5"/>
        <v>0.44222500000000003</v>
      </c>
      <c r="H33" s="77">
        <f t="shared" si="5"/>
        <v>5.5369999999999999</v>
      </c>
      <c r="I33" s="77">
        <f t="shared" si="5"/>
        <v>0.56227499999999997</v>
      </c>
      <c r="J33" s="77">
        <f t="shared" si="5"/>
        <v>7.4725E-3</v>
      </c>
      <c r="K33" s="77">
        <f t="shared" si="5"/>
        <v>5.1450000000000011E-3</v>
      </c>
      <c r="L33" s="77">
        <f t="shared" si="5"/>
        <v>0.39200000000000002</v>
      </c>
      <c r="M33" s="77">
        <f t="shared" si="5"/>
        <v>0.12985000000000002</v>
      </c>
      <c r="N33" s="77">
        <f t="shared" si="5"/>
        <v>47.04</v>
      </c>
      <c r="O33" s="77">
        <f t="shared" si="5"/>
        <v>6602.75</v>
      </c>
      <c r="P33" s="77">
        <f t="shared" si="5"/>
        <v>0</v>
      </c>
      <c r="Q33" s="77">
        <f t="shared" si="10"/>
        <v>66.456249999999997</v>
      </c>
      <c r="R33" s="77">
        <f t="shared" si="11"/>
        <v>0</v>
      </c>
      <c r="S33" s="77">
        <f t="shared" si="11"/>
        <v>0.16170000000000001</v>
      </c>
      <c r="T33" s="77">
        <f t="shared" si="11"/>
        <v>0</v>
      </c>
      <c r="U33" s="77">
        <f t="shared" si="11"/>
        <v>0</v>
      </c>
      <c r="AB33" s="59"/>
      <c r="AC33" s="59"/>
      <c r="AD33" s="59"/>
      <c r="AE33" s="59"/>
      <c r="AF33" s="59"/>
      <c r="AG33" s="59"/>
      <c r="AH33" s="59"/>
      <c r="AI33" s="59"/>
    </row>
    <row r="34" spans="1:35" s="72" customFormat="1" x14ac:dyDescent="0.3">
      <c r="A34" s="13">
        <f>F8</f>
        <v>4</v>
      </c>
      <c r="B34" s="15">
        <v>250</v>
      </c>
      <c r="C34" s="77">
        <f t="shared" si="6"/>
        <v>69.334999999999994</v>
      </c>
      <c r="D34" s="77">
        <f t="shared" si="7"/>
        <v>5.2200435000000001</v>
      </c>
      <c r="E34" s="77">
        <f t="shared" si="8"/>
        <v>1.4761250000000001</v>
      </c>
      <c r="F34" s="77">
        <f t="shared" si="9"/>
        <v>10.277113</v>
      </c>
      <c r="G34" s="77">
        <f t="shared" si="5"/>
        <v>0.44222500000000003</v>
      </c>
      <c r="H34" s="77">
        <f t="shared" si="5"/>
        <v>5.5369999999999999</v>
      </c>
      <c r="I34" s="77">
        <f t="shared" si="5"/>
        <v>0.56227499999999997</v>
      </c>
      <c r="J34" s="77">
        <f t="shared" si="5"/>
        <v>7.4725E-3</v>
      </c>
      <c r="K34" s="77">
        <f t="shared" si="5"/>
        <v>5.1450000000000011E-3</v>
      </c>
      <c r="L34" s="77">
        <f t="shared" si="5"/>
        <v>0.39200000000000002</v>
      </c>
      <c r="M34" s="77">
        <f t="shared" si="5"/>
        <v>0.12985000000000002</v>
      </c>
      <c r="N34" s="77">
        <f t="shared" si="5"/>
        <v>47.04</v>
      </c>
      <c r="O34" s="77">
        <f t="shared" si="5"/>
        <v>6602.75</v>
      </c>
      <c r="P34" s="77">
        <f t="shared" si="5"/>
        <v>0</v>
      </c>
      <c r="Q34" s="77">
        <f t="shared" si="10"/>
        <v>66.456249999999997</v>
      </c>
      <c r="R34" s="77">
        <f t="shared" si="11"/>
        <v>0</v>
      </c>
      <c r="S34" s="77">
        <f t="shared" si="11"/>
        <v>0.16170000000000001</v>
      </c>
      <c r="T34" s="77">
        <f t="shared" si="11"/>
        <v>0</v>
      </c>
      <c r="U34" s="77">
        <f t="shared" si="11"/>
        <v>0</v>
      </c>
      <c r="AB34" s="59"/>
      <c r="AC34" s="59"/>
      <c r="AD34" s="59"/>
      <c r="AE34" s="59"/>
      <c r="AF34" s="59"/>
      <c r="AG34" s="59"/>
      <c r="AH34" s="59"/>
      <c r="AI34" s="59"/>
    </row>
    <row r="35" spans="1:35" s="72" customFormat="1" x14ac:dyDescent="0.3">
      <c r="A35" s="13">
        <f>G8</f>
        <v>7</v>
      </c>
      <c r="B35" s="15">
        <v>250</v>
      </c>
      <c r="C35" s="77">
        <f t="shared" si="6"/>
        <v>69.334999999999994</v>
      </c>
      <c r="D35" s="77">
        <f t="shared" si="7"/>
        <v>5.2200435000000001</v>
      </c>
      <c r="E35" s="77">
        <f t="shared" si="8"/>
        <v>1.4761250000000001</v>
      </c>
      <c r="F35" s="77">
        <f t="shared" si="9"/>
        <v>10.277113</v>
      </c>
      <c r="G35" s="77">
        <f t="shared" si="5"/>
        <v>0.44222500000000003</v>
      </c>
      <c r="H35" s="77">
        <f t="shared" si="5"/>
        <v>5.5369999999999999</v>
      </c>
      <c r="I35" s="77">
        <f t="shared" si="5"/>
        <v>0.56227499999999997</v>
      </c>
      <c r="J35" s="77">
        <f t="shared" si="5"/>
        <v>7.4725E-3</v>
      </c>
      <c r="K35" s="77">
        <f t="shared" si="5"/>
        <v>5.1450000000000011E-3</v>
      </c>
      <c r="L35" s="77">
        <f t="shared" si="5"/>
        <v>0.39200000000000002</v>
      </c>
      <c r="M35" s="77">
        <f t="shared" si="5"/>
        <v>0.12985000000000002</v>
      </c>
      <c r="N35" s="77">
        <f t="shared" si="5"/>
        <v>47.04</v>
      </c>
      <c r="O35" s="77">
        <f t="shared" si="5"/>
        <v>6602.75</v>
      </c>
      <c r="P35" s="77">
        <f t="shared" si="5"/>
        <v>0</v>
      </c>
      <c r="Q35" s="77">
        <f t="shared" si="10"/>
        <v>66.456249999999997</v>
      </c>
      <c r="R35" s="77">
        <f t="shared" si="11"/>
        <v>0</v>
      </c>
      <c r="S35" s="77">
        <f t="shared" si="11"/>
        <v>0.16170000000000001</v>
      </c>
      <c r="T35" s="77">
        <f t="shared" si="11"/>
        <v>0</v>
      </c>
      <c r="U35" s="77">
        <f t="shared" si="11"/>
        <v>0</v>
      </c>
      <c r="AB35" s="59"/>
      <c r="AC35" s="59"/>
      <c r="AD35" s="59"/>
      <c r="AE35" s="59"/>
      <c r="AF35" s="59"/>
      <c r="AG35" s="59"/>
      <c r="AH35" s="59"/>
      <c r="AI35" s="59"/>
    </row>
    <row r="36" spans="1:35" s="72" customFormat="1" x14ac:dyDescent="0.3">
      <c r="A36" s="13">
        <f>H8</f>
        <v>8</v>
      </c>
      <c r="B36" s="15">
        <v>250</v>
      </c>
      <c r="C36" s="77">
        <f t="shared" si="6"/>
        <v>69.334999999999994</v>
      </c>
      <c r="D36" s="77">
        <f t="shared" si="7"/>
        <v>5.2200435000000001</v>
      </c>
      <c r="E36" s="77">
        <f t="shared" si="8"/>
        <v>1.4761250000000001</v>
      </c>
      <c r="F36" s="77">
        <f t="shared" si="9"/>
        <v>10.277113</v>
      </c>
      <c r="G36" s="77">
        <f t="shared" si="5"/>
        <v>0.44222500000000003</v>
      </c>
      <c r="H36" s="77">
        <f t="shared" si="5"/>
        <v>5.5369999999999999</v>
      </c>
      <c r="I36" s="77">
        <f t="shared" si="5"/>
        <v>0.56227499999999997</v>
      </c>
      <c r="J36" s="77">
        <f t="shared" si="5"/>
        <v>7.4725E-3</v>
      </c>
      <c r="K36" s="77">
        <f t="shared" si="5"/>
        <v>5.1450000000000011E-3</v>
      </c>
      <c r="L36" s="77">
        <f t="shared" si="5"/>
        <v>0.39200000000000002</v>
      </c>
      <c r="M36" s="77">
        <f t="shared" si="5"/>
        <v>0.12985000000000002</v>
      </c>
      <c r="N36" s="77">
        <f t="shared" si="5"/>
        <v>47.04</v>
      </c>
      <c r="O36" s="77">
        <f t="shared" si="5"/>
        <v>6602.75</v>
      </c>
      <c r="P36" s="77">
        <f t="shared" si="5"/>
        <v>0</v>
      </c>
      <c r="Q36" s="77">
        <f t="shared" si="10"/>
        <v>66.456249999999997</v>
      </c>
      <c r="R36" s="77">
        <f t="shared" si="11"/>
        <v>0</v>
      </c>
      <c r="S36" s="77">
        <f t="shared" si="11"/>
        <v>0.16170000000000001</v>
      </c>
      <c r="T36" s="77">
        <f t="shared" si="11"/>
        <v>0</v>
      </c>
      <c r="U36" s="77">
        <f t="shared" si="11"/>
        <v>0</v>
      </c>
      <c r="AB36" s="59"/>
      <c r="AC36" s="59"/>
      <c r="AD36" s="59"/>
      <c r="AE36" s="59"/>
      <c r="AF36" s="59"/>
      <c r="AG36" s="59"/>
      <c r="AH36" s="59"/>
      <c r="AI36" s="59"/>
    </row>
    <row r="37" spans="1:35" s="72" customFormat="1" x14ac:dyDescent="0.3">
      <c r="A37" s="13">
        <f>I8</f>
        <v>20</v>
      </c>
      <c r="B37" s="15">
        <v>250</v>
      </c>
      <c r="C37" s="77">
        <f t="shared" si="6"/>
        <v>69.334999999999994</v>
      </c>
      <c r="D37" s="77">
        <f t="shared" si="7"/>
        <v>5.2200435000000001</v>
      </c>
      <c r="E37" s="77">
        <f t="shared" si="8"/>
        <v>1.4761250000000001</v>
      </c>
      <c r="F37" s="77">
        <f t="shared" si="9"/>
        <v>10.277113</v>
      </c>
      <c r="G37" s="77">
        <f t="shared" si="5"/>
        <v>0.44222500000000003</v>
      </c>
      <c r="H37" s="77">
        <f t="shared" si="5"/>
        <v>5.5369999999999999</v>
      </c>
      <c r="I37" s="77">
        <f t="shared" si="5"/>
        <v>0.56227499999999997</v>
      </c>
      <c r="J37" s="77">
        <f t="shared" si="5"/>
        <v>7.4725E-3</v>
      </c>
      <c r="K37" s="77">
        <f t="shared" si="5"/>
        <v>5.1450000000000011E-3</v>
      </c>
      <c r="L37" s="77">
        <f t="shared" si="5"/>
        <v>0.39200000000000002</v>
      </c>
      <c r="M37" s="77">
        <f t="shared" si="5"/>
        <v>0.12985000000000002</v>
      </c>
      <c r="N37" s="77">
        <f t="shared" si="5"/>
        <v>47.04</v>
      </c>
      <c r="O37" s="77">
        <f t="shared" si="5"/>
        <v>6602.75</v>
      </c>
      <c r="P37" s="77">
        <f t="shared" si="5"/>
        <v>0</v>
      </c>
      <c r="Q37" s="77">
        <f t="shared" si="10"/>
        <v>66.456249999999997</v>
      </c>
      <c r="R37" s="77">
        <f t="shared" si="11"/>
        <v>0</v>
      </c>
      <c r="S37" s="77">
        <f t="shared" si="11"/>
        <v>0.16170000000000001</v>
      </c>
      <c r="T37" s="77">
        <f t="shared" si="11"/>
        <v>0</v>
      </c>
      <c r="U37" s="77">
        <f t="shared" si="11"/>
        <v>0</v>
      </c>
      <c r="AB37" s="59"/>
      <c r="AC37" s="59"/>
      <c r="AD37" s="59"/>
      <c r="AE37" s="59"/>
      <c r="AF37" s="59"/>
      <c r="AG37" s="59"/>
      <c r="AH37" s="59"/>
      <c r="AI37" s="59"/>
    </row>
    <row r="38" spans="1:35" s="72" customFormat="1" x14ac:dyDescent="0.3">
      <c r="A38" s="13">
        <f>J8</f>
        <v>21</v>
      </c>
      <c r="B38" s="15">
        <v>250</v>
      </c>
      <c r="C38" s="77">
        <f t="shared" si="6"/>
        <v>69.334999999999994</v>
      </c>
      <c r="D38" s="77">
        <f t="shared" si="7"/>
        <v>5.2200435000000001</v>
      </c>
      <c r="E38" s="77">
        <f t="shared" si="8"/>
        <v>1.4761250000000001</v>
      </c>
      <c r="F38" s="77">
        <f t="shared" si="9"/>
        <v>10.277113</v>
      </c>
      <c r="G38" s="77">
        <f t="shared" si="5"/>
        <v>0.44222500000000003</v>
      </c>
      <c r="H38" s="77">
        <f t="shared" si="5"/>
        <v>5.5369999999999999</v>
      </c>
      <c r="I38" s="77">
        <f t="shared" si="5"/>
        <v>0.56227499999999997</v>
      </c>
      <c r="J38" s="77">
        <f t="shared" si="5"/>
        <v>7.4725E-3</v>
      </c>
      <c r="K38" s="77">
        <f t="shared" si="5"/>
        <v>5.1450000000000011E-3</v>
      </c>
      <c r="L38" s="77">
        <f t="shared" si="5"/>
        <v>0.39200000000000002</v>
      </c>
      <c r="M38" s="77">
        <f t="shared" si="5"/>
        <v>0.12985000000000002</v>
      </c>
      <c r="N38" s="77">
        <f t="shared" si="5"/>
        <v>47.04</v>
      </c>
      <c r="O38" s="77">
        <f t="shared" si="5"/>
        <v>6602.75</v>
      </c>
      <c r="P38" s="77">
        <f t="shared" si="5"/>
        <v>0</v>
      </c>
      <c r="Q38" s="77">
        <f t="shared" si="10"/>
        <v>66.456249999999997</v>
      </c>
      <c r="R38" s="77">
        <f t="shared" si="11"/>
        <v>0</v>
      </c>
      <c r="S38" s="77">
        <f t="shared" si="11"/>
        <v>0.16170000000000001</v>
      </c>
      <c r="T38" s="77">
        <f t="shared" si="11"/>
        <v>0</v>
      </c>
      <c r="U38" s="77">
        <f t="shared" si="11"/>
        <v>0</v>
      </c>
      <c r="AB38" s="59"/>
      <c r="AC38" s="59"/>
      <c r="AD38" s="59"/>
      <c r="AE38" s="59"/>
      <c r="AF38" s="59"/>
      <c r="AG38" s="59"/>
      <c r="AH38" s="59"/>
      <c r="AI38" s="59"/>
    </row>
    <row r="39" spans="1:35" s="72" customFormat="1" x14ac:dyDescent="0.3">
      <c r="A39" s="13">
        <f>K8</f>
        <v>22</v>
      </c>
      <c r="B39" s="15">
        <v>250</v>
      </c>
      <c r="C39" s="77">
        <f t="shared" si="6"/>
        <v>69.334999999999994</v>
      </c>
      <c r="D39" s="77">
        <f t="shared" si="7"/>
        <v>5.2200435000000001</v>
      </c>
      <c r="E39" s="77">
        <f t="shared" si="8"/>
        <v>1.4761250000000001</v>
      </c>
      <c r="F39" s="77">
        <f t="shared" si="9"/>
        <v>10.277113</v>
      </c>
      <c r="G39" s="77">
        <f t="shared" si="5"/>
        <v>0.44222500000000003</v>
      </c>
      <c r="H39" s="77">
        <f t="shared" si="5"/>
        <v>5.5369999999999999</v>
      </c>
      <c r="I39" s="77">
        <f t="shared" si="5"/>
        <v>0.56227499999999997</v>
      </c>
      <c r="J39" s="77">
        <f t="shared" si="5"/>
        <v>7.4725E-3</v>
      </c>
      <c r="K39" s="77">
        <f t="shared" si="5"/>
        <v>5.1450000000000011E-3</v>
      </c>
      <c r="L39" s="77">
        <f t="shared" si="5"/>
        <v>0.39200000000000002</v>
      </c>
      <c r="M39" s="77">
        <f t="shared" si="5"/>
        <v>0.12985000000000002</v>
      </c>
      <c r="N39" s="77">
        <f t="shared" si="5"/>
        <v>47.04</v>
      </c>
      <c r="O39" s="77">
        <f t="shared" si="5"/>
        <v>6602.75</v>
      </c>
      <c r="P39" s="77">
        <f t="shared" si="5"/>
        <v>0</v>
      </c>
      <c r="Q39" s="77">
        <f t="shared" si="10"/>
        <v>66.456249999999997</v>
      </c>
      <c r="R39" s="77">
        <f t="shared" si="11"/>
        <v>0</v>
      </c>
      <c r="S39" s="77">
        <f t="shared" si="11"/>
        <v>0.16170000000000001</v>
      </c>
      <c r="T39" s="77">
        <f t="shared" si="11"/>
        <v>0</v>
      </c>
      <c r="U39" s="77">
        <f t="shared" si="11"/>
        <v>0</v>
      </c>
      <c r="AB39" s="59"/>
      <c r="AC39" s="59"/>
      <c r="AD39" s="59"/>
      <c r="AE39" s="59"/>
      <c r="AF39" s="59"/>
      <c r="AG39" s="59"/>
      <c r="AH39" s="59"/>
      <c r="AI39" s="59"/>
    </row>
    <row r="40" spans="1:35" s="72" customFormat="1" x14ac:dyDescent="0.3">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3">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f>C8</f>
        <v>1</v>
      </c>
      <c r="C57" s="8">
        <f t="shared" ref="C57:U57" si="13">D8</f>
        <v>2</v>
      </c>
      <c r="D57" s="8">
        <f t="shared" si="13"/>
        <v>3</v>
      </c>
      <c r="E57" s="8">
        <f t="shared" si="13"/>
        <v>4</v>
      </c>
      <c r="F57" s="8">
        <f t="shared" si="13"/>
        <v>7</v>
      </c>
      <c r="G57" s="8">
        <f t="shared" si="13"/>
        <v>8</v>
      </c>
      <c r="H57" s="8">
        <f t="shared" si="13"/>
        <v>20</v>
      </c>
      <c r="I57" s="8">
        <f t="shared" si="13"/>
        <v>21</v>
      </c>
      <c r="J57" s="8">
        <f t="shared" si="13"/>
        <v>22</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"&amp;(VLOOKUP(C14,Table245810[],6,FALSE))</f>
        <v>Medium/Clay I Grass</v>
      </c>
      <c r="C58" s="13" t="str">
        <f>D16&amp;" I "&amp;(VLOOKUP(D14,Table245810[],6,FALSE))</f>
        <v>Medium/Clay I Grass</v>
      </c>
      <c r="D58" s="13" t="str">
        <f>E16&amp;" I "&amp;(VLOOKUP(E14,Table245810[],6,FALSE))</f>
        <v>Medium/Clay I Grass</v>
      </c>
      <c r="E58" s="13" t="str">
        <f>F16&amp;" I "&amp;(VLOOKUP(F14,Table245810[],6,FALSE))</f>
        <v>Medium/Clay I Grass</v>
      </c>
      <c r="F58" s="13" t="str">
        <f>G16&amp;" I "&amp;(VLOOKUP(G14,Table245810[],6,FALSE))</f>
        <v>Medium/Clay I Grass</v>
      </c>
      <c r="G58" s="13" t="str">
        <f>H16&amp;" I "&amp;(VLOOKUP(H14,Table245810[],6,FALSE))</f>
        <v>Medium/Clay I Grass</v>
      </c>
      <c r="H58" s="13" t="str">
        <f>I16&amp;" I "&amp;(VLOOKUP(I14,Table245810[],6,FALSE))</f>
        <v>Medium/Clay I Grass</v>
      </c>
      <c r="I58" s="13" t="str">
        <f>J16&amp;" I "&amp;(VLOOKUP(J14,Table245810[],6,FALSE))</f>
        <v>Medium/Clay I Grass</v>
      </c>
      <c r="J58" s="13" t="str">
        <f>K16&amp;" I "&amp;(VLOOKUP(K14,Table245810[],6,FALSE))</f>
        <v>Medium/Clay I Grass</v>
      </c>
      <c r="K58" s="13" t="e">
        <f>L16&amp;" I "&amp;(VLOOKUP(L14,Table245810[],6,FALSE))</f>
        <v>#N/A</v>
      </c>
      <c r="L58" s="13" t="e">
        <f>M16&amp;" I "&amp;(VLOOKUP(M14,Table245810[],6,FALSE))</f>
        <v>#N/A</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x14ac:dyDescent="0.25">
      <c r="A59" s="110" t="s">
        <v>132</v>
      </c>
      <c r="B59" s="76">
        <f>VLOOKUP(C$14,Table245810[],5,FALSE)</f>
        <v>6.2</v>
      </c>
      <c r="C59" s="76">
        <f>VLOOKUP(D$14,Table245810[],5,FALSE)</f>
        <v>6.2</v>
      </c>
      <c r="D59" s="76">
        <f>VLOOKUP(E$14,Table245810[],5,FALSE)</f>
        <v>6.2</v>
      </c>
      <c r="E59" s="76">
        <f>VLOOKUP(F$14,Table245810[],5,FALSE)</f>
        <v>6.2</v>
      </c>
      <c r="F59" s="76">
        <f>VLOOKUP(G$14,Table245810[],5,FALSE)</f>
        <v>6.2</v>
      </c>
      <c r="G59" s="76">
        <f>VLOOKUP(H$14,Table245810[],5,FALSE)</f>
        <v>6.2</v>
      </c>
      <c r="H59" s="76">
        <f>VLOOKUP(I$14,Table245810[],5,FALSE)</f>
        <v>6.2</v>
      </c>
      <c r="I59" s="76">
        <f>VLOOKUP(J$14,Table245810[],5,FALSE)</f>
        <v>6.2</v>
      </c>
      <c r="J59" s="76">
        <f>VLOOKUP(K$14,Table245810[],5,FALSE)</f>
        <v>6.2</v>
      </c>
      <c r="K59" s="76" t="e">
        <f>VLOOKUP(L$14,Table245810[],5,FALSE)</f>
        <v>#N/A</v>
      </c>
      <c r="L59" s="76" t="e">
        <f>VLOOKUP(M$14,Table245810[],5,FALSE)</f>
        <v>#N/A</v>
      </c>
      <c r="M59" s="76" t="e">
        <f>VLOOKUP(N$14,Table245810[],5,FALSE)</f>
        <v>#N/A</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x14ac:dyDescent="0.25">
      <c r="A60" s="110" t="s">
        <v>4</v>
      </c>
      <c r="B60" s="76">
        <f>C10</f>
        <v>5.6</v>
      </c>
      <c r="C60" s="76">
        <f t="shared" ref="C60:U60" si="14">D10</f>
        <v>5.7</v>
      </c>
      <c r="D60" s="76">
        <f t="shared" si="14"/>
        <v>6.8</v>
      </c>
      <c r="E60" s="76">
        <f t="shared" si="14"/>
        <v>6.4</v>
      </c>
      <c r="F60" s="76">
        <f t="shared" si="14"/>
        <v>6.2</v>
      </c>
      <c r="G60" s="76">
        <f t="shared" si="14"/>
        <v>6.2</v>
      </c>
      <c r="H60" s="76">
        <f t="shared" si="14"/>
        <v>6.1</v>
      </c>
      <c r="I60" s="76">
        <f t="shared" si="14"/>
        <v>6.2</v>
      </c>
      <c r="J60" s="76">
        <f t="shared" si="14"/>
        <v>6</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0"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0" t="s">
        <v>134</v>
      </c>
      <c r="B62" s="77">
        <f>B31</f>
        <v>250</v>
      </c>
      <c r="C62" s="77">
        <f>B32</f>
        <v>250</v>
      </c>
      <c r="D62" s="77">
        <f>B33</f>
        <v>250</v>
      </c>
      <c r="E62" s="77">
        <f>B34</f>
        <v>250</v>
      </c>
      <c r="F62" s="77">
        <f>B35</f>
        <v>250</v>
      </c>
      <c r="G62" s="77">
        <f>B36</f>
        <v>250</v>
      </c>
      <c r="H62" s="77">
        <f>B37</f>
        <v>250</v>
      </c>
      <c r="I62" s="77">
        <f>B38</f>
        <v>250</v>
      </c>
      <c r="J62" s="77">
        <f>B39</f>
        <v>250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1"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1" t="s">
        <v>156</v>
      </c>
      <c r="B64" s="77">
        <f>(B59-B60)*B61</f>
        <v>3.6000000000000032</v>
      </c>
      <c r="C64" s="77">
        <f t="shared" ref="C64:U64" si="17">(C59-C60)*C61</f>
        <v>3</v>
      </c>
      <c r="D64" s="77">
        <f t="shared" si="17"/>
        <v>-3.5999999999999979</v>
      </c>
      <c r="E64" s="77">
        <f t="shared" si="17"/>
        <v>-1.2000000000000011</v>
      </c>
      <c r="F64" s="77">
        <f t="shared" si="17"/>
        <v>0</v>
      </c>
      <c r="G64" s="77">
        <f t="shared" si="17"/>
        <v>0</v>
      </c>
      <c r="H64" s="77">
        <f t="shared" si="17"/>
        <v>0.6000000000000032</v>
      </c>
      <c r="I64" s="77">
        <f t="shared" si="17"/>
        <v>0</v>
      </c>
      <c r="J64" s="77">
        <f t="shared" si="17"/>
        <v>1.2000000000000011</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1" t="s">
        <v>157</v>
      </c>
      <c r="B65" s="77">
        <f>B63-B64</f>
        <v>-3.6000000000000032</v>
      </c>
      <c r="C65" s="77">
        <f t="shared" ref="C65:U65" si="18">C63-C64</f>
        <v>-3</v>
      </c>
      <c r="D65" s="77">
        <f t="shared" si="18"/>
        <v>3.5999999999999979</v>
      </c>
      <c r="E65" s="77">
        <f t="shared" si="18"/>
        <v>1.2000000000000011</v>
      </c>
      <c r="F65" s="77">
        <f t="shared" si="18"/>
        <v>0</v>
      </c>
      <c r="G65" s="77">
        <f t="shared" si="18"/>
        <v>0</v>
      </c>
      <c r="H65" s="77">
        <f t="shared" si="18"/>
        <v>-0.6000000000000032</v>
      </c>
      <c r="I65" s="77">
        <f t="shared" si="18"/>
        <v>0</v>
      </c>
      <c r="J65" s="77">
        <f t="shared" si="18"/>
        <v>-1.2000000000000011</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1" t="s">
        <v>148</v>
      </c>
      <c r="B66" s="78" t="str">
        <f>IF(B64&lt;=B63,"OVER","UNDER")</f>
        <v>UNDER</v>
      </c>
      <c r="C66" s="78" t="str">
        <f t="shared" ref="C66:U66" si="19">IF(C64&lt;=C63,"OVER","UNDER")</f>
        <v>UNDER</v>
      </c>
      <c r="D66" s="78" t="str">
        <f t="shared" si="19"/>
        <v>OVER</v>
      </c>
      <c r="E66" s="78" t="str">
        <f t="shared" si="19"/>
        <v>OVER</v>
      </c>
      <c r="F66" s="78" t="str">
        <f t="shared" si="19"/>
        <v>OVER</v>
      </c>
      <c r="G66" s="78" t="str">
        <f t="shared" si="19"/>
        <v>OVER</v>
      </c>
      <c r="H66" s="78" t="str">
        <f t="shared" si="19"/>
        <v>UNDER</v>
      </c>
      <c r="I66" s="78" t="str">
        <f t="shared" si="19"/>
        <v>OVER</v>
      </c>
      <c r="J66" s="78" t="str">
        <f t="shared" si="19"/>
        <v>UNDER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27" priority="37" operator="equal">
      <formula>"DECREASE"</formula>
    </cfRule>
    <cfRule type="cellIs" dxfId="126" priority="38" operator="equal">
      <formula>"INCREASE"</formula>
    </cfRule>
  </conditionalFormatting>
  <conditionalFormatting sqref="B62:U66 B31:B50">
    <cfRule type="cellIs" dxfId="125" priority="36" operator="greaterThan">
      <formula>$B$51</formula>
    </cfRule>
  </conditionalFormatting>
  <conditionalFormatting sqref="C31:C50">
    <cfRule type="cellIs" dxfId="124" priority="35" operator="greaterThan">
      <formula>$C$51</formula>
    </cfRule>
  </conditionalFormatting>
  <conditionalFormatting sqref="C18:V18">
    <cfRule type="cellIs" dxfId="123" priority="34" operator="equal">
      <formula>0</formula>
    </cfRule>
  </conditionalFormatting>
  <conditionalFormatting sqref="C17:V17">
    <cfRule type="cellIs" dxfId="122" priority="33" operator="equal">
      <formula>0</formula>
    </cfRule>
  </conditionalFormatting>
  <conditionalFormatting sqref="C19:V19">
    <cfRule type="cellIs" dxfId="121" priority="32" operator="equal">
      <formula>0</formula>
    </cfRule>
  </conditionalFormatting>
  <conditionalFormatting sqref="G31:G50">
    <cfRule type="cellIs" dxfId="120" priority="31" operator="greaterThan">
      <formula>$G$51</formula>
    </cfRule>
  </conditionalFormatting>
  <conditionalFormatting sqref="H31:H50">
    <cfRule type="cellIs" dxfId="119" priority="30" operator="greaterThan">
      <formula>$H$51</formula>
    </cfRule>
  </conditionalFormatting>
  <conditionalFormatting sqref="I31:I50">
    <cfRule type="cellIs" dxfId="118" priority="29" operator="greaterThan">
      <formula>$I$51</formula>
    </cfRule>
  </conditionalFormatting>
  <conditionalFormatting sqref="K31:K50">
    <cfRule type="cellIs" dxfId="117" priority="28" operator="greaterThan">
      <formula>$K$51</formula>
    </cfRule>
  </conditionalFormatting>
  <conditionalFormatting sqref="L31:L50">
    <cfRule type="cellIs" dxfId="116" priority="27" operator="greaterThan">
      <formula>$L$51</formula>
    </cfRule>
  </conditionalFormatting>
  <conditionalFormatting sqref="M31:M50">
    <cfRule type="cellIs" dxfId="115" priority="26" operator="greaterThan">
      <formula>$M$51</formula>
    </cfRule>
  </conditionalFormatting>
  <conditionalFormatting sqref="P31:P50">
    <cfRule type="cellIs" dxfId="114" priority="25" operator="greaterThan">
      <formula>$P$51</formula>
    </cfRule>
  </conditionalFormatting>
  <conditionalFormatting sqref="R31:R50">
    <cfRule type="cellIs" dxfId="113" priority="24" operator="greaterThan">
      <formula>$R$51</formula>
    </cfRule>
  </conditionalFormatting>
  <conditionalFormatting sqref="S31:S50">
    <cfRule type="cellIs" dxfId="112" priority="23" operator="greaterThan">
      <formula>$S$51</formula>
    </cfRule>
  </conditionalFormatting>
  <conditionalFormatting sqref="T31:T50">
    <cfRule type="cellIs" dxfId="111" priority="22" operator="greaterThan">
      <formula>$T$51</formula>
    </cfRule>
  </conditionalFormatting>
  <conditionalFormatting sqref="U31:U50">
    <cfRule type="cellIs" dxfId="110" priority="21" operator="greaterThan">
      <formula>$U$51</formula>
    </cfRule>
  </conditionalFormatting>
  <conditionalFormatting sqref="C22:V22">
    <cfRule type="cellIs" dxfId="109" priority="20" operator="equal">
      <formula>0</formula>
    </cfRule>
  </conditionalFormatting>
  <conditionalFormatting sqref="C24:V24">
    <cfRule type="cellIs" dxfId="108" priority="18" operator="equal">
      <formula>"DECREASE"</formula>
    </cfRule>
    <cfRule type="cellIs" dxfId="107" priority="19" operator="equal">
      <formula>"INCREASE"</formula>
    </cfRule>
  </conditionalFormatting>
  <conditionalFormatting sqref="C23:V23">
    <cfRule type="cellIs" dxfId="106" priority="17" operator="equal">
      <formula>0</formula>
    </cfRule>
  </conditionalFormatting>
  <conditionalFormatting sqref="C21:V21">
    <cfRule type="cellIs" dxfId="105" priority="13" operator="equal">
      <formula>0</formula>
    </cfRule>
  </conditionalFormatting>
  <conditionalFormatting sqref="B66:U66">
    <cfRule type="cellIs" dxfId="104" priority="11" operator="equal">
      <formula>"UNDER"</formula>
    </cfRule>
    <cfRule type="cellIs" dxfId="103" priority="12" operator="equal">
      <formula>"OVER"</formula>
    </cfRule>
  </conditionalFormatting>
  <conditionalFormatting sqref="J31:J50">
    <cfRule type="cellIs" dxfId="102" priority="8" operator="greaterThan">
      <formula>$J$51</formula>
    </cfRule>
  </conditionalFormatting>
  <conditionalFormatting sqref="L3">
    <cfRule type="cellIs" dxfId="101" priority="4" operator="lessThan">
      <formula>30</formula>
    </cfRule>
    <cfRule type="cellIs" dxfId="100" priority="5" operator="greaterThanOrEqual">
      <formula>30</formula>
    </cfRule>
  </conditionalFormatting>
  <conditionalFormatting sqref="I1">
    <cfRule type="cellIs" dxfId="99" priority="3" operator="between">
      <formula>0.1</formula>
      <formula>5</formula>
    </cfRule>
  </conditionalFormatting>
  <conditionalFormatting sqref="I2">
    <cfRule type="cellIs" dxfId="98" priority="2" operator="greaterThan">
      <formula>5000.1</formula>
    </cfRule>
  </conditionalFormatting>
  <conditionalFormatting sqref="I3">
    <cfRule type="cellIs" dxfId="97"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topLeftCell="B1" zoomScale="90" zoomScaleNormal="90" workbookViewId="0">
      <selection activeCell="F35" sqref="F35"/>
    </sheetView>
  </sheetViews>
  <sheetFormatPr defaultColWidth="13.109375" defaultRowHeight="13.2" x14ac:dyDescent="0.3"/>
  <cols>
    <col min="1" max="1" width="13.109375" style="11"/>
    <col min="2" max="2" width="15.88671875" style="11" customWidth="1"/>
    <col min="3" max="3" width="20.5546875" style="11" customWidth="1"/>
    <col min="4" max="4" width="20.33203125" style="11" bestFit="1" customWidth="1"/>
    <col min="5" max="22" width="21.33203125" style="11" customWidth="1"/>
    <col min="23" max="26" width="13.109375" style="11"/>
    <col min="27" max="27" width="0" style="11" hidden="1" customWidth="1"/>
    <col min="28" max="29" width="10.6640625" style="19" hidden="1" customWidth="1"/>
    <col min="30" max="30" width="19.6640625" style="19" hidden="1" customWidth="1"/>
    <col min="31" max="34" width="12.44140625" style="19" hidden="1" customWidth="1"/>
    <col min="35" max="35" width="27.6640625" style="19" hidden="1" customWidth="1"/>
    <col min="36" max="40" width="0" style="11" hidden="1" customWidth="1"/>
    <col min="41" max="41" width="67.33203125" style="11" hidden="1" customWidth="1"/>
    <col min="42" max="16384" width="13.109375" style="11"/>
  </cols>
  <sheetData>
    <row r="1" spans="1:41" x14ac:dyDescent="0.25">
      <c r="A1" s="120" t="s">
        <v>41</v>
      </c>
      <c r="B1" s="120"/>
      <c r="C1" s="141" t="str">
        <f>'DCWW Bryn Cowlyd'!C1:D1</f>
        <v>PAN-022455</v>
      </c>
      <c r="D1" s="142"/>
      <c r="E1" s="93" t="s">
        <v>45</v>
      </c>
      <c r="F1" s="39">
        <f>'DCWW Bryn Cowlyd'!F1</f>
        <v>27.8</v>
      </c>
      <c r="G1" s="121" t="s">
        <v>43</v>
      </c>
      <c r="H1" s="122"/>
      <c r="I1" s="117">
        <v>5.8</v>
      </c>
      <c r="J1" s="120" t="s">
        <v>153</v>
      </c>
      <c r="K1" s="120"/>
      <c r="L1" s="96">
        <v>153</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20" t="s">
        <v>87</v>
      </c>
      <c r="B2" s="120"/>
      <c r="C2" s="143" t="str">
        <f>'DCWW Bryn Cowlyd'!C2:D2</f>
        <v>EPR/GP3792SK</v>
      </c>
      <c r="D2" s="144"/>
      <c r="E2" s="93" t="s">
        <v>109</v>
      </c>
      <c r="F2" s="118" t="s">
        <v>169</v>
      </c>
      <c r="G2" s="139" t="s">
        <v>110</v>
      </c>
      <c r="H2" s="140"/>
      <c r="I2" s="117"/>
      <c r="J2" s="120" t="s">
        <v>158</v>
      </c>
      <c r="K2" s="120"/>
      <c r="L2" s="96">
        <v>0.63100000000000001</v>
      </c>
      <c r="AB2" s="30" t="s">
        <v>56</v>
      </c>
      <c r="AC2" s="17"/>
      <c r="AD2" s="30" t="s">
        <v>70</v>
      </c>
      <c r="AE2" s="17"/>
      <c r="AF2" s="17"/>
      <c r="AG2" s="44" t="s">
        <v>76</v>
      </c>
      <c r="AH2" s="18"/>
      <c r="AI2" s="45" t="s">
        <v>126</v>
      </c>
      <c r="AJ2" s="46">
        <v>0</v>
      </c>
      <c r="AK2" s="47">
        <v>0</v>
      </c>
      <c r="AL2" s="10">
        <v>0</v>
      </c>
      <c r="AM2" s="11">
        <v>0</v>
      </c>
      <c r="AN2" s="11">
        <v>0</v>
      </c>
    </row>
    <row r="3" spans="1:41" x14ac:dyDescent="0.25">
      <c r="A3" s="121" t="s">
        <v>42</v>
      </c>
      <c r="B3" s="122"/>
      <c r="C3" s="143" t="str">
        <f>'DCWW Bryn Cowlyd'!C3:D3</f>
        <v>ByProduct recovery LTD</v>
      </c>
      <c r="D3" s="144"/>
      <c r="E3" s="93" t="s">
        <v>108</v>
      </c>
      <c r="F3" s="31" t="s">
        <v>78</v>
      </c>
      <c r="G3" s="120" t="s">
        <v>159</v>
      </c>
      <c r="H3" s="120"/>
      <c r="I3" s="117"/>
      <c r="J3" s="121" t="s">
        <v>154</v>
      </c>
      <c r="K3" s="122"/>
      <c r="L3" s="96">
        <f>(L1/(L2*10000))*100</f>
        <v>2.4247226624405704</v>
      </c>
      <c r="AB3" s="30" t="s">
        <v>57</v>
      </c>
      <c r="AC3" s="17"/>
      <c r="AD3" s="30" t="s">
        <v>71</v>
      </c>
      <c r="AE3" s="17"/>
      <c r="AF3" s="17"/>
      <c r="AG3" s="44" t="s">
        <v>77</v>
      </c>
      <c r="AH3" s="18"/>
      <c r="AI3" s="48" t="s">
        <v>113</v>
      </c>
      <c r="AJ3" s="49">
        <v>1.7</v>
      </c>
      <c r="AK3" s="50">
        <v>6</v>
      </c>
      <c r="AL3" s="51">
        <v>1</v>
      </c>
      <c r="AM3" s="11">
        <v>6.2</v>
      </c>
      <c r="AN3" s="11" t="s">
        <v>112</v>
      </c>
    </row>
    <row r="4" spans="1:41" x14ac:dyDescent="0.25">
      <c r="A4" s="120" t="s">
        <v>0</v>
      </c>
      <c r="B4" s="120"/>
      <c r="C4" s="141" t="str">
        <f>'DCWW Bryn Cowlyd'!C4:D4</f>
        <v>Blaen Y Coed Farm, Betws-y-Coed, LL24 0NY</v>
      </c>
      <c r="D4" s="142"/>
      <c r="E4" s="94" t="s">
        <v>1</v>
      </c>
      <c r="F4" s="95" t="s">
        <v>171</v>
      </c>
      <c r="G4" s="121"/>
      <c r="H4" s="122"/>
      <c r="I4" s="39"/>
      <c r="J4" s="121"/>
      <c r="K4" s="122"/>
      <c r="L4" s="95"/>
      <c r="AB4" s="30" t="s">
        <v>52</v>
      </c>
      <c r="AC4" s="17"/>
      <c r="AD4" s="52" t="s">
        <v>72</v>
      </c>
      <c r="AE4" s="17"/>
      <c r="AF4" s="17"/>
      <c r="AG4" s="44" t="s">
        <v>78</v>
      </c>
      <c r="AH4" s="18"/>
      <c r="AI4" s="53" t="s">
        <v>124</v>
      </c>
      <c r="AJ4" s="54">
        <v>7</v>
      </c>
      <c r="AK4" s="55">
        <v>10.5</v>
      </c>
      <c r="AL4" s="11">
        <v>2</v>
      </c>
      <c r="AM4" s="11">
        <v>6.7</v>
      </c>
      <c r="AN4" s="11" t="s">
        <v>135</v>
      </c>
    </row>
    <row r="5" spans="1:41" x14ac:dyDescent="0.25">
      <c r="A5" s="120" t="s">
        <v>47</v>
      </c>
      <c r="B5" s="120"/>
      <c r="C5" s="141" t="str">
        <f>'DCWW Bryn Cowlyd'!C5:D5</f>
        <v xml:space="preserve">Owen Clee </v>
      </c>
      <c r="D5" s="142"/>
      <c r="E5" s="93"/>
      <c r="F5" s="39"/>
      <c r="G5" s="121"/>
      <c r="H5" s="122"/>
      <c r="I5" s="39"/>
      <c r="J5" s="121"/>
      <c r="K5" s="122"/>
      <c r="L5" s="95"/>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26" t="s">
        <v>63</v>
      </c>
      <c r="B7" s="12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8"/>
    </row>
    <row r="8" spans="1:41" x14ac:dyDescent="0.25">
      <c r="A8" s="120" t="s">
        <v>2</v>
      </c>
      <c r="B8" s="120"/>
      <c r="C8" s="60">
        <f>'DCWW Bryn Cowlyd'!C8</f>
        <v>1</v>
      </c>
      <c r="D8" s="60">
        <f>'DCWW Bryn Cowlyd'!D8</f>
        <v>2</v>
      </c>
      <c r="E8" s="60">
        <f>'DCWW Bryn Cowlyd'!E8</f>
        <v>3</v>
      </c>
      <c r="F8" s="60">
        <f>'DCWW Bryn Cowlyd'!F8</f>
        <v>4</v>
      </c>
      <c r="G8" s="60">
        <f>'DCWW Bryn Cowlyd'!G8</f>
        <v>7</v>
      </c>
      <c r="H8" s="60">
        <f>'DCWW Bryn Cowlyd'!H8</f>
        <v>8</v>
      </c>
      <c r="I8" s="60">
        <f>'DCWW Bryn Cowlyd'!I8</f>
        <v>20</v>
      </c>
      <c r="J8" s="60">
        <f>'DCWW Bryn Cowlyd'!J8</f>
        <v>21</v>
      </c>
      <c r="K8" s="60">
        <f>'DCWW Bryn Cowlyd'!K8</f>
        <v>22</v>
      </c>
      <c r="L8" s="60">
        <f>'DCWW Bryn Cowlyd'!L8</f>
        <v>0</v>
      </c>
      <c r="M8" s="60">
        <f>'DCWW Bryn Cowlyd'!M8</f>
        <v>0</v>
      </c>
      <c r="N8" s="60">
        <f>'DCWW Bryn Cowlyd'!N8</f>
        <v>0</v>
      </c>
      <c r="O8" s="60">
        <f>'DCWW Bryn Cowlyd'!O8</f>
        <v>0</v>
      </c>
      <c r="P8" s="60">
        <f>'DCWW Bryn Cowlyd'!P8</f>
        <v>0</v>
      </c>
      <c r="Q8" s="60">
        <f>'DCWW Bryn Cowlyd'!Q8</f>
        <v>0</v>
      </c>
      <c r="R8" s="60">
        <f>'DCWW Bryn Cowlyd'!R8</f>
        <v>0</v>
      </c>
      <c r="S8" s="60">
        <f>'DCWW Bryn Cowlyd'!S8</f>
        <v>0</v>
      </c>
      <c r="T8" s="60">
        <f>'DCWW Bryn Cowlyd'!T8</f>
        <v>0</v>
      </c>
      <c r="U8" s="60">
        <f>'DCWW Bryn Cowlyd'!U8</f>
        <v>0</v>
      </c>
      <c r="V8" s="60">
        <f>'DCWW Bryn Cowlyd'!V8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20" t="s">
        <v>3</v>
      </c>
      <c r="B9" s="120"/>
      <c r="C9" s="60" t="str">
        <f>'DCWW Bryn Cowlyd'!C9</f>
        <v>Moderate</v>
      </c>
      <c r="D9" s="60" t="str">
        <f>'DCWW Bryn Cowlyd'!D9</f>
        <v>Moderate</v>
      </c>
      <c r="E9" s="60" t="str">
        <f>'DCWW Bryn Cowlyd'!E9</f>
        <v>Moderate</v>
      </c>
      <c r="F9" s="60" t="str">
        <f>'DCWW Bryn Cowlyd'!F9</f>
        <v>Moderate</v>
      </c>
      <c r="G9" s="60" t="str">
        <f>'DCWW Bryn Cowlyd'!G9</f>
        <v>Moderate</v>
      </c>
      <c r="H9" s="60" t="str">
        <f>'DCWW Bryn Cowlyd'!H9</f>
        <v>Moderate</v>
      </c>
      <c r="I9" s="60" t="str">
        <f>'DCWW Bryn Cowlyd'!I9</f>
        <v>Moderate</v>
      </c>
      <c r="J9" s="60" t="str">
        <f>'DCWW Bryn Cowlyd'!J9</f>
        <v>Moderate</v>
      </c>
      <c r="K9" s="60" t="str">
        <f>'DCWW Bryn Cowlyd'!K9</f>
        <v>Moderate</v>
      </c>
      <c r="L9" s="60">
        <f>'DCWW Bryn Cowlyd'!L9</f>
        <v>0</v>
      </c>
      <c r="M9" s="60">
        <f>'DCWW Bryn Cowlyd'!M9</f>
        <v>0</v>
      </c>
      <c r="N9" s="60">
        <f>'DCWW Bryn Cowlyd'!N9</f>
        <v>0</v>
      </c>
      <c r="O9" s="60">
        <f>'DCWW Bryn Cowlyd'!O9</f>
        <v>0</v>
      </c>
      <c r="P9" s="60">
        <f>'DCWW Bryn Cowlyd'!P9</f>
        <v>0</v>
      </c>
      <c r="Q9" s="60">
        <f>'DCWW Bryn Cowlyd'!Q9</f>
        <v>0</v>
      </c>
      <c r="R9" s="60">
        <f>'DCWW Bryn Cowlyd'!R9</f>
        <v>0</v>
      </c>
      <c r="S9" s="60">
        <f>'DCWW Bryn Cowlyd'!S9</f>
        <v>0</v>
      </c>
      <c r="T9" s="60">
        <f>'DCWW Bryn Cowlyd'!T9</f>
        <v>0</v>
      </c>
      <c r="U9" s="60">
        <f>'DCWW Bryn Cowlyd'!U9</f>
        <v>0</v>
      </c>
      <c r="V9" s="60">
        <f>'DCWW Bryn Cowlyd'!V9</f>
        <v>0</v>
      </c>
      <c r="AB9" s="17"/>
      <c r="AC9" s="17"/>
      <c r="AD9" s="30" t="s">
        <v>137</v>
      </c>
      <c r="AE9" s="30">
        <v>4.5</v>
      </c>
      <c r="AF9" s="17"/>
      <c r="AG9" s="18"/>
      <c r="AH9" s="18"/>
      <c r="AI9" s="63" t="s">
        <v>103</v>
      </c>
      <c r="AJ9" s="64">
        <v>0.7</v>
      </c>
      <c r="AK9" s="65">
        <v>4</v>
      </c>
      <c r="AL9" s="29">
        <v>7</v>
      </c>
      <c r="AM9" s="11">
        <v>6.7</v>
      </c>
      <c r="AN9" s="11" t="s">
        <v>135</v>
      </c>
      <c r="AO9" s="98"/>
    </row>
    <row r="10" spans="1:41" x14ac:dyDescent="0.25">
      <c r="A10" s="120" t="s">
        <v>4</v>
      </c>
      <c r="B10" s="120"/>
      <c r="C10" s="60">
        <f>'DCWW Bryn Cowlyd'!C10</f>
        <v>5.6</v>
      </c>
      <c r="D10" s="60">
        <f>'DCWW Bryn Cowlyd'!D10</f>
        <v>5.7</v>
      </c>
      <c r="E10" s="60">
        <f>'DCWW Bryn Cowlyd'!E10</f>
        <v>6.8</v>
      </c>
      <c r="F10" s="60">
        <f>'DCWW Bryn Cowlyd'!F10</f>
        <v>6.4</v>
      </c>
      <c r="G10" s="60">
        <f>'DCWW Bryn Cowlyd'!G10</f>
        <v>6.2</v>
      </c>
      <c r="H10" s="60">
        <f>'DCWW Bryn Cowlyd'!H10</f>
        <v>6.2</v>
      </c>
      <c r="I10" s="60">
        <f>'DCWW Bryn Cowlyd'!I10</f>
        <v>6.1</v>
      </c>
      <c r="J10" s="60">
        <f>'DCWW Bryn Cowlyd'!J10</f>
        <v>6.2</v>
      </c>
      <c r="K10" s="60">
        <f>'DCWW Bryn Cowlyd'!K10</f>
        <v>6</v>
      </c>
      <c r="L10" s="60">
        <f>'DCWW Bryn Cowlyd'!L10</f>
        <v>0</v>
      </c>
      <c r="M10" s="60">
        <f>'DCWW Bryn Cowlyd'!M10</f>
        <v>0</v>
      </c>
      <c r="N10" s="60">
        <f>'DCWW Bryn Cowlyd'!N10</f>
        <v>0</v>
      </c>
      <c r="O10" s="60">
        <f>'DCWW Bryn Cowlyd'!O10</f>
        <v>0</v>
      </c>
      <c r="P10" s="60">
        <f>'DCWW Bryn Cowlyd'!P10</f>
        <v>0</v>
      </c>
      <c r="Q10" s="60">
        <f>'DCWW Bryn Cowlyd'!Q10</f>
        <v>0</v>
      </c>
      <c r="R10" s="60">
        <f>'DCWW Bryn Cowlyd'!R10</f>
        <v>0</v>
      </c>
      <c r="S10" s="60">
        <f>'DCWW Bryn Cowlyd'!S10</f>
        <v>0</v>
      </c>
      <c r="T10" s="60">
        <f>'DCWW Bryn Cowlyd'!T10</f>
        <v>0</v>
      </c>
      <c r="U10" s="60">
        <f>'DCWW Bryn Cowlyd'!U10</f>
        <v>0</v>
      </c>
      <c r="V10" s="60">
        <f>'DCWW Bryn Cowlyd'!V10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20" t="s">
        <v>5</v>
      </c>
      <c r="B11" s="120"/>
      <c r="C11" s="60">
        <f>'DCWW Bryn Cowlyd'!C11</f>
        <v>2</v>
      </c>
      <c r="D11" s="60">
        <f>'DCWW Bryn Cowlyd'!D11</f>
        <v>3</v>
      </c>
      <c r="E11" s="60">
        <f>'DCWW Bryn Cowlyd'!E11</f>
        <v>1</v>
      </c>
      <c r="F11" s="60">
        <f>'DCWW Bryn Cowlyd'!F11</f>
        <v>3</v>
      </c>
      <c r="G11" s="60">
        <f>'DCWW Bryn Cowlyd'!G11</f>
        <v>1</v>
      </c>
      <c r="H11" s="60">
        <f>'DCWW Bryn Cowlyd'!H11</f>
        <v>1</v>
      </c>
      <c r="I11" s="60">
        <f>'DCWW Bryn Cowlyd'!I11</f>
        <v>2</v>
      </c>
      <c r="J11" s="60">
        <f>'DCWW Bryn Cowlyd'!J11</f>
        <v>1</v>
      </c>
      <c r="K11" s="60">
        <f>'DCWW Bryn Cowlyd'!K11</f>
        <v>1</v>
      </c>
      <c r="L11" s="60">
        <f>'DCWW Bryn Cowlyd'!L11</f>
        <v>0</v>
      </c>
      <c r="M11" s="60">
        <f>'DCWW Bryn Cowlyd'!M11</f>
        <v>0</v>
      </c>
      <c r="N11" s="60">
        <f>'DCWW Bryn Cowlyd'!N11</f>
        <v>0</v>
      </c>
      <c r="O11" s="60">
        <f>'DCWW Bryn Cowlyd'!O11</f>
        <v>0</v>
      </c>
      <c r="P11" s="60">
        <f>'DCWW Bryn Cowlyd'!P11</f>
        <v>0</v>
      </c>
      <c r="Q11" s="60">
        <f>'DCWW Bryn Cowlyd'!Q11</f>
        <v>0</v>
      </c>
      <c r="R11" s="60">
        <f>'DCWW Bryn Cowlyd'!R11</f>
        <v>0</v>
      </c>
      <c r="S11" s="60">
        <f>'DCWW Bryn Cowlyd'!S11</f>
        <v>0</v>
      </c>
      <c r="T11" s="60">
        <f>'DCWW Bryn Cowlyd'!T11</f>
        <v>0</v>
      </c>
      <c r="U11" s="60">
        <f>'DCWW Bryn Cowlyd'!U11</f>
        <v>0</v>
      </c>
      <c r="V11" s="60">
        <f>'DCWW Bryn Cowlyd'!V11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20" t="s">
        <v>6</v>
      </c>
      <c r="B12" s="120"/>
      <c r="C12" s="60">
        <f>'DCWW Bryn Cowlyd'!C12</f>
        <v>2</v>
      </c>
      <c r="D12" s="60">
        <f>'DCWW Bryn Cowlyd'!D12</f>
        <v>2</v>
      </c>
      <c r="E12" s="60">
        <f>'DCWW Bryn Cowlyd'!E12</f>
        <v>1</v>
      </c>
      <c r="F12" s="60">
        <f>'DCWW Bryn Cowlyd'!F12</f>
        <v>2</v>
      </c>
      <c r="G12" s="60">
        <f>'DCWW Bryn Cowlyd'!G12</f>
        <v>1</v>
      </c>
      <c r="H12" s="60">
        <f>'DCWW Bryn Cowlyd'!H12</f>
        <v>0</v>
      </c>
      <c r="I12" s="60">
        <f>'DCWW Bryn Cowlyd'!I12</f>
        <v>1</v>
      </c>
      <c r="J12" s="60">
        <f>'DCWW Bryn Cowlyd'!J12</f>
        <v>0</v>
      </c>
      <c r="K12" s="60">
        <f>'DCWW Bryn Cowlyd'!K12</f>
        <v>0</v>
      </c>
      <c r="L12" s="60">
        <f>'DCWW Bryn Cowlyd'!L12</f>
        <v>0</v>
      </c>
      <c r="M12" s="60">
        <f>'DCWW Bryn Cowlyd'!M12</f>
        <v>0</v>
      </c>
      <c r="N12" s="60">
        <f>'DCWW Bryn Cowlyd'!N12</f>
        <v>0</v>
      </c>
      <c r="O12" s="60">
        <f>'DCWW Bryn Cowlyd'!O12</f>
        <v>0</v>
      </c>
      <c r="P12" s="60">
        <f>'DCWW Bryn Cowlyd'!P12</f>
        <v>0</v>
      </c>
      <c r="Q12" s="60">
        <f>'DCWW Bryn Cowlyd'!Q12</f>
        <v>0</v>
      </c>
      <c r="R12" s="60">
        <f>'DCWW Bryn Cowlyd'!R12</f>
        <v>0</v>
      </c>
      <c r="S12" s="60">
        <f>'DCWW Bryn Cowlyd'!S12</f>
        <v>0</v>
      </c>
      <c r="T12" s="60">
        <f>'DCWW Bryn Cowlyd'!T12</f>
        <v>0</v>
      </c>
      <c r="U12" s="60">
        <f>'DCWW Bryn Cowlyd'!U12</f>
        <v>0</v>
      </c>
      <c r="V12" s="60">
        <f>'DCWW Bryn Cowlyd'!V12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20" t="s">
        <v>7</v>
      </c>
      <c r="B13" s="120"/>
      <c r="C13" s="60">
        <f>'DCWW Bryn Cowlyd'!C13</f>
        <v>2</v>
      </c>
      <c r="D13" s="60">
        <f>'DCWW Bryn Cowlyd'!D13</f>
        <v>2</v>
      </c>
      <c r="E13" s="60">
        <f>'DCWW Bryn Cowlyd'!E13</f>
        <v>2</v>
      </c>
      <c r="F13" s="60">
        <f>'DCWW Bryn Cowlyd'!F13</f>
        <v>3</v>
      </c>
      <c r="G13" s="60">
        <f>'DCWW Bryn Cowlyd'!G13</f>
        <v>2</v>
      </c>
      <c r="H13" s="60">
        <f>'DCWW Bryn Cowlyd'!H13</f>
        <v>2</v>
      </c>
      <c r="I13" s="60">
        <f>'DCWW Bryn Cowlyd'!I13</f>
        <v>2</v>
      </c>
      <c r="J13" s="60">
        <f>'DCWW Bryn Cowlyd'!J13</f>
        <v>2</v>
      </c>
      <c r="K13" s="60">
        <f>'DCWW Bryn Cowlyd'!K13</f>
        <v>2</v>
      </c>
      <c r="L13" s="60">
        <f>'DCWW Bryn Cowlyd'!L13</f>
        <v>0</v>
      </c>
      <c r="M13" s="60">
        <f>'DCWW Bryn Cowlyd'!M13</f>
        <v>0</v>
      </c>
      <c r="N13" s="60">
        <f>'DCWW Bryn Cowlyd'!N13</f>
        <v>0</v>
      </c>
      <c r="O13" s="60">
        <f>'DCWW Bryn Cowlyd'!O13</f>
        <v>0</v>
      </c>
      <c r="P13" s="60">
        <f>'DCWW Bryn Cowlyd'!P13</f>
        <v>0</v>
      </c>
      <c r="Q13" s="60">
        <f>'DCWW Bryn Cowlyd'!Q13</f>
        <v>0</v>
      </c>
      <c r="R13" s="60">
        <f>'DCWW Bryn Cowlyd'!R13</f>
        <v>0</v>
      </c>
      <c r="S13" s="60">
        <f>'DCWW Bryn Cowlyd'!S13</f>
        <v>0</v>
      </c>
      <c r="T13" s="60">
        <f>'DCWW Bryn Cowlyd'!T13</f>
        <v>0</v>
      </c>
      <c r="U13" s="60">
        <f>'DCWW Bryn Cowlyd'!U13</f>
        <v>0</v>
      </c>
      <c r="V13" s="60">
        <f>'DCWW Bryn Cowlyd'!V13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2" t="s">
        <v>8</v>
      </c>
      <c r="B14" s="132"/>
      <c r="C14" s="101" t="str">
        <f>'DCWW Bryn Cowlyd'!C14</f>
        <v xml:space="preserve">Grass Silage (25% DM) </v>
      </c>
      <c r="D14" s="101" t="str">
        <f>'DCWW Bryn Cowlyd'!D14</f>
        <v xml:space="preserve">Grass Silage (25% DM) </v>
      </c>
      <c r="E14" s="101" t="str">
        <f>'DCWW Bryn Cowlyd'!E14</f>
        <v xml:space="preserve">Grass Silage (25% DM) </v>
      </c>
      <c r="F14" s="101" t="str">
        <f>'DCWW Bryn Cowlyd'!F14</f>
        <v xml:space="preserve">Grass Silage (25% DM) </v>
      </c>
      <c r="G14" s="101" t="str">
        <f>'DCWW Bryn Cowlyd'!G14</f>
        <v xml:space="preserve">Grass Silage (25% DM) </v>
      </c>
      <c r="H14" s="101" t="str">
        <f>'DCWW Bryn Cowlyd'!H14</f>
        <v xml:space="preserve">Grass Silage (25% DM) </v>
      </c>
      <c r="I14" s="101" t="str">
        <f>'DCWW Bryn Cowlyd'!I14</f>
        <v xml:space="preserve">Grass Silage (25% DM) </v>
      </c>
      <c r="J14" s="101" t="str">
        <f>'DCWW Bryn Cowlyd'!J14</f>
        <v xml:space="preserve">Grass Silage (25% DM) </v>
      </c>
      <c r="K14" s="101" t="str">
        <f>'DCWW Bryn Cowlyd'!K14</f>
        <v xml:space="preserve">Grass Silage (25% DM) </v>
      </c>
      <c r="L14" s="101">
        <f>'DCWW Bryn Cowlyd'!L14</f>
        <v>0</v>
      </c>
      <c r="M14" s="101">
        <f>'DCWW Bryn Cowlyd'!M14</f>
        <v>0</v>
      </c>
      <c r="N14" s="101">
        <f>'DCWW Bryn Cowlyd'!N14</f>
        <v>0</v>
      </c>
      <c r="O14" s="101">
        <f>'DCWW Bryn Cowlyd'!O14</f>
        <v>0</v>
      </c>
      <c r="P14" s="101">
        <f>'DCWW Bryn Cowlyd'!P14</f>
        <v>0</v>
      </c>
      <c r="Q14" s="101">
        <f>'DCWW Bryn Cowlyd'!Q14</f>
        <v>0</v>
      </c>
      <c r="R14" s="101">
        <f>'DCWW Bryn Cowlyd'!R14</f>
        <v>0</v>
      </c>
      <c r="S14" s="101">
        <f>'DCWW Bryn Cowlyd'!S14</f>
        <v>0</v>
      </c>
      <c r="T14" s="101">
        <f>'DCWW Bryn Cowlyd'!T14</f>
        <v>0</v>
      </c>
      <c r="U14" s="101">
        <f>'DCWW Bryn Cowlyd'!U14</f>
        <v>0</v>
      </c>
      <c r="V14" s="101">
        <f>'DCWW Bryn Cowlyd'!V14</f>
        <v>0</v>
      </c>
      <c r="AD14" s="30" t="s">
        <v>138</v>
      </c>
      <c r="AE14" s="30">
        <v>6</v>
      </c>
      <c r="AI14" s="53" t="s">
        <v>119</v>
      </c>
      <c r="AJ14" s="54">
        <v>0.8</v>
      </c>
      <c r="AK14" s="55">
        <v>1.7</v>
      </c>
      <c r="AL14" s="11">
        <v>12</v>
      </c>
      <c r="AM14" s="11">
        <v>6.7</v>
      </c>
      <c r="AN14" s="11" t="s">
        <v>135</v>
      </c>
    </row>
    <row r="15" spans="1:41" x14ac:dyDescent="0.25">
      <c r="A15" s="131" t="s">
        <v>9</v>
      </c>
      <c r="B15" s="131"/>
      <c r="C15" s="60">
        <f>'DCWW Bryn Cowlyd'!C15</f>
        <v>38</v>
      </c>
      <c r="D15" s="60">
        <f>'DCWW Bryn Cowlyd'!D15</f>
        <v>38</v>
      </c>
      <c r="E15" s="60">
        <f>'DCWW Bryn Cowlyd'!E15</f>
        <v>38</v>
      </c>
      <c r="F15" s="60">
        <f>'DCWW Bryn Cowlyd'!F15</f>
        <v>38</v>
      </c>
      <c r="G15" s="60">
        <f>'DCWW Bryn Cowlyd'!G15</f>
        <v>38</v>
      </c>
      <c r="H15" s="60">
        <f>'DCWW Bryn Cowlyd'!H15</f>
        <v>38</v>
      </c>
      <c r="I15" s="60">
        <f>'DCWW Bryn Cowlyd'!I15</f>
        <v>38</v>
      </c>
      <c r="J15" s="60">
        <f>'DCWW Bryn Cowlyd'!J15</f>
        <v>38</v>
      </c>
      <c r="K15" s="60">
        <f>'DCWW Bryn Cowlyd'!K15</f>
        <v>38</v>
      </c>
      <c r="L15" s="60">
        <f>'DCWW Bryn Cowlyd'!L15</f>
        <v>0</v>
      </c>
      <c r="M15" s="60">
        <f>'DCWW Bryn Cowlyd'!M15</f>
        <v>0</v>
      </c>
      <c r="N15" s="60">
        <f>'DCWW Bryn Cowlyd'!N15</f>
        <v>0</v>
      </c>
      <c r="O15" s="60">
        <f>'DCWW Bryn Cowlyd'!O15</f>
        <v>0</v>
      </c>
      <c r="P15" s="60">
        <f>'DCWW Bryn Cowlyd'!P15</f>
        <v>0</v>
      </c>
      <c r="Q15" s="60">
        <f>'DCWW Bryn Cowlyd'!Q15</f>
        <v>0</v>
      </c>
      <c r="R15" s="60">
        <f>'DCWW Bryn Cowlyd'!R15</f>
        <v>0</v>
      </c>
      <c r="S15" s="60">
        <f>'DCWW Bryn Cowlyd'!S15</f>
        <v>0</v>
      </c>
      <c r="T15" s="60">
        <f>'DCWW Bryn Cowlyd'!T15</f>
        <v>0</v>
      </c>
      <c r="U15" s="60">
        <f>'DCWW Bryn Cowlyd'!U15</f>
        <v>0</v>
      </c>
      <c r="V15" s="60">
        <f>'DCWW Bryn Cowlyd'!V15</f>
        <v>0</v>
      </c>
      <c r="AD15" s="30" t="s">
        <v>144</v>
      </c>
      <c r="AE15" s="30">
        <v>7</v>
      </c>
      <c r="AI15" s="53" t="s">
        <v>101</v>
      </c>
      <c r="AJ15" s="62">
        <v>1.8</v>
      </c>
      <c r="AK15" s="55">
        <v>5.4</v>
      </c>
      <c r="AL15" s="11">
        <v>13</v>
      </c>
      <c r="AM15" s="11">
        <v>6.7</v>
      </c>
      <c r="AN15" s="11" t="s">
        <v>135</v>
      </c>
    </row>
    <row r="16" spans="1:41" ht="13.8" thickBot="1" x14ac:dyDescent="0.3">
      <c r="A16" s="133" t="s">
        <v>44</v>
      </c>
      <c r="B16" s="133"/>
      <c r="C16" s="102" t="str">
        <f>'DCWW Bryn Cowlyd'!C16</f>
        <v>Medium/Clay</v>
      </c>
      <c r="D16" s="102" t="str">
        <f>'DCWW Bryn Cowlyd'!D16</f>
        <v>Medium/Clay</v>
      </c>
      <c r="E16" s="102" t="str">
        <f>'DCWW Bryn Cowlyd'!E16</f>
        <v>Medium/Clay</v>
      </c>
      <c r="F16" s="102" t="str">
        <f>'DCWW Bryn Cowlyd'!F16</f>
        <v>Medium/Clay</v>
      </c>
      <c r="G16" s="102" t="str">
        <f>'DCWW Bryn Cowlyd'!G16</f>
        <v>Medium/Clay</v>
      </c>
      <c r="H16" s="102" t="str">
        <f>'DCWW Bryn Cowlyd'!H16</f>
        <v>Medium/Clay</v>
      </c>
      <c r="I16" s="102" t="str">
        <f>'DCWW Bryn Cowlyd'!I16</f>
        <v>Medium/Clay</v>
      </c>
      <c r="J16" s="102" t="str">
        <f>'DCWW Bryn Cowlyd'!J16</f>
        <v>Medium/Clay</v>
      </c>
      <c r="K16" s="102" t="str">
        <f>'DCWW Bryn Cowlyd'!K16</f>
        <v>Medium/Clay</v>
      </c>
      <c r="L16" s="102">
        <f>'DCWW Bryn Cowlyd'!L16</f>
        <v>0</v>
      </c>
      <c r="M16" s="102">
        <f>'DCWW Bryn Cowlyd'!M16</f>
        <v>0</v>
      </c>
      <c r="N16" s="102">
        <f>'DCWW Bryn Cowlyd'!N16</f>
        <v>0</v>
      </c>
      <c r="O16" s="102">
        <f>'DCWW Bryn Cowlyd'!O16</f>
        <v>0</v>
      </c>
      <c r="P16" s="102">
        <f>'DCWW Bryn Cowlyd'!P16</f>
        <v>0</v>
      </c>
      <c r="Q16" s="102">
        <f>'DCWW Bryn Cowlyd'!Q16</f>
        <v>0</v>
      </c>
      <c r="R16" s="102">
        <f>'DCWW Bryn Cowlyd'!R16</f>
        <v>0</v>
      </c>
      <c r="S16" s="102">
        <f>'DCWW Bryn Cowlyd'!S16</f>
        <v>0</v>
      </c>
      <c r="T16" s="102">
        <f>'DCWW Bryn Cowlyd'!T16</f>
        <v>0</v>
      </c>
      <c r="U16" s="102">
        <f>'DCWW Bryn Cowlyd'!U16</f>
        <v>0</v>
      </c>
      <c r="V16" s="102">
        <f>'DCWW Bryn Cowlyd'!V16</f>
        <v>0</v>
      </c>
      <c r="AD16" s="52" t="s">
        <v>145</v>
      </c>
      <c r="AE16" s="30">
        <v>8</v>
      </c>
      <c r="AI16" s="53" t="s">
        <v>118</v>
      </c>
      <c r="AJ16" s="54">
        <v>8</v>
      </c>
      <c r="AK16" s="55">
        <v>5.5</v>
      </c>
      <c r="AL16" s="12">
        <v>14</v>
      </c>
      <c r="AM16" s="11">
        <v>6.7</v>
      </c>
      <c r="AN16" s="11" t="s">
        <v>135</v>
      </c>
    </row>
    <row r="17" spans="1:40" x14ac:dyDescent="0.25">
      <c r="A17" s="123" t="s">
        <v>69</v>
      </c>
      <c r="B17" s="12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5" t="s">
        <v>23</v>
      </c>
      <c r="B18" s="126"/>
      <c r="C18" s="16">
        <f>$D31</f>
        <v>18.552976199999996</v>
      </c>
      <c r="D18" s="16">
        <f>$D32</f>
        <v>18.552976199999996</v>
      </c>
      <c r="E18" s="16">
        <f>$D33</f>
        <v>18.552976199999996</v>
      </c>
      <c r="F18" s="16">
        <f>$D34</f>
        <v>18.552976199999996</v>
      </c>
      <c r="G18" s="16">
        <f>$D35</f>
        <v>18.552976199999996</v>
      </c>
      <c r="H18" s="16">
        <f>$D36</f>
        <v>18.552976199999996</v>
      </c>
      <c r="I18" s="16">
        <f>$D37</f>
        <v>18.552976199999996</v>
      </c>
      <c r="J18" s="16">
        <f>$D38</f>
        <v>18.552976199999996</v>
      </c>
      <c r="K18" s="16">
        <f>$D39</f>
        <v>18.552976199999996</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5" t="s">
        <v>90</v>
      </c>
      <c r="B19" s="126"/>
      <c r="C19" s="16">
        <f>C18-C17</f>
        <v>-46.047023799999998</v>
      </c>
      <c r="D19" s="16">
        <f t="shared" ref="D19:V19" si="1">D18-D17</f>
        <v>-46.047023799999998</v>
      </c>
      <c r="E19" s="16">
        <f t="shared" si="1"/>
        <v>-46.047023799999998</v>
      </c>
      <c r="F19" s="16">
        <f t="shared" si="1"/>
        <v>-46.047023799999998</v>
      </c>
      <c r="G19" s="16">
        <f t="shared" si="1"/>
        <v>-46.047023799999998</v>
      </c>
      <c r="H19" s="16">
        <f t="shared" si="1"/>
        <v>-46.047023799999998</v>
      </c>
      <c r="I19" s="16">
        <f t="shared" si="1"/>
        <v>-46.047023799999998</v>
      </c>
      <c r="J19" s="16">
        <f t="shared" si="1"/>
        <v>-46.047023799999998</v>
      </c>
      <c r="K19" s="16">
        <f t="shared" si="1"/>
        <v>-46.047023799999998</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27" t="s">
        <v>91</v>
      </c>
      <c r="B20" s="128"/>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3" t="s">
        <v>88</v>
      </c>
      <c r="B21" s="12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5" t="s">
        <v>89</v>
      </c>
      <c r="B22" s="126"/>
      <c r="C22" s="16">
        <f>$E31</f>
        <v>1.0378664999999998</v>
      </c>
      <c r="D22" s="16">
        <f>$E32</f>
        <v>1.0378664999999998</v>
      </c>
      <c r="E22" s="16">
        <f>$E33</f>
        <v>1.0378664999999998</v>
      </c>
      <c r="F22" s="16">
        <f>$E34</f>
        <v>1.0378664999999998</v>
      </c>
      <c r="G22" s="16">
        <f>$E35</f>
        <v>1.0378664999999998</v>
      </c>
      <c r="H22" s="16">
        <f>$E36</f>
        <v>1.0378664999999998</v>
      </c>
      <c r="I22" s="16">
        <f>$E37</f>
        <v>1.0378664999999998</v>
      </c>
      <c r="J22" s="16">
        <f>$E38</f>
        <v>1.0378664999999998</v>
      </c>
      <c r="K22" s="16">
        <f>$E39</f>
        <v>1.0378664999999998</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5" t="s">
        <v>92</v>
      </c>
      <c r="B23" s="126"/>
      <c r="C23" s="16">
        <f>C22-C21</f>
        <v>-226.96213349999999</v>
      </c>
      <c r="D23" s="16">
        <f t="shared" ref="D23:V23" si="3">D22-D21</f>
        <v>-226.96213349999999</v>
      </c>
      <c r="E23" s="16">
        <f t="shared" si="3"/>
        <v>-226.96213349999999</v>
      </c>
      <c r="F23" s="16">
        <f t="shared" si="3"/>
        <v>-226.96213349999999</v>
      </c>
      <c r="G23" s="16">
        <f t="shared" si="3"/>
        <v>-226.96213349999999</v>
      </c>
      <c r="H23" s="16">
        <f t="shared" si="3"/>
        <v>-226.96213349999999</v>
      </c>
      <c r="I23" s="16">
        <f t="shared" si="3"/>
        <v>-226.96213349999999</v>
      </c>
      <c r="J23" s="16">
        <f t="shared" si="3"/>
        <v>-226.96213349999999</v>
      </c>
      <c r="K23" s="16">
        <f t="shared" si="3"/>
        <v>-226.96213349999999</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27" t="s">
        <v>93</v>
      </c>
      <c r="B24" s="128"/>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8" t="s">
        <v>116</v>
      </c>
      <c r="AJ26" s="69">
        <v>0.7</v>
      </c>
      <c r="AK26" s="70">
        <v>2.4</v>
      </c>
      <c r="AL26" s="29">
        <v>24</v>
      </c>
      <c r="AM26" s="10">
        <v>6.7</v>
      </c>
      <c r="AN26" s="11" t="s">
        <v>135</v>
      </c>
    </row>
    <row r="27" spans="1:40" s="57" customFormat="1" x14ac:dyDescent="0.3">
      <c r="A27" s="105"/>
      <c r="B27" s="71"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t="s">
        <v>55</v>
      </c>
      <c r="Q27" s="106" t="s">
        <v>55</v>
      </c>
      <c r="R27" s="106"/>
      <c r="S27" s="106" t="s">
        <v>55</v>
      </c>
      <c r="T27" s="106"/>
      <c r="U27" s="106"/>
    </row>
    <row r="28" spans="1:40" s="57" customFormat="1" x14ac:dyDescent="0.3">
      <c r="A28" s="107"/>
      <c r="B28" s="24">
        <v>3.96</v>
      </c>
      <c r="C28" s="15">
        <v>0.63100000000000001</v>
      </c>
      <c r="D28" s="15">
        <v>8.1799999999999998E-2</v>
      </c>
      <c r="E28" s="15">
        <v>8.6999999999999994E-3</v>
      </c>
      <c r="F28" s="15">
        <v>320</v>
      </c>
      <c r="G28" s="15">
        <v>2.92</v>
      </c>
      <c r="H28" s="15">
        <v>337</v>
      </c>
      <c r="I28" s="15">
        <v>42.8</v>
      </c>
      <c r="J28" s="15">
        <v>0.68</v>
      </c>
      <c r="K28" s="15">
        <v>0.51</v>
      </c>
      <c r="L28" s="15">
        <v>57.2</v>
      </c>
      <c r="M28" s="15">
        <v>11.1</v>
      </c>
      <c r="N28" s="15">
        <v>2520</v>
      </c>
      <c r="O28" s="15">
        <v>574000</v>
      </c>
      <c r="P28" s="15"/>
      <c r="Q28" s="15">
        <v>3890</v>
      </c>
      <c r="R28" s="15"/>
      <c r="S28" s="15">
        <v>26.1</v>
      </c>
      <c r="T28" s="15"/>
      <c r="U28" s="15"/>
    </row>
    <row r="29" spans="1:40" s="7" customFormat="1" ht="28.8" x14ac:dyDescent="0.3">
      <c r="A29" s="12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3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f>C8</f>
        <v>1</v>
      </c>
      <c r="B31" s="15">
        <v>250</v>
      </c>
      <c r="C31" s="77">
        <f>IF(C$27="%w/w SAR",((C$28*10)*$B31),IF(C$27="%w/w DM",(((C$28*10)*($B$28/100))*$B31),IF(C$27="kg/t SAR",(C$28*$B31),IF(C$27="kg/t DM",((C$28*($B$28/100))*$B31),IF(C$27="mg/kg SAR",((C$28*0.001)*$B31),IF(C$27="mg/kg DM",(((C$28*0.001)*($B$28/100))*$B31),0))))))</f>
        <v>62.468999999999994</v>
      </c>
      <c r="D31" s="77">
        <f>(IF(D$27="%w/w SAR",((D$28*10)*$B31),IF(D$27="%w/w DM",(((D$28*10)*($B$28/100))*$B31),IF(D$27="kg/t SAR",(D$28*$B31),IF(D$27="kg/t DM",((D$28*($B$28/100))*$B31),IF(D$27="mg/kg SAR",((D$28*0.001)*$B31),IF(D$27="mg/kg DM",(((D$28*0.001)*($B$28/100))*$B31),"0")))))))*2.291</f>
        <v>18.552976199999996</v>
      </c>
      <c r="E31" s="77">
        <f>(IF(E$27="%w/w SAR",((E$28*10)*$B31),IF(E$27="%w/w DM",(((E$28*10)*($B$28/100))*$B31),IF(E$27="kg/t SAR",(E$28*$B31),IF(E$27="kg/t DM",((E$28*($B$28/100))*$B31),IF(E$27="mg/kg SAR",((E$28*0.001)*$B31),IF(E$27="mg/kg DM",(((E$28*0.001)*($B$28/100))*$B31),"0")))))))*1.205</f>
        <v>1.0378664999999998</v>
      </c>
      <c r="F31" s="77">
        <f>(IF(F$27="%w/w SAR",((F$28*10)*$B31),IF(F$27="%w/w DM",(((F$28*10)*($B$28/100))*$B31),IF(F$27="kg/t SAR",(F$28*$B31),IF(F$27="kg/t DM",((F$28*($B$28/100))*$B31),IF(F$27="mg/kg SAR",((F$28*0.001)*$B31),IF(F$27="mg/kg DM",(((F$28*0.001)*($B$28/100))*$B31),"0")))))))*1.658</f>
        <v>5.2525439999999994</v>
      </c>
      <c r="G31" s="77">
        <f t="shared" ref="G31:P46" si="5">IF(G$27="%w/w SAR",((G$28*10)*$B31),IF(G$27="%w/w DM",(((G$28*10)*($B$28/100))*$B31),IF(G$27="kg/t SAR",(G$28*$B31),IF(G$27="kg/t DM",((G$28*($B$28/100))*$B31),IF(G$27="mg/kg SAR",((G$28*0.001)*$B31),IF(G$27="mg/kg DM",(((G$28*0.001)*($B$28/100))*$B31),0))))))</f>
        <v>2.8907999999999996E-2</v>
      </c>
      <c r="H31" s="77">
        <f t="shared" si="5"/>
        <v>3.3363</v>
      </c>
      <c r="I31" s="77">
        <f t="shared" si="5"/>
        <v>0.42371999999999993</v>
      </c>
      <c r="J31" s="77">
        <f t="shared" si="5"/>
        <v>6.7320000000000001E-3</v>
      </c>
      <c r="K31" s="77">
        <f t="shared" si="5"/>
        <v>5.0490000000000005E-3</v>
      </c>
      <c r="L31" s="77">
        <f t="shared" si="5"/>
        <v>0.56628000000000001</v>
      </c>
      <c r="M31" s="77">
        <f t="shared" si="5"/>
        <v>0.10988999999999999</v>
      </c>
      <c r="N31" s="77">
        <f t="shared" si="5"/>
        <v>24.947999999999997</v>
      </c>
      <c r="O31" s="77">
        <f t="shared" si="5"/>
        <v>5682.5999999999995</v>
      </c>
      <c r="P31" s="77">
        <f t="shared" si="5"/>
        <v>0</v>
      </c>
      <c r="Q31" s="77">
        <f>(IF(Q$27="%w/w SAR",((Q$28*10)*$B31),IF(Q$27="%w/w DM",(((Q$28*10)*($B$28/100))*$B31),IF(Q$27="kg/t SAR",(Q$28*$B31),IF(Q$27="kg/t DM",((Q$28*($B$28/100))*$B31),IF(Q$27="mg/kg SAR",((Q$28*0.001)*$B31),IF(Q$27="mg/kg DM",(((Q$28*0.001)*($B$28/100))*$B31),0)))))))*2.5</f>
        <v>96.277499999999989</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0.25839000000000001</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f>D8</f>
        <v>2</v>
      </c>
      <c r="B32" s="15">
        <v>250</v>
      </c>
      <c r="C32" s="77">
        <f t="shared" ref="C32:C50" si="6">IF(C$27="%w/w SAR",((C$28*10)*$B32),IF(C$27="%w/w DM",(((C$28*10)*($B$28/100))*$B32),IF(C$27="kg/t SAR",(C$28*$B32),IF(C$27="kg/t DM",((C$28*($B$28/100))*$B32),IF(C$27="mg/kg SAR",((C$28*0.001)*$B32),IF(C$27="mg/kg DM",(((C$28*0.001)*($B$28/100))*$B32),0))))))</f>
        <v>62.468999999999994</v>
      </c>
      <c r="D32" s="77">
        <f t="shared" ref="D32:D50" si="7">(IF(D$27="%w/w SAR",((D$28*10)*$B32),IF(D$27="%w/w DM",(((D$28*10)*($B$28/100))*$B32),IF(D$27="kg/t SAR",(D$28*$B32),IF(D$27="kg/t DM",((D$28*($B$28/100))*$B32),IF(D$27="mg/kg SAR",((D$28*0.001)*$B32),IF(D$27="mg/kg DM",(((D$28*0.001)*($B$28/100))*$B32),"0")))))))*2.291</f>
        <v>18.552976199999996</v>
      </c>
      <c r="E32" s="77">
        <f t="shared" ref="E32:E50" si="8">(IF(E$27="%w/w SAR",((E$28*10)*$B32),IF(E$27="%w/w DM",(((E$28*10)*($B$28/100))*$B32),IF(E$27="kg/t SAR",(E$28*$B32),IF(E$27="kg/t DM",((E$28*($B$28/100))*$B32),IF(E$27="mg/kg SAR",((E$28*0.001)*$B32),IF(E$27="mg/kg DM",(((E$28*0.001)*($B$28/100))*$B32),"0")))))))*1.205</f>
        <v>1.0378664999999998</v>
      </c>
      <c r="F32" s="77">
        <f t="shared" ref="F32:F50" si="9">(IF(F$27="%w/w SAR",((F$28*10)*$B32),IF(F$27="%w/w DM",(((F$28*10)*($B$28/100))*$B32),IF(F$27="kg/t SAR",(F$28*$B32),IF(F$27="kg/t DM",((F$28*($B$28/100))*$B32),IF(F$27="mg/kg SAR",((F$28*0.001)*$B32),IF(F$27="mg/kg DM",(((F$28*0.001)*($B$28/100))*$B32),"0")))))))*1.658</f>
        <v>5.2525439999999994</v>
      </c>
      <c r="G32" s="77">
        <f t="shared" si="5"/>
        <v>2.8907999999999996E-2</v>
      </c>
      <c r="H32" s="77">
        <f t="shared" si="5"/>
        <v>3.3363</v>
      </c>
      <c r="I32" s="77">
        <f t="shared" si="5"/>
        <v>0.42371999999999993</v>
      </c>
      <c r="J32" s="77">
        <f t="shared" si="5"/>
        <v>6.7320000000000001E-3</v>
      </c>
      <c r="K32" s="77">
        <f t="shared" si="5"/>
        <v>5.0490000000000005E-3</v>
      </c>
      <c r="L32" s="77">
        <f t="shared" si="5"/>
        <v>0.56628000000000001</v>
      </c>
      <c r="M32" s="77">
        <f t="shared" si="5"/>
        <v>0.10988999999999999</v>
      </c>
      <c r="N32" s="77">
        <f t="shared" si="5"/>
        <v>24.947999999999997</v>
      </c>
      <c r="O32" s="77">
        <f t="shared" si="5"/>
        <v>5682.5999999999995</v>
      </c>
      <c r="P32" s="77">
        <f t="shared" si="5"/>
        <v>0</v>
      </c>
      <c r="Q32" s="77">
        <f t="shared" ref="Q32:Q50" si="10">(IF(Q$27="%w/w SAR",((Q$28*10)*$B32),IF(Q$27="%w/w DM",(((Q$28*10)*($B$28/100))*$B32),IF(Q$27="kg/t SAR",(Q$28*$B32),IF(Q$27="kg/t DM",((Q$28*($B$28/100))*$B32),IF(Q$27="mg/kg SAR",((Q$28*0.001)*$B32),IF(Q$27="mg/kg DM",(((Q$28*0.001)*($B$28/100))*$B32),0)))))))*2.5</f>
        <v>96.277499999999989</v>
      </c>
      <c r="R32" s="77">
        <f t="shared" ref="R32:U50" si="11">IF(R$27="%w/w SAR",((R$28*10)*$B32),IF(R$27="%w/w DM",(((R$28*10)*($B$28/100))*$B32),IF(R$27="kg/t SAR",(R$28*$B32),IF(R$27="kg/t DM",((R$28*($B$28/100))*$B32),IF(R$27="mg/kg SAR",((R$28*0.001)*$B32),IF(R$27="mg/kg DM",(((R$28*0.001)*($B$28/100))*$B32),0))))))</f>
        <v>0</v>
      </c>
      <c r="S32" s="77">
        <f t="shared" si="11"/>
        <v>0.25839000000000001</v>
      </c>
      <c r="T32" s="77">
        <f t="shared" si="11"/>
        <v>0</v>
      </c>
      <c r="U32" s="77">
        <f t="shared" si="11"/>
        <v>0</v>
      </c>
      <c r="AB32" s="59"/>
      <c r="AC32" s="59"/>
      <c r="AD32" s="59"/>
      <c r="AE32" s="59"/>
      <c r="AF32" s="59"/>
      <c r="AG32" s="59"/>
      <c r="AH32" s="59"/>
      <c r="AI32" s="59"/>
    </row>
    <row r="33" spans="1:35" s="72" customFormat="1" x14ac:dyDescent="0.3">
      <c r="A33" s="13">
        <f>E8</f>
        <v>3</v>
      </c>
      <c r="B33" s="15">
        <v>250</v>
      </c>
      <c r="C33" s="77">
        <f t="shared" si="6"/>
        <v>62.468999999999994</v>
      </c>
      <c r="D33" s="77">
        <f t="shared" si="7"/>
        <v>18.552976199999996</v>
      </c>
      <c r="E33" s="77">
        <f t="shared" si="8"/>
        <v>1.0378664999999998</v>
      </c>
      <c r="F33" s="77">
        <f t="shared" si="9"/>
        <v>5.2525439999999994</v>
      </c>
      <c r="G33" s="77">
        <f t="shared" si="5"/>
        <v>2.8907999999999996E-2</v>
      </c>
      <c r="H33" s="77">
        <f t="shared" si="5"/>
        <v>3.3363</v>
      </c>
      <c r="I33" s="77">
        <f t="shared" si="5"/>
        <v>0.42371999999999993</v>
      </c>
      <c r="J33" s="77">
        <f t="shared" si="5"/>
        <v>6.7320000000000001E-3</v>
      </c>
      <c r="K33" s="77">
        <f t="shared" si="5"/>
        <v>5.0490000000000005E-3</v>
      </c>
      <c r="L33" s="77">
        <f t="shared" si="5"/>
        <v>0.56628000000000001</v>
      </c>
      <c r="M33" s="77">
        <f t="shared" si="5"/>
        <v>0.10988999999999999</v>
      </c>
      <c r="N33" s="77">
        <f t="shared" si="5"/>
        <v>24.947999999999997</v>
      </c>
      <c r="O33" s="77">
        <f t="shared" si="5"/>
        <v>5682.5999999999995</v>
      </c>
      <c r="P33" s="77">
        <f t="shared" si="5"/>
        <v>0</v>
      </c>
      <c r="Q33" s="77">
        <f t="shared" si="10"/>
        <v>96.277499999999989</v>
      </c>
      <c r="R33" s="77">
        <f t="shared" si="11"/>
        <v>0</v>
      </c>
      <c r="S33" s="77">
        <f t="shared" si="11"/>
        <v>0.25839000000000001</v>
      </c>
      <c r="T33" s="77">
        <f t="shared" si="11"/>
        <v>0</v>
      </c>
      <c r="U33" s="77">
        <f t="shared" si="11"/>
        <v>0</v>
      </c>
      <c r="AB33" s="59"/>
      <c r="AC33" s="59"/>
      <c r="AD33" s="59"/>
      <c r="AE33" s="59"/>
      <c r="AF33" s="59"/>
      <c r="AG33" s="59"/>
      <c r="AH33" s="59"/>
      <c r="AI33" s="59"/>
    </row>
    <row r="34" spans="1:35" s="72" customFormat="1" x14ac:dyDescent="0.3">
      <c r="A34" s="13">
        <f>F8</f>
        <v>4</v>
      </c>
      <c r="B34" s="15">
        <v>250</v>
      </c>
      <c r="C34" s="77">
        <f t="shared" si="6"/>
        <v>62.468999999999994</v>
      </c>
      <c r="D34" s="77">
        <f t="shared" si="7"/>
        <v>18.552976199999996</v>
      </c>
      <c r="E34" s="77">
        <f t="shared" si="8"/>
        <v>1.0378664999999998</v>
      </c>
      <c r="F34" s="77">
        <f t="shared" si="9"/>
        <v>5.2525439999999994</v>
      </c>
      <c r="G34" s="77">
        <f t="shared" si="5"/>
        <v>2.8907999999999996E-2</v>
      </c>
      <c r="H34" s="77">
        <f t="shared" si="5"/>
        <v>3.3363</v>
      </c>
      <c r="I34" s="77">
        <f t="shared" si="5"/>
        <v>0.42371999999999993</v>
      </c>
      <c r="J34" s="77">
        <f t="shared" si="5"/>
        <v>6.7320000000000001E-3</v>
      </c>
      <c r="K34" s="77">
        <f t="shared" si="5"/>
        <v>5.0490000000000005E-3</v>
      </c>
      <c r="L34" s="77">
        <f t="shared" si="5"/>
        <v>0.56628000000000001</v>
      </c>
      <c r="M34" s="77">
        <f t="shared" si="5"/>
        <v>0.10988999999999999</v>
      </c>
      <c r="N34" s="77">
        <f t="shared" si="5"/>
        <v>24.947999999999997</v>
      </c>
      <c r="O34" s="77">
        <f t="shared" si="5"/>
        <v>5682.5999999999995</v>
      </c>
      <c r="P34" s="77">
        <f t="shared" si="5"/>
        <v>0</v>
      </c>
      <c r="Q34" s="77">
        <f t="shared" si="10"/>
        <v>96.277499999999989</v>
      </c>
      <c r="R34" s="77">
        <f t="shared" si="11"/>
        <v>0</v>
      </c>
      <c r="S34" s="77">
        <f t="shared" si="11"/>
        <v>0.25839000000000001</v>
      </c>
      <c r="T34" s="77">
        <f t="shared" si="11"/>
        <v>0</v>
      </c>
      <c r="U34" s="77">
        <f t="shared" si="11"/>
        <v>0</v>
      </c>
      <c r="AB34" s="59"/>
      <c r="AC34" s="59"/>
      <c r="AD34" s="59"/>
      <c r="AE34" s="59"/>
      <c r="AF34" s="59"/>
      <c r="AG34" s="59"/>
      <c r="AH34" s="59"/>
      <c r="AI34" s="59"/>
    </row>
    <row r="35" spans="1:35" s="72" customFormat="1" x14ac:dyDescent="0.3">
      <c r="A35" s="13">
        <f>G8</f>
        <v>7</v>
      </c>
      <c r="B35" s="15">
        <v>250</v>
      </c>
      <c r="C35" s="77">
        <f t="shared" si="6"/>
        <v>62.468999999999994</v>
      </c>
      <c r="D35" s="77">
        <f t="shared" si="7"/>
        <v>18.552976199999996</v>
      </c>
      <c r="E35" s="77">
        <f t="shared" si="8"/>
        <v>1.0378664999999998</v>
      </c>
      <c r="F35" s="77">
        <f t="shared" si="9"/>
        <v>5.2525439999999994</v>
      </c>
      <c r="G35" s="77">
        <f t="shared" si="5"/>
        <v>2.8907999999999996E-2</v>
      </c>
      <c r="H35" s="77">
        <f t="shared" si="5"/>
        <v>3.3363</v>
      </c>
      <c r="I35" s="77">
        <f t="shared" si="5"/>
        <v>0.42371999999999993</v>
      </c>
      <c r="J35" s="77">
        <f t="shared" si="5"/>
        <v>6.7320000000000001E-3</v>
      </c>
      <c r="K35" s="77">
        <f t="shared" si="5"/>
        <v>5.0490000000000005E-3</v>
      </c>
      <c r="L35" s="77">
        <f t="shared" si="5"/>
        <v>0.56628000000000001</v>
      </c>
      <c r="M35" s="77">
        <f t="shared" si="5"/>
        <v>0.10988999999999999</v>
      </c>
      <c r="N35" s="77">
        <f t="shared" si="5"/>
        <v>24.947999999999997</v>
      </c>
      <c r="O35" s="77">
        <f t="shared" si="5"/>
        <v>5682.5999999999995</v>
      </c>
      <c r="P35" s="77">
        <f t="shared" si="5"/>
        <v>0</v>
      </c>
      <c r="Q35" s="77">
        <f t="shared" si="10"/>
        <v>96.277499999999989</v>
      </c>
      <c r="R35" s="77">
        <f t="shared" si="11"/>
        <v>0</v>
      </c>
      <c r="S35" s="77">
        <f t="shared" si="11"/>
        <v>0.25839000000000001</v>
      </c>
      <c r="T35" s="77">
        <f t="shared" si="11"/>
        <v>0</v>
      </c>
      <c r="U35" s="77">
        <f t="shared" si="11"/>
        <v>0</v>
      </c>
      <c r="AB35" s="59"/>
      <c r="AC35" s="59"/>
      <c r="AD35" s="59"/>
      <c r="AE35" s="59"/>
      <c r="AF35" s="59"/>
      <c r="AG35" s="59"/>
      <c r="AH35" s="59"/>
      <c r="AI35" s="59"/>
    </row>
    <row r="36" spans="1:35" s="72" customFormat="1" x14ac:dyDescent="0.3">
      <c r="A36" s="13">
        <f>H8</f>
        <v>8</v>
      </c>
      <c r="B36" s="15">
        <v>250</v>
      </c>
      <c r="C36" s="77">
        <f t="shared" si="6"/>
        <v>62.468999999999994</v>
      </c>
      <c r="D36" s="77">
        <f t="shared" si="7"/>
        <v>18.552976199999996</v>
      </c>
      <c r="E36" s="77">
        <f t="shared" si="8"/>
        <v>1.0378664999999998</v>
      </c>
      <c r="F36" s="77">
        <f t="shared" si="9"/>
        <v>5.2525439999999994</v>
      </c>
      <c r="G36" s="77">
        <f t="shared" si="5"/>
        <v>2.8907999999999996E-2</v>
      </c>
      <c r="H36" s="77">
        <f t="shared" si="5"/>
        <v>3.3363</v>
      </c>
      <c r="I36" s="77">
        <f t="shared" si="5"/>
        <v>0.42371999999999993</v>
      </c>
      <c r="J36" s="77">
        <f t="shared" si="5"/>
        <v>6.7320000000000001E-3</v>
      </c>
      <c r="K36" s="77">
        <f t="shared" si="5"/>
        <v>5.0490000000000005E-3</v>
      </c>
      <c r="L36" s="77">
        <f t="shared" si="5"/>
        <v>0.56628000000000001</v>
      </c>
      <c r="M36" s="77">
        <f t="shared" si="5"/>
        <v>0.10988999999999999</v>
      </c>
      <c r="N36" s="77">
        <f t="shared" si="5"/>
        <v>24.947999999999997</v>
      </c>
      <c r="O36" s="77">
        <f t="shared" si="5"/>
        <v>5682.5999999999995</v>
      </c>
      <c r="P36" s="77">
        <f t="shared" si="5"/>
        <v>0</v>
      </c>
      <c r="Q36" s="77">
        <f t="shared" si="10"/>
        <v>96.277499999999989</v>
      </c>
      <c r="R36" s="77">
        <f t="shared" si="11"/>
        <v>0</v>
      </c>
      <c r="S36" s="77">
        <f t="shared" si="11"/>
        <v>0.25839000000000001</v>
      </c>
      <c r="T36" s="77">
        <f t="shared" si="11"/>
        <v>0</v>
      </c>
      <c r="U36" s="77">
        <f t="shared" si="11"/>
        <v>0</v>
      </c>
      <c r="AB36" s="59"/>
      <c r="AC36" s="59"/>
      <c r="AD36" s="59"/>
      <c r="AE36" s="59"/>
      <c r="AF36" s="59"/>
      <c r="AG36" s="59"/>
      <c r="AH36" s="59"/>
      <c r="AI36" s="59"/>
    </row>
    <row r="37" spans="1:35" s="72" customFormat="1" x14ac:dyDescent="0.3">
      <c r="A37" s="13">
        <f>I8</f>
        <v>20</v>
      </c>
      <c r="B37" s="15">
        <v>250</v>
      </c>
      <c r="C37" s="77">
        <f t="shared" si="6"/>
        <v>62.468999999999994</v>
      </c>
      <c r="D37" s="77">
        <f t="shared" si="7"/>
        <v>18.552976199999996</v>
      </c>
      <c r="E37" s="77">
        <f t="shared" si="8"/>
        <v>1.0378664999999998</v>
      </c>
      <c r="F37" s="77">
        <f t="shared" si="9"/>
        <v>5.2525439999999994</v>
      </c>
      <c r="G37" s="77">
        <f t="shared" si="5"/>
        <v>2.8907999999999996E-2</v>
      </c>
      <c r="H37" s="77">
        <f t="shared" si="5"/>
        <v>3.3363</v>
      </c>
      <c r="I37" s="77">
        <f t="shared" si="5"/>
        <v>0.42371999999999993</v>
      </c>
      <c r="J37" s="77">
        <f t="shared" si="5"/>
        <v>6.7320000000000001E-3</v>
      </c>
      <c r="K37" s="77">
        <f t="shared" si="5"/>
        <v>5.0490000000000005E-3</v>
      </c>
      <c r="L37" s="77">
        <f t="shared" si="5"/>
        <v>0.56628000000000001</v>
      </c>
      <c r="M37" s="77">
        <f t="shared" si="5"/>
        <v>0.10988999999999999</v>
      </c>
      <c r="N37" s="77">
        <f t="shared" si="5"/>
        <v>24.947999999999997</v>
      </c>
      <c r="O37" s="77">
        <f t="shared" si="5"/>
        <v>5682.5999999999995</v>
      </c>
      <c r="P37" s="77">
        <f t="shared" si="5"/>
        <v>0</v>
      </c>
      <c r="Q37" s="77">
        <f t="shared" si="10"/>
        <v>96.277499999999989</v>
      </c>
      <c r="R37" s="77">
        <f t="shared" si="11"/>
        <v>0</v>
      </c>
      <c r="S37" s="77">
        <f t="shared" si="11"/>
        <v>0.25839000000000001</v>
      </c>
      <c r="T37" s="77">
        <f t="shared" si="11"/>
        <v>0</v>
      </c>
      <c r="U37" s="77">
        <f t="shared" si="11"/>
        <v>0</v>
      </c>
      <c r="AB37" s="59"/>
      <c r="AC37" s="59"/>
      <c r="AD37" s="59"/>
      <c r="AE37" s="59"/>
      <c r="AF37" s="59"/>
      <c r="AG37" s="59"/>
      <c r="AH37" s="59"/>
      <c r="AI37" s="59"/>
    </row>
    <row r="38" spans="1:35" s="72" customFormat="1" x14ac:dyDescent="0.3">
      <c r="A38" s="13">
        <f>J8</f>
        <v>21</v>
      </c>
      <c r="B38" s="15">
        <v>250</v>
      </c>
      <c r="C38" s="77">
        <f t="shared" si="6"/>
        <v>62.468999999999994</v>
      </c>
      <c r="D38" s="77">
        <f t="shared" si="7"/>
        <v>18.552976199999996</v>
      </c>
      <c r="E38" s="77">
        <f t="shared" si="8"/>
        <v>1.0378664999999998</v>
      </c>
      <c r="F38" s="77">
        <f t="shared" si="9"/>
        <v>5.2525439999999994</v>
      </c>
      <c r="G38" s="77">
        <f t="shared" si="5"/>
        <v>2.8907999999999996E-2</v>
      </c>
      <c r="H38" s="77">
        <f t="shared" si="5"/>
        <v>3.3363</v>
      </c>
      <c r="I38" s="77">
        <f t="shared" si="5"/>
        <v>0.42371999999999993</v>
      </c>
      <c r="J38" s="77">
        <f t="shared" si="5"/>
        <v>6.7320000000000001E-3</v>
      </c>
      <c r="K38" s="77">
        <f t="shared" si="5"/>
        <v>5.0490000000000005E-3</v>
      </c>
      <c r="L38" s="77">
        <f t="shared" si="5"/>
        <v>0.56628000000000001</v>
      </c>
      <c r="M38" s="77">
        <f t="shared" si="5"/>
        <v>0.10988999999999999</v>
      </c>
      <c r="N38" s="77">
        <f t="shared" si="5"/>
        <v>24.947999999999997</v>
      </c>
      <c r="O38" s="77">
        <f t="shared" si="5"/>
        <v>5682.5999999999995</v>
      </c>
      <c r="P38" s="77">
        <f t="shared" si="5"/>
        <v>0</v>
      </c>
      <c r="Q38" s="77">
        <f t="shared" si="10"/>
        <v>96.277499999999989</v>
      </c>
      <c r="R38" s="77">
        <f t="shared" si="11"/>
        <v>0</v>
      </c>
      <c r="S38" s="77">
        <f t="shared" si="11"/>
        <v>0.25839000000000001</v>
      </c>
      <c r="T38" s="77">
        <f t="shared" si="11"/>
        <v>0</v>
      </c>
      <c r="U38" s="77">
        <f t="shared" si="11"/>
        <v>0</v>
      </c>
      <c r="AB38" s="59"/>
      <c r="AC38" s="59"/>
      <c r="AD38" s="59"/>
      <c r="AE38" s="59"/>
      <c r="AF38" s="59"/>
      <c r="AG38" s="59"/>
      <c r="AH38" s="59"/>
      <c r="AI38" s="59"/>
    </row>
    <row r="39" spans="1:35" s="72" customFormat="1" x14ac:dyDescent="0.3">
      <c r="A39" s="13">
        <f>K8</f>
        <v>22</v>
      </c>
      <c r="B39" s="15">
        <v>250</v>
      </c>
      <c r="C39" s="77">
        <f t="shared" si="6"/>
        <v>62.468999999999994</v>
      </c>
      <c r="D39" s="77">
        <f t="shared" si="7"/>
        <v>18.552976199999996</v>
      </c>
      <c r="E39" s="77">
        <f t="shared" si="8"/>
        <v>1.0378664999999998</v>
      </c>
      <c r="F39" s="77">
        <f t="shared" si="9"/>
        <v>5.2525439999999994</v>
      </c>
      <c r="G39" s="77">
        <f t="shared" si="5"/>
        <v>2.8907999999999996E-2</v>
      </c>
      <c r="H39" s="77">
        <f t="shared" si="5"/>
        <v>3.3363</v>
      </c>
      <c r="I39" s="77">
        <f t="shared" si="5"/>
        <v>0.42371999999999993</v>
      </c>
      <c r="J39" s="77">
        <f t="shared" si="5"/>
        <v>6.7320000000000001E-3</v>
      </c>
      <c r="K39" s="77">
        <f t="shared" si="5"/>
        <v>5.0490000000000005E-3</v>
      </c>
      <c r="L39" s="77">
        <f t="shared" si="5"/>
        <v>0.56628000000000001</v>
      </c>
      <c r="M39" s="77">
        <f t="shared" si="5"/>
        <v>0.10988999999999999</v>
      </c>
      <c r="N39" s="77">
        <f t="shared" si="5"/>
        <v>24.947999999999997</v>
      </c>
      <c r="O39" s="77">
        <f t="shared" si="5"/>
        <v>5682.5999999999995</v>
      </c>
      <c r="P39" s="77">
        <f t="shared" si="5"/>
        <v>0</v>
      </c>
      <c r="Q39" s="77">
        <f t="shared" si="10"/>
        <v>96.277499999999989</v>
      </c>
      <c r="R39" s="77">
        <f t="shared" si="11"/>
        <v>0</v>
      </c>
      <c r="S39" s="77">
        <f t="shared" si="11"/>
        <v>0.25839000000000001</v>
      </c>
      <c r="T39" s="77">
        <f t="shared" si="11"/>
        <v>0</v>
      </c>
      <c r="U39" s="77">
        <f t="shared" si="11"/>
        <v>0</v>
      </c>
      <c r="AB39" s="59"/>
      <c r="AC39" s="59"/>
      <c r="AD39" s="59"/>
      <c r="AE39" s="59"/>
      <c r="AF39" s="59"/>
      <c r="AG39" s="59"/>
      <c r="AH39" s="59"/>
      <c r="AI39" s="59"/>
    </row>
    <row r="40" spans="1:35" s="72" customFormat="1" x14ac:dyDescent="0.3">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3">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f>C8</f>
        <v>1</v>
      </c>
      <c r="C57" s="8">
        <f t="shared" ref="C57:U57" si="13">D8</f>
        <v>2</v>
      </c>
      <c r="D57" s="8">
        <f t="shared" si="13"/>
        <v>3</v>
      </c>
      <c r="E57" s="8">
        <f t="shared" si="13"/>
        <v>4</v>
      </c>
      <c r="F57" s="8">
        <f t="shared" si="13"/>
        <v>7</v>
      </c>
      <c r="G57" s="8">
        <f t="shared" si="13"/>
        <v>8</v>
      </c>
      <c r="H57" s="8">
        <f t="shared" si="13"/>
        <v>20</v>
      </c>
      <c r="I57" s="8">
        <f t="shared" si="13"/>
        <v>21</v>
      </c>
      <c r="J57" s="8">
        <f t="shared" si="13"/>
        <v>22</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"&amp;(VLOOKUP(C14,Table2458[],6,FALSE))</f>
        <v>Medium/Clay I Grass</v>
      </c>
      <c r="C58" s="13" t="str">
        <f>D16&amp;" I "&amp;(VLOOKUP(D14,Table2458[],6,FALSE))</f>
        <v>Medium/Clay I Grass</v>
      </c>
      <c r="D58" s="13" t="str">
        <f>E16&amp;" I "&amp;(VLOOKUP(E14,Table2458[],6,FALSE))</f>
        <v>Medium/Clay I Grass</v>
      </c>
      <c r="E58" s="13" t="str">
        <f>F16&amp;" I "&amp;(VLOOKUP(F14,Table2458[],6,FALSE))</f>
        <v>Medium/Clay I Grass</v>
      </c>
      <c r="F58" s="13" t="str">
        <f>G16&amp;" I "&amp;(VLOOKUP(G14,Table2458[],6,FALSE))</f>
        <v>Medium/Clay I Grass</v>
      </c>
      <c r="G58" s="13" t="str">
        <f>H16&amp;" I "&amp;(VLOOKUP(H14,Table2458[],6,FALSE))</f>
        <v>Medium/Clay I Grass</v>
      </c>
      <c r="H58" s="13" t="str">
        <f>I16&amp;" I "&amp;(VLOOKUP(I14,Table2458[],6,FALSE))</f>
        <v>Medium/Clay I Grass</v>
      </c>
      <c r="I58" s="13" t="str">
        <f>J16&amp;" I "&amp;(VLOOKUP(J14,Table2458[],6,FALSE))</f>
        <v>Medium/Clay I Grass</v>
      </c>
      <c r="J58" s="13" t="str">
        <f>K16&amp;" I "&amp;(VLOOKUP(K14,Table2458[],6,FALSE))</f>
        <v>Medium/Clay I Grass</v>
      </c>
      <c r="K58" s="13" t="e">
        <f>L16&amp;" I "&amp;(VLOOKUP(L14,Table2458[],6,FALSE))</f>
        <v>#N/A</v>
      </c>
      <c r="L58" s="13" t="e">
        <f>M16&amp;" I "&amp;(VLOOKUP(M14,Table2458[],6,FALSE))</f>
        <v>#N/A</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x14ac:dyDescent="0.25">
      <c r="A59" s="110" t="s">
        <v>132</v>
      </c>
      <c r="B59" s="76">
        <f>VLOOKUP(C$14,Table2458[],5,FALSE)</f>
        <v>6.2</v>
      </c>
      <c r="C59" s="76">
        <f>VLOOKUP(D$14,Table2458[],5,FALSE)</f>
        <v>6.2</v>
      </c>
      <c r="D59" s="76">
        <f>VLOOKUP(E$14,Table2458[],5,FALSE)</f>
        <v>6.2</v>
      </c>
      <c r="E59" s="76">
        <f>VLOOKUP(F$14,Table2458[],5,FALSE)</f>
        <v>6.2</v>
      </c>
      <c r="F59" s="76">
        <f>VLOOKUP(G$14,Table2458[],5,FALSE)</f>
        <v>6.2</v>
      </c>
      <c r="G59" s="76">
        <f>VLOOKUP(H$14,Table2458[],5,FALSE)</f>
        <v>6.2</v>
      </c>
      <c r="H59" s="76">
        <f>VLOOKUP(I$14,Table2458[],5,FALSE)</f>
        <v>6.2</v>
      </c>
      <c r="I59" s="76">
        <f>VLOOKUP(J$14,Table2458[],5,FALSE)</f>
        <v>6.2</v>
      </c>
      <c r="J59" s="76">
        <f>VLOOKUP(K$14,Table2458[],5,FALSE)</f>
        <v>6.2</v>
      </c>
      <c r="K59" s="76" t="e">
        <f>VLOOKUP(L$14,Table2458[],5,FALSE)</f>
        <v>#N/A</v>
      </c>
      <c r="L59" s="76" t="e">
        <f>VLOOKUP(M$14,Table2458[],5,FALSE)</f>
        <v>#N/A</v>
      </c>
      <c r="M59" s="76" t="e">
        <f>VLOOKUP(N$14,Table2458[],5,FALSE)</f>
        <v>#N/A</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x14ac:dyDescent="0.25">
      <c r="A60" s="110" t="s">
        <v>4</v>
      </c>
      <c r="B60" s="76">
        <f>C10</f>
        <v>5.6</v>
      </c>
      <c r="C60" s="76">
        <f t="shared" ref="C60:U60" si="14">D10</f>
        <v>5.7</v>
      </c>
      <c r="D60" s="76">
        <f t="shared" si="14"/>
        <v>6.8</v>
      </c>
      <c r="E60" s="76">
        <f t="shared" si="14"/>
        <v>6.4</v>
      </c>
      <c r="F60" s="76">
        <f t="shared" si="14"/>
        <v>6.2</v>
      </c>
      <c r="G60" s="76">
        <f t="shared" si="14"/>
        <v>6.2</v>
      </c>
      <c r="H60" s="76">
        <f t="shared" si="14"/>
        <v>6.1</v>
      </c>
      <c r="I60" s="76">
        <f t="shared" si="14"/>
        <v>6.2</v>
      </c>
      <c r="J60" s="76">
        <f t="shared" si="14"/>
        <v>6</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0"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0" t="s">
        <v>134</v>
      </c>
      <c r="B62" s="77">
        <f>B31</f>
        <v>250</v>
      </c>
      <c r="C62" s="77">
        <f>B32</f>
        <v>250</v>
      </c>
      <c r="D62" s="77">
        <f>B33</f>
        <v>250</v>
      </c>
      <c r="E62" s="77">
        <f>B34</f>
        <v>250</v>
      </c>
      <c r="F62" s="77">
        <f>B35</f>
        <v>250</v>
      </c>
      <c r="G62" s="77">
        <f>B36</f>
        <v>250</v>
      </c>
      <c r="H62" s="77">
        <f>B37</f>
        <v>250</v>
      </c>
      <c r="I62" s="77">
        <f>B38</f>
        <v>250</v>
      </c>
      <c r="J62" s="77">
        <f>B39</f>
        <v>250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1"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1" t="s">
        <v>156</v>
      </c>
      <c r="B64" s="77">
        <f>(B59-B60)*B61</f>
        <v>3.6000000000000032</v>
      </c>
      <c r="C64" s="77">
        <f t="shared" ref="C64:U64" si="17">(C59-C60)*C61</f>
        <v>3</v>
      </c>
      <c r="D64" s="77">
        <f t="shared" si="17"/>
        <v>-3.5999999999999979</v>
      </c>
      <c r="E64" s="77">
        <f t="shared" si="17"/>
        <v>-1.2000000000000011</v>
      </c>
      <c r="F64" s="77">
        <f t="shared" si="17"/>
        <v>0</v>
      </c>
      <c r="G64" s="77">
        <f t="shared" si="17"/>
        <v>0</v>
      </c>
      <c r="H64" s="77">
        <f t="shared" si="17"/>
        <v>0.6000000000000032</v>
      </c>
      <c r="I64" s="77">
        <f t="shared" si="17"/>
        <v>0</v>
      </c>
      <c r="J64" s="77">
        <f t="shared" si="17"/>
        <v>1.2000000000000011</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1" t="s">
        <v>157</v>
      </c>
      <c r="B65" s="77">
        <f>B63-B64</f>
        <v>-3.6000000000000032</v>
      </c>
      <c r="C65" s="77">
        <f t="shared" ref="C65:U65" si="18">C63-C64</f>
        <v>-3</v>
      </c>
      <c r="D65" s="77">
        <f t="shared" si="18"/>
        <v>3.5999999999999979</v>
      </c>
      <c r="E65" s="77">
        <f t="shared" si="18"/>
        <v>1.2000000000000011</v>
      </c>
      <c r="F65" s="77">
        <f t="shared" si="18"/>
        <v>0</v>
      </c>
      <c r="G65" s="77">
        <f t="shared" si="18"/>
        <v>0</v>
      </c>
      <c r="H65" s="77">
        <f t="shared" si="18"/>
        <v>-0.6000000000000032</v>
      </c>
      <c r="I65" s="77">
        <f t="shared" si="18"/>
        <v>0</v>
      </c>
      <c r="J65" s="77">
        <f t="shared" si="18"/>
        <v>-1.2000000000000011</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1" t="s">
        <v>148</v>
      </c>
      <c r="B66" s="78" t="str">
        <f>IF(B64&lt;=B63,"OVER","UNDER")</f>
        <v>UNDER</v>
      </c>
      <c r="C66" s="78" t="str">
        <f t="shared" ref="C66:U66" si="19">IF(C64&lt;=C63,"OVER","UNDER")</f>
        <v>UNDER</v>
      </c>
      <c r="D66" s="78" t="str">
        <f t="shared" si="19"/>
        <v>OVER</v>
      </c>
      <c r="E66" s="78" t="str">
        <f t="shared" si="19"/>
        <v>OVER</v>
      </c>
      <c r="F66" s="78" t="str">
        <f t="shared" si="19"/>
        <v>OVER</v>
      </c>
      <c r="G66" s="78" t="str">
        <f t="shared" si="19"/>
        <v>OVER</v>
      </c>
      <c r="H66" s="78" t="str">
        <f t="shared" si="19"/>
        <v>UNDER</v>
      </c>
      <c r="I66" s="78" t="str">
        <f t="shared" si="19"/>
        <v>OVER</v>
      </c>
      <c r="J66" s="78" t="str">
        <f t="shared" si="19"/>
        <v>UNDER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5" priority="37" operator="equal">
      <formula>"DECREASE"</formula>
    </cfRule>
    <cfRule type="cellIs" dxfId="84" priority="38" operator="equal">
      <formula>"INCREASE"</formula>
    </cfRule>
  </conditionalFormatting>
  <conditionalFormatting sqref="B62:U66 B31:B50">
    <cfRule type="cellIs" dxfId="83" priority="36" operator="greaterThan">
      <formula>$B$51</formula>
    </cfRule>
  </conditionalFormatting>
  <conditionalFormatting sqref="C31:C50">
    <cfRule type="cellIs" dxfId="82" priority="35" operator="greaterThan">
      <formula>$C$51</formula>
    </cfRule>
  </conditionalFormatting>
  <conditionalFormatting sqref="C18:V18">
    <cfRule type="cellIs" dxfId="81" priority="34" operator="equal">
      <formula>0</formula>
    </cfRule>
  </conditionalFormatting>
  <conditionalFormatting sqref="C17:V17">
    <cfRule type="cellIs" dxfId="80" priority="33" operator="equal">
      <formula>0</formula>
    </cfRule>
  </conditionalFormatting>
  <conditionalFormatting sqref="C19:V19">
    <cfRule type="cellIs" dxfId="79" priority="32" operator="equal">
      <formula>0</formula>
    </cfRule>
  </conditionalFormatting>
  <conditionalFormatting sqref="G31:G50">
    <cfRule type="cellIs" dxfId="78" priority="31" operator="greaterThan">
      <formula>$G$51</formula>
    </cfRule>
  </conditionalFormatting>
  <conditionalFormatting sqref="H31:H50">
    <cfRule type="cellIs" dxfId="77" priority="30" operator="greaterThan">
      <formula>$H$51</formula>
    </cfRule>
  </conditionalFormatting>
  <conditionalFormatting sqref="I31:I50">
    <cfRule type="cellIs" dxfId="76" priority="29" operator="greaterThan">
      <formula>$I$51</formula>
    </cfRule>
  </conditionalFormatting>
  <conditionalFormatting sqref="K31:K50">
    <cfRule type="cellIs" dxfId="75" priority="28" operator="greaterThan">
      <formula>$K$51</formula>
    </cfRule>
  </conditionalFormatting>
  <conditionalFormatting sqref="L31:L50">
    <cfRule type="cellIs" dxfId="74" priority="27" operator="greaterThan">
      <formula>$L$51</formula>
    </cfRule>
  </conditionalFormatting>
  <conditionalFormatting sqref="M31:M50">
    <cfRule type="cellIs" dxfId="73" priority="26" operator="greaterThan">
      <formula>$M$51</formula>
    </cfRule>
  </conditionalFormatting>
  <conditionalFormatting sqref="P31:P50">
    <cfRule type="cellIs" dxfId="72" priority="25" operator="greaterThan">
      <formula>$P$51</formula>
    </cfRule>
  </conditionalFormatting>
  <conditionalFormatting sqref="R31:R50">
    <cfRule type="cellIs" dxfId="71" priority="24" operator="greaterThan">
      <formula>$R$51</formula>
    </cfRule>
  </conditionalFormatting>
  <conditionalFormatting sqref="S31:S50">
    <cfRule type="cellIs" dxfId="70" priority="23" operator="greaterThan">
      <formula>$S$51</formula>
    </cfRule>
  </conditionalFormatting>
  <conditionalFormatting sqref="T31:T50">
    <cfRule type="cellIs" dxfId="69" priority="22" operator="greaterThan">
      <formula>$T$51</formula>
    </cfRule>
  </conditionalFormatting>
  <conditionalFormatting sqref="U31:U50">
    <cfRule type="cellIs" dxfId="68" priority="21" operator="greaterThan">
      <formula>$U$51</formula>
    </cfRule>
  </conditionalFormatting>
  <conditionalFormatting sqref="C22:V22">
    <cfRule type="cellIs" dxfId="67" priority="20" operator="equal">
      <formula>0</formula>
    </cfRule>
  </conditionalFormatting>
  <conditionalFormatting sqref="C24:V24">
    <cfRule type="cellIs" dxfId="66" priority="18" operator="equal">
      <formula>"DECREASE"</formula>
    </cfRule>
    <cfRule type="cellIs" dxfId="65" priority="19" operator="equal">
      <formula>"INCREASE"</formula>
    </cfRule>
  </conditionalFormatting>
  <conditionalFormatting sqref="C23:V23">
    <cfRule type="cellIs" dxfId="64" priority="17" operator="equal">
      <formula>0</formula>
    </cfRule>
  </conditionalFormatting>
  <conditionalFormatting sqref="C21:V21">
    <cfRule type="cellIs" dxfId="63" priority="13" operator="equal">
      <formula>0</formula>
    </cfRule>
  </conditionalFormatting>
  <conditionalFormatting sqref="B66:U66">
    <cfRule type="cellIs" dxfId="62" priority="11" operator="equal">
      <formula>"UNDER"</formula>
    </cfRule>
    <cfRule type="cellIs" dxfId="61" priority="12" operator="equal">
      <formula>"OVER"</formula>
    </cfRule>
  </conditionalFormatting>
  <conditionalFormatting sqref="J31:J50">
    <cfRule type="cellIs" dxfId="60" priority="8" operator="greaterThan">
      <formula>$J$51</formula>
    </cfRule>
  </conditionalFormatting>
  <conditionalFormatting sqref="L3">
    <cfRule type="cellIs" dxfId="59" priority="4" operator="lessThan">
      <formula>30</formula>
    </cfRule>
    <cfRule type="cellIs" dxfId="58" priority="5" operator="greaterThanOrEqual">
      <formula>30</formula>
    </cfRule>
  </conditionalFormatting>
  <conditionalFormatting sqref="I1">
    <cfRule type="cellIs" dxfId="57" priority="3" operator="between">
      <formula>0.1</formula>
      <formula>5</formula>
    </cfRule>
  </conditionalFormatting>
  <conditionalFormatting sqref="I2">
    <cfRule type="cellIs" dxfId="56" priority="2" operator="greaterThan">
      <formula>5000.1</formula>
    </cfRule>
  </conditionalFormatting>
  <conditionalFormatting sqref="I3">
    <cfRule type="cellIs" dxfId="55"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topLeftCell="A25" zoomScale="90" zoomScaleNormal="90" workbookViewId="0">
      <selection activeCell="F5" sqref="F5"/>
    </sheetView>
  </sheetViews>
  <sheetFormatPr defaultColWidth="13.109375" defaultRowHeight="13.2" x14ac:dyDescent="0.3"/>
  <cols>
    <col min="1" max="1" width="13.109375" style="11"/>
    <col min="2" max="2" width="15.88671875" style="11" customWidth="1"/>
    <col min="3" max="3" width="20.5546875" style="11" customWidth="1"/>
    <col min="4" max="4" width="20.33203125" style="11" bestFit="1" customWidth="1"/>
    <col min="5" max="22" width="21.33203125" style="11" customWidth="1"/>
    <col min="23" max="26" width="13.109375" style="11"/>
    <col min="27" max="27" width="0" style="11" hidden="1" customWidth="1"/>
    <col min="28" max="29" width="10.6640625" style="19" hidden="1" customWidth="1"/>
    <col min="30" max="30" width="19.6640625" style="19" hidden="1" customWidth="1"/>
    <col min="31" max="34" width="12.44140625" style="19" hidden="1" customWidth="1"/>
    <col min="35" max="35" width="27.6640625" style="19" hidden="1" customWidth="1"/>
    <col min="36" max="40" width="0" style="11" hidden="1" customWidth="1"/>
    <col min="41" max="41" width="67.33203125" style="11" hidden="1" customWidth="1"/>
    <col min="42" max="16384" width="13.109375" style="11"/>
  </cols>
  <sheetData>
    <row r="1" spans="1:41" x14ac:dyDescent="0.25">
      <c r="A1" s="120" t="s">
        <v>41</v>
      </c>
      <c r="B1" s="120"/>
      <c r="C1" s="141" t="str">
        <f>'DCWW Bryn Cowlyd'!C1:D1</f>
        <v>PAN-022455</v>
      </c>
      <c r="D1" s="142"/>
      <c r="E1" s="93" t="s">
        <v>45</v>
      </c>
      <c r="F1" s="39">
        <f>'DCWW Bryn Cowlyd'!F1</f>
        <v>27.8</v>
      </c>
      <c r="G1" s="121" t="s">
        <v>43</v>
      </c>
      <c r="H1" s="122"/>
      <c r="I1" s="117">
        <v>6.8</v>
      </c>
      <c r="J1" s="120" t="s">
        <v>153</v>
      </c>
      <c r="K1" s="120"/>
      <c r="L1" s="96">
        <v>197</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20" t="s">
        <v>87</v>
      </c>
      <c r="B2" s="120"/>
      <c r="C2" s="143" t="str">
        <f>'DCWW Bryn Cowlyd'!C2:D2</f>
        <v>EPR/GP3792SK</v>
      </c>
      <c r="D2" s="144"/>
      <c r="E2" s="93" t="s">
        <v>109</v>
      </c>
      <c r="F2" s="118" t="s">
        <v>169</v>
      </c>
      <c r="G2" s="139" t="s">
        <v>110</v>
      </c>
      <c r="H2" s="140"/>
      <c r="I2" s="117"/>
      <c r="J2" s="120" t="s">
        <v>158</v>
      </c>
      <c r="K2" s="120"/>
      <c r="L2" s="96">
        <v>0.93500000000000005</v>
      </c>
      <c r="AB2" s="30" t="s">
        <v>56</v>
      </c>
      <c r="AC2" s="17"/>
      <c r="AD2" s="30" t="s">
        <v>70</v>
      </c>
      <c r="AE2" s="17"/>
      <c r="AF2" s="17"/>
      <c r="AG2" s="44" t="s">
        <v>76</v>
      </c>
      <c r="AH2" s="18"/>
      <c r="AI2" s="45" t="s">
        <v>126</v>
      </c>
      <c r="AJ2" s="46">
        <v>0</v>
      </c>
      <c r="AK2" s="47">
        <v>0</v>
      </c>
      <c r="AL2" s="10">
        <v>0</v>
      </c>
      <c r="AM2" s="11">
        <v>0</v>
      </c>
      <c r="AN2" s="11">
        <v>0</v>
      </c>
    </row>
    <row r="3" spans="1:41" x14ac:dyDescent="0.25">
      <c r="A3" s="121" t="s">
        <v>42</v>
      </c>
      <c r="B3" s="122"/>
      <c r="C3" s="143" t="str">
        <f>'DCWW Bryn Cowlyd'!C3:D3</f>
        <v>ByProduct recovery LTD</v>
      </c>
      <c r="D3" s="144"/>
      <c r="E3" s="93" t="s">
        <v>108</v>
      </c>
      <c r="F3" s="31" t="s">
        <v>78</v>
      </c>
      <c r="G3" s="120" t="s">
        <v>159</v>
      </c>
      <c r="H3" s="120"/>
      <c r="I3" s="117"/>
      <c r="J3" s="121" t="s">
        <v>154</v>
      </c>
      <c r="K3" s="122"/>
      <c r="L3" s="96">
        <f>(L1/(L2*10000))*100</f>
        <v>2.106951871657754</v>
      </c>
      <c r="AB3" s="30" t="s">
        <v>57</v>
      </c>
      <c r="AC3" s="17"/>
      <c r="AD3" s="30" t="s">
        <v>71</v>
      </c>
      <c r="AE3" s="17"/>
      <c r="AF3" s="17"/>
      <c r="AG3" s="44" t="s">
        <v>77</v>
      </c>
      <c r="AH3" s="18"/>
      <c r="AI3" s="48" t="s">
        <v>113</v>
      </c>
      <c r="AJ3" s="49">
        <v>1.7</v>
      </c>
      <c r="AK3" s="50">
        <v>6</v>
      </c>
      <c r="AL3" s="51">
        <v>1</v>
      </c>
      <c r="AM3" s="11">
        <v>6.2</v>
      </c>
      <c r="AN3" s="11" t="s">
        <v>112</v>
      </c>
    </row>
    <row r="4" spans="1:41" x14ac:dyDescent="0.25">
      <c r="A4" s="120" t="s">
        <v>0</v>
      </c>
      <c r="B4" s="120"/>
      <c r="C4" s="141" t="str">
        <f>'DCWW Bryn Cowlyd'!C4:D4</f>
        <v>Blaen Y Coed Farm, Betws-y-Coed, LL24 0NY</v>
      </c>
      <c r="D4" s="142"/>
      <c r="E4" s="94" t="s">
        <v>1</v>
      </c>
      <c r="F4" s="95" t="s">
        <v>173</v>
      </c>
      <c r="G4" s="121"/>
      <c r="H4" s="122"/>
      <c r="I4" s="39"/>
      <c r="J4" s="121"/>
      <c r="K4" s="122"/>
      <c r="L4" s="95"/>
      <c r="AB4" s="30" t="s">
        <v>52</v>
      </c>
      <c r="AC4" s="17"/>
      <c r="AD4" s="52" t="s">
        <v>72</v>
      </c>
      <c r="AE4" s="17"/>
      <c r="AF4" s="17"/>
      <c r="AG4" s="44" t="s">
        <v>78</v>
      </c>
      <c r="AH4" s="18"/>
      <c r="AI4" s="53" t="s">
        <v>124</v>
      </c>
      <c r="AJ4" s="54">
        <v>7</v>
      </c>
      <c r="AK4" s="55">
        <v>10.5</v>
      </c>
      <c r="AL4" s="11">
        <v>2</v>
      </c>
      <c r="AM4" s="11">
        <v>6.7</v>
      </c>
      <c r="AN4" s="11" t="s">
        <v>135</v>
      </c>
    </row>
    <row r="5" spans="1:41" x14ac:dyDescent="0.25">
      <c r="A5" s="120" t="s">
        <v>47</v>
      </c>
      <c r="B5" s="120"/>
      <c r="C5" s="141" t="str">
        <f>'DCWW Bryn Cowlyd'!C5:D5</f>
        <v xml:space="preserve">Owen Clee </v>
      </c>
      <c r="D5" s="142"/>
      <c r="E5" s="93"/>
      <c r="F5" s="39"/>
      <c r="G5" s="121"/>
      <c r="H5" s="122"/>
      <c r="I5" s="39"/>
      <c r="J5" s="121"/>
      <c r="K5" s="122"/>
      <c r="L5" s="95"/>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26" t="s">
        <v>63</v>
      </c>
      <c r="B7" s="12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8"/>
    </row>
    <row r="8" spans="1:41" x14ac:dyDescent="0.25">
      <c r="A8" s="120" t="s">
        <v>2</v>
      </c>
      <c r="B8" s="120"/>
      <c r="C8" s="60">
        <f>'DCWW Bryn Cowlyd'!C8</f>
        <v>1</v>
      </c>
      <c r="D8" s="60">
        <f>'DCWW Bryn Cowlyd'!D8</f>
        <v>2</v>
      </c>
      <c r="E8" s="60">
        <f>'DCWW Bryn Cowlyd'!E8</f>
        <v>3</v>
      </c>
      <c r="F8" s="60">
        <f>'DCWW Bryn Cowlyd'!F8</f>
        <v>4</v>
      </c>
      <c r="G8" s="60">
        <f>'DCWW Bryn Cowlyd'!G8</f>
        <v>7</v>
      </c>
      <c r="H8" s="60">
        <f>'DCWW Bryn Cowlyd'!H8</f>
        <v>8</v>
      </c>
      <c r="I8" s="60">
        <f>'DCWW Bryn Cowlyd'!I8</f>
        <v>20</v>
      </c>
      <c r="J8" s="60">
        <f>'DCWW Bryn Cowlyd'!J8</f>
        <v>21</v>
      </c>
      <c r="K8" s="60">
        <f>'DCWW Bryn Cowlyd'!K8</f>
        <v>22</v>
      </c>
      <c r="L8" s="60">
        <f>'DCWW Bryn Cowlyd'!L8</f>
        <v>0</v>
      </c>
      <c r="M8" s="60">
        <f>'DCWW Bryn Cowlyd'!M8</f>
        <v>0</v>
      </c>
      <c r="N8" s="60">
        <f>'DCWW Bryn Cowlyd'!N8</f>
        <v>0</v>
      </c>
      <c r="O8" s="60">
        <f>'DCWW Bryn Cowlyd'!O8</f>
        <v>0</v>
      </c>
      <c r="P8" s="60">
        <f>'DCWW Bryn Cowlyd'!P8</f>
        <v>0</v>
      </c>
      <c r="Q8" s="60">
        <f>'DCWW Bryn Cowlyd'!Q8</f>
        <v>0</v>
      </c>
      <c r="R8" s="60">
        <f>'DCWW Bryn Cowlyd'!R8</f>
        <v>0</v>
      </c>
      <c r="S8" s="60">
        <f>'DCWW Bryn Cowlyd'!S8</f>
        <v>0</v>
      </c>
      <c r="T8" s="60">
        <f>'DCWW Bryn Cowlyd'!T8</f>
        <v>0</v>
      </c>
      <c r="U8" s="60">
        <f>'DCWW Bryn Cowlyd'!U8</f>
        <v>0</v>
      </c>
      <c r="V8" s="60">
        <f>'DCWW Bryn Cowlyd'!V8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20" t="s">
        <v>3</v>
      </c>
      <c r="B9" s="120"/>
      <c r="C9" s="60" t="str">
        <f>'DCWW Bryn Cowlyd'!C9</f>
        <v>Moderate</v>
      </c>
      <c r="D9" s="60" t="str">
        <f>'DCWW Bryn Cowlyd'!D9</f>
        <v>Moderate</v>
      </c>
      <c r="E9" s="60" t="str">
        <f>'DCWW Bryn Cowlyd'!E9</f>
        <v>Moderate</v>
      </c>
      <c r="F9" s="60" t="str">
        <f>'DCWW Bryn Cowlyd'!F9</f>
        <v>Moderate</v>
      </c>
      <c r="G9" s="60" t="str">
        <f>'DCWW Bryn Cowlyd'!G9</f>
        <v>Moderate</v>
      </c>
      <c r="H9" s="60" t="str">
        <f>'DCWW Bryn Cowlyd'!H9</f>
        <v>Moderate</v>
      </c>
      <c r="I9" s="60" t="str">
        <f>'DCWW Bryn Cowlyd'!I9</f>
        <v>Moderate</v>
      </c>
      <c r="J9" s="60" t="str">
        <f>'DCWW Bryn Cowlyd'!J9</f>
        <v>Moderate</v>
      </c>
      <c r="K9" s="60" t="str">
        <f>'DCWW Bryn Cowlyd'!K9</f>
        <v>Moderate</v>
      </c>
      <c r="L9" s="60">
        <f>'DCWW Bryn Cowlyd'!L9</f>
        <v>0</v>
      </c>
      <c r="M9" s="60">
        <f>'DCWW Bryn Cowlyd'!M9</f>
        <v>0</v>
      </c>
      <c r="N9" s="60">
        <f>'DCWW Bryn Cowlyd'!N9</f>
        <v>0</v>
      </c>
      <c r="O9" s="60">
        <f>'DCWW Bryn Cowlyd'!O9</f>
        <v>0</v>
      </c>
      <c r="P9" s="60">
        <f>'DCWW Bryn Cowlyd'!P9</f>
        <v>0</v>
      </c>
      <c r="Q9" s="60">
        <f>'DCWW Bryn Cowlyd'!Q9</f>
        <v>0</v>
      </c>
      <c r="R9" s="60">
        <f>'DCWW Bryn Cowlyd'!R9</f>
        <v>0</v>
      </c>
      <c r="S9" s="60">
        <f>'DCWW Bryn Cowlyd'!S9</f>
        <v>0</v>
      </c>
      <c r="T9" s="60">
        <f>'DCWW Bryn Cowlyd'!T9</f>
        <v>0</v>
      </c>
      <c r="U9" s="60">
        <f>'DCWW Bryn Cowlyd'!U9</f>
        <v>0</v>
      </c>
      <c r="V9" s="60">
        <f>'DCWW Bryn Cowlyd'!V9</f>
        <v>0</v>
      </c>
      <c r="AB9" s="17"/>
      <c r="AC9" s="17"/>
      <c r="AD9" s="30" t="s">
        <v>137</v>
      </c>
      <c r="AE9" s="30">
        <v>4.5</v>
      </c>
      <c r="AF9" s="17"/>
      <c r="AG9" s="18"/>
      <c r="AH9" s="18"/>
      <c r="AI9" s="63" t="s">
        <v>103</v>
      </c>
      <c r="AJ9" s="64">
        <v>0.7</v>
      </c>
      <c r="AK9" s="65">
        <v>4</v>
      </c>
      <c r="AL9" s="29">
        <v>7</v>
      </c>
      <c r="AM9" s="11">
        <v>6.7</v>
      </c>
      <c r="AN9" s="11" t="s">
        <v>135</v>
      </c>
      <c r="AO9" s="98"/>
    </row>
    <row r="10" spans="1:41" x14ac:dyDescent="0.25">
      <c r="A10" s="120" t="s">
        <v>4</v>
      </c>
      <c r="B10" s="120"/>
      <c r="C10" s="60">
        <f>'DCWW Bryn Cowlyd'!C10</f>
        <v>5.6</v>
      </c>
      <c r="D10" s="60">
        <f>'DCWW Bryn Cowlyd'!D10</f>
        <v>5.7</v>
      </c>
      <c r="E10" s="60">
        <f>'DCWW Bryn Cowlyd'!E10</f>
        <v>6.8</v>
      </c>
      <c r="F10" s="60">
        <f>'DCWW Bryn Cowlyd'!F10</f>
        <v>6.4</v>
      </c>
      <c r="G10" s="60">
        <f>'DCWW Bryn Cowlyd'!G10</f>
        <v>6.2</v>
      </c>
      <c r="H10" s="60">
        <f>'DCWW Bryn Cowlyd'!H10</f>
        <v>6.2</v>
      </c>
      <c r="I10" s="60">
        <f>'DCWW Bryn Cowlyd'!I10</f>
        <v>6.1</v>
      </c>
      <c r="J10" s="60">
        <f>'DCWW Bryn Cowlyd'!J10</f>
        <v>6.2</v>
      </c>
      <c r="K10" s="60">
        <f>'DCWW Bryn Cowlyd'!K10</f>
        <v>6</v>
      </c>
      <c r="L10" s="60">
        <f>'DCWW Bryn Cowlyd'!L10</f>
        <v>0</v>
      </c>
      <c r="M10" s="60">
        <f>'DCWW Bryn Cowlyd'!M10</f>
        <v>0</v>
      </c>
      <c r="N10" s="60">
        <f>'DCWW Bryn Cowlyd'!N10</f>
        <v>0</v>
      </c>
      <c r="O10" s="60">
        <f>'DCWW Bryn Cowlyd'!O10</f>
        <v>0</v>
      </c>
      <c r="P10" s="60">
        <f>'DCWW Bryn Cowlyd'!P10</f>
        <v>0</v>
      </c>
      <c r="Q10" s="60">
        <f>'DCWW Bryn Cowlyd'!Q10</f>
        <v>0</v>
      </c>
      <c r="R10" s="60">
        <f>'DCWW Bryn Cowlyd'!R10</f>
        <v>0</v>
      </c>
      <c r="S10" s="60">
        <f>'DCWW Bryn Cowlyd'!S10</f>
        <v>0</v>
      </c>
      <c r="T10" s="60">
        <f>'DCWW Bryn Cowlyd'!T10</f>
        <v>0</v>
      </c>
      <c r="U10" s="60">
        <f>'DCWW Bryn Cowlyd'!U10</f>
        <v>0</v>
      </c>
      <c r="V10" s="60">
        <f>'DCWW Bryn Cowlyd'!V10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20" t="s">
        <v>5</v>
      </c>
      <c r="B11" s="120"/>
      <c r="C11" s="60">
        <f>'DCWW Bryn Cowlyd'!C11</f>
        <v>2</v>
      </c>
      <c r="D11" s="60">
        <f>'DCWW Bryn Cowlyd'!D11</f>
        <v>3</v>
      </c>
      <c r="E11" s="60">
        <f>'DCWW Bryn Cowlyd'!E11</f>
        <v>1</v>
      </c>
      <c r="F11" s="60">
        <f>'DCWW Bryn Cowlyd'!F11</f>
        <v>3</v>
      </c>
      <c r="G11" s="60">
        <f>'DCWW Bryn Cowlyd'!G11</f>
        <v>1</v>
      </c>
      <c r="H11" s="60">
        <f>'DCWW Bryn Cowlyd'!H11</f>
        <v>1</v>
      </c>
      <c r="I11" s="60">
        <f>'DCWW Bryn Cowlyd'!I11</f>
        <v>2</v>
      </c>
      <c r="J11" s="60">
        <f>'DCWW Bryn Cowlyd'!J11</f>
        <v>1</v>
      </c>
      <c r="K11" s="60">
        <f>'DCWW Bryn Cowlyd'!K11</f>
        <v>1</v>
      </c>
      <c r="L11" s="60">
        <f>'DCWW Bryn Cowlyd'!L11</f>
        <v>0</v>
      </c>
      <c r="M11" s="60">
        <f>'DCWW Bryn Cowlyd'!M11</f>
        <v>0</v>
      </c>
      <c r="N11" s="60">
        <f>'DCWW Bryn Cowlyd'!N11</f>
        <v>0</v>
      </c>
      <c r="O11" s="60">
        <f>'DCWW Bryn Cowlyd'!O11</f>
        <v>0</v>
      </c>
      <c r="P11" s="60">
        <f>'DCWW Bryn Cowlyd'!P11</f>
        <v>0</v>
      </c>
      <c r="Q11" s="60">
        <f>'DCWW Bryn Cowlyd'!Q11</f>
        <v>0</v>
      </c>
      <c r="R11" s="60">
        <f>'DCWW Bryn Cowlyd'!R11</f>
        <v>0</v>
      </c>
      <c r="S11" s="60">
        <f>'DCWW Bryn Cowlyd'!S11</f>
        <v>0</v>
      </c>
      <c r="T11" s="60">
        <f>'DCWW Bryn Cowlyd'!T11</f>
        <v>0</v>
      </c>
      <c r="U11" s="60">
        <f>'DCWW Bryn Cowlyd'!U11</f>
        <v>0</v>
      </c>
      <c r="V11" s="60">
        <f>'DCWW Bryn Cowlyd'!V11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20" t="s">
        <v>6</v>
      </c>
      <c r="B12" s="120"/>
      <c r="C12" s="60">
        <f>'DCWW Bryn Cowlyd'!C12</f>
        <v>2</v>
      </c>
      <c r="D12" s="60">
        <f>'DCWW Bryn Cowlyd'!D12</f>
        <v>2</v>
      </c>
      <c r="E12" s="60">
        <f>'DCWW Bryn Cowlyd'!E12</f>
        <v>1</v>
      </c>
      <c r="F12" s="60">
        <f>'DCWW Bryn Cowlyd'!F12</f>
        <v>2</v>
      </c>
      <c r="G12" s="60">
        <f>'DCWW Bryn Cowlyd'!G12</f>
        <v>1</v>
      </c>
      <c r="H12" s="60">
        <f>'DCWW Bryn Cowlyd'!H12</f>
        <v>0</v>
      </c>
      <c r="I12" s="60">
        <f>'DCWW Bryn Cowlyd'!I12</f>
        <v>1</v>
      </c>
      <c r="J12" s="60">
        <f>'DCWW Bryn Cowlyd'!J12</f>
        <v>0</v>
      </c>
      <c r="K12" s="60">
        <f>'DCWW Bryn Cowlyd'!K12</f>
        <v>0</v>
      </c>
      <c r="L12" s="60">
        <f>'DCWW Bryn Cowlyd'!L12</f>
        <v>0</v>
      </c>
      <c r="M12" s="60">
        <f>'DCWW Bryn Cowlyd'!M12</f>
        <v>0</v>
      </c>
      <c r="N12" s="60">
        <f>'DCWW Bryn Cowlyd'!N12</f>
        <v>0</v>
      </c>
      <c r="O12" s="60">
        <f>'DCWW Bryn Cowlyd'!O12</f>
        <v>0</v>
      </c>
      <c r="P12" s="60">
        <f>'DCWW Bryn Cowlyd'!P12</f>
        <v>0</v>
      </c>
      <c r="Q12" s="60">
        <f>'DCWW Bryn Cowlyd'!Q12</f>
        <v>0</v>
      </c>
      <c r="R12" s="60">
        <f>'DCWW Bryn Cowlyd'!R12</f>
        <v>0</v>
      </c>
      <c r="S12" s="60">
        <f>'DCWW Bryn Cowlyd'!S12</f>
        <v>0</v>
      </c>
      <c r="T12" s="60">
        <f>'DCWW Bryn Cowlyd'!T12</f>
        <v>0</v>
      </c>
      <c r="U12" s="60">
        <f>'DCWW Bryn Cowlyd'!U12</f>
        <v>0</v>
      </c>
      <c r="V12" s="60">
        <f>'DCWW Bryn Cowlyd'!V12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20" t="s">
        <v>7</v>
      </c>
      <c r="B13" s="120"/>
      <c r="C13" s="60">
        <f>'DCWW Bryn Cowlyd'!C13</f>
        <v>2</v>
      </c>
      <c r="D13" s="60">
        <f>'DCWW Bryn Cowlyd'!D13</f>
        <v>2</v>
      </c>
      <c r="E13" s="60">
        <f>'DCWW Bryn Cowlyd'!E13</f>
        <v>2</v>
      </c>
      <c r="F13" s="60">
        <f>'DCWW Bryn Cowlyd'!F13</f>
        <v>3</v>
      </c>
      <c r="G13" s="60">
        <f>'DCWW Bryn Cowlyd'!G13</f>
        <v>2</v>
      </c>
      <c r="H13" s="60">
        <f>'DCWW Bryn Cowlyd'!H13</f>
        <v>2</v>
      </c>
      <c r="I13" s="60">
        <f>'DCWW Bryn Cowlyd'!I13</f>
        <v>2</v>
      </c>
      <c r="J13" s="60">
        <f>'DCWW Bryn Cowlyd'!J13</f>
        <v>2</v>
      </c>
      <c r="K13" s="60">
        <f>'DCWW Bryn Cowlyd'!K13</f>
        <v>2</v>
      </c>
      <c r="L13" s="60">
        <f>'DCWW Bryn Cowlyd'!L13</f>
        <v>0</v>
      </c>
      <c r="M13" s="60">
        <f>'DCWW Bryn Cowlyd'!M13</f>
        <v>0</v>
      </c>
      <c r="N13" s="60">
        <f>'DCWW Bryn Cowlyd'!N13</f>
        <v>0</v>
      </c>
      <c r="O13" s="60">
        <f>'DCWW Bryn Cowlyd'!O13</f>
        <v>0</v>
      </c>
      <c r="P13" s="60">
        <f>'DCWW Bryn Cowlyd'!P13</f>
        <v>0</v>
      </c>
      <c r="Q13" s="60">
        <f>'DCWW Bryn Cowlyd'!Q13</f>
        <v>0</v>
      </c>
      <c r="R13" s="60">
        <f>'DCWW Bryn Cowlyd'!R13</f>
        <v>0</v>
      </c>
      <c r="S13" s="60">
        <f>'DCWW Bryn Cowlyd'!S13</f>
        <v>0</v>
      </c>
      <c r="T13" s="60">
        <f>'DCWW Bryn Cowlyd'!T13</f>
        <v>0</v>
      </c>
      <c r="U13" s="60">
        <f>'DCWW Bryn Cowlyd'!U13</f>
        <v>0</v>
      </c>
      <c r="V13" s="60">
        <f>'DCWW Bryn Cowlyd'!V13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2" t="s">
        <v>8</v>
      </c>
      <c r="B14" s="132"/>
      <c r="C14" s="101" t="str">
        <f>'DCWW Bryn Cowlyd'!C14</f>
        <v xml:space="preserve">Grass Silage (25% DM) </v>
      </c>
      <c r="D14" s="101" t="str">
        <f>'DCWW Bryn Cowlyd'!D14</f>
        <v xml:space="preserve">Grass Silage (25% DM) </v>
      </c>
      <c r="E14" s="101" t="str">
        <f>'DCWW Bryn Cowlyd'!E14</f>
        <v xml:space="preserve">Grass Silage (25% DM) </v>
      </c>
      <c r="F14" s="101" t="str">
        <f>'DCWW Bryn Cowlyd'!F14</f>
        <v xml:space="preserve">Grass Silage (25% DM) </v>
      </c>
      <c r="G14" s="101" t="str">
        <f>'DCWW Bryn Cowlyd'!G14</f>
        <v xml:space="preserve">Grass Silage (25% DM) </v>
      </c>
      <c r="H14" s="101" t="str">
        <f>'DCWW Bryn Cowlyd'!H14</f>
        <v xml:space="preserve">Grass Silage (25% DM) </v>
      </c>
      <c r="I14" s="101" t="str">
        <f>'DCWW Bryn Cowlyd'!I14</f>
        <v xml:space="preserve">Grass Silage (25% DM) </v>
      </c>
      <c r="J14" s="101" t="str">
        <f>'DCWW Bryn Cowlyd'!J14</f>
        <v xml:space="preserve">Grass Silage (25% DM) </v>
      </c>
      <c r="K14" s="101" t="str">
        <f>'DCWW Bryn Cowlyd'!K14</f>
        <v xml:space="preserve">Grass Silage (25% DM) </v>
      </c>
      <c r="L14" s="101">
        <f>'DCWW Bryn Cowlyd'!L14</f>
        <v>0</v>
      </c>
      <c r="M14" s="101">
        <f>'DCWW Bryn Cowlyd'!M14</f>
        <v>0</v>
      </c>
      <c r="N14" s="101">
        <f>'DCWW Bryn Cowlyd'!N14</f>
        <v>0</v>
      </c>
      <c r="O14" s="101">
        <f>'DCWW Bryn Cowlyd'!O14</f>
        <v>0</v>
      </c>
      <c r="P14" s="101">
        <f>'DCWW Bryn Cowlyd'!P14</f>
        <v>0</v>
      </c>
      <c r="Q14" s="101">
        <f>'DCWW Bryn Cowlyd'!Q14</f>
        <v>0</v>
      </c>
      <c r="R14" s="101">
        <f>'DCWW Bryn Cowlyd'!R14</f>
        <v>0</v>
      </c>
      <c r="S14" s="101">
        <f>'DCWW Bryn Cowlyd'!S14</f>
        <v>0</v>
      </c>
      <c r="T14" s="101">
        <f>'DCWW Bryn Cowlyd'!T14</f>
        <v>0</v>
      </c>
      <c r="U14" s="101">
        <f>'DCWW Bryn Cowlyd'!U14</f>
        <v>0</v>
      </c>
      <c r="V14" s="101">
        <f>'DCWW Bryn Cowlyd'!V14</f>
        <v>0</v>
      </c>
      <c r="AD14" s="30" t="s">
        <v>138</v>
      </c>
      <c r="AE14" s="30">
        <v>6</v>
      </c>
      <c r="AI14" s="53" t="s">
        <v>119</v>
      </c>
      <c r="AJ14" s="54">
        <v>0.8</v>
      </c>
      <c r="AK14" s="55">
        <v>1.7</v>
      </c>
      <c r="AL14" s="11">
        <v>12</v>
      </c>
      <c r="AM14" s="11">
        <v>6.7</v>
      </c>
      <c r="AN14" s="11" t="s">
        <v>135</v>
      </c>
    </row>
    <row r="15" spans="1:41" x14ac:dyDescent="0.25">
      <c r="A15" s="131" t="s">
        <v>9</v>
      </c>
      <c r="B15" s="131"/>
      <c r="C15" s="60">
        <f>'DCWW Bryn Cowlyd'!C15</f>
        <v>38</v>
      </c>
      <c r="D15" s="60">
        <f>'DCWW Bryn Cowlyd'!D15</f>
        <v>38</v>
      </c>
      <c r="E15" s="60">
        <f>'DCWW Bryn Cowlyd'!E15</f>
        <v>38</v>
      </c>
      <c r="F15" s="60">
        <f>'DCWW Bryn Cowlyd'!F15</f>
        <v>38</v>
      </c>
      <c r="G15" s="60">
        <f>'DCWW Bryn Cowlyd'!G15</f>
        <v>38</v>
      </c>
      <c r="H15" s="60">
        <f>'DCWW Bryn Cowlyd'!H15</f>
        <v>38</v>
      </c>
      <c r="I15" s="60">
        <f>'DCWW Bryn Cowlyd'!I15</f>
        <v>38</v>
      </c>
      <c r="J15" s="60">
        <f>'DCWW Bryn Cowlyd'!J15</f>
        <v>38</v>
      </c>
      <c r="K15" s="60">
        <f>'DCWW Bryn Cowlyd'!K15</f>
        <v>38</v>
      </c>
      <c r="L15" s="60">
        <f>'DCWW Bryn Cowlyd'!L15</f>
        <v>0</v>
      </c>
      <c r="M15" s="60">
        <f>'DCWW Bryn Cowlyd'!M15</f>
        <v>0</v>
      </c>
      <c r="N15" s="60">
        <f>'DCWW Bryn Cowlyd'!N15</f>
        <v>0</v>
      </c>
      <c r="O15" s="60">
        <f>'DCWW Bryn Cowlyd'!O15</f>
        <v>0</v>
      </c>
      <c r="P15" s="60">
        <f>'DCWW Bryn Cowlyd'!P15</f>
        <v>0</v>
      </c>
      <c r="Q15" s="60">
        <f>'DCWW Bryn Cowlyd'!Q15</f>
        <v>0</v>
      </c>
      <c r="R15" s="60">
        <f>'DCWW Bryn Cowlyd'!R15</f>
        <v>0</v>
      </c>
      <c r="S15" s="60">
        <f>'DCWW Bryn Cowlyd'!S15</f>
        <v>0</v>
      </c>
      <c r="T15" s="60">
        <f>'DCWW Bryn Cowlyd'!T15</f>
        <v>0</v>
      </c>
      <c r="U15" s="60">
        <f>'DCWW Bryn Cowlyd'!U15</f>
        <v>0</v>
      </c>
      <c r="V15" s="60">
        <f>'DCWW Bryn Cowlyd'!V15</f>
        <v>0</v>
      </c>
      <c r="AD15" s="30" t="s">
        <v>144</v>
      </c>
      <c r="AE15" s="30">
        <v>7</v>
      </c>
      <c r="AI15" s="53" t="s">
        <v>101</v>
      </c>
      <c r="AJ15" s="62">
        <v>1.8</v>
      </c>
      <c r="AK15" s="55">
        <v>5.4</v>
      </c>
      <c r="AL15" s="11">
        <v>13</v>
      </c>
      <c r="AM15" s="11">
        <v>6.7</v>
      </c>
      <c r="AN15" s="11" t="s">
        <v>135</v>
      </c>
    </row>
    <row r="16" spans="1:41" ht="13.8" thickBot="1" x14ac:dyDescent="0.3">
      <c r="A16" s="133" t="s">
        <v>44</v>
      </c>
      <c r="B16" s="133"/>
      <c r="C16" s="102" t="str">
        <f>'DCWW Bryn Cowlyd'!C16</f>
        <v>Medium/Clay</v>
      </c>
      <c r="D16" s="102" t="str">
        <f>'DCWW Bryn Cowlyd'!D16</f>
        <v>Medium/Clay</v>
      </c>
      <c r="E16" s="102" t="str">
        <f>'DCWW Bryn Cowlyd'!E16</f>
        <v>Medium/Clay</v>
      </c>
      <c r="F16" s="102" t="str">
        <f>'DCWW Bryn Cowlyd'!F16</f>
        <v>Medium/Clay</v>
      </c>
      <c r="G16" s="102" t="str">
        <f>'DCWW Bryn Cowlyd'!G16</f>
        <v>Medium/Clay</v>
      </c>
      <c r="H16" s="102" t="str">
        <f>'DCWW Bryn Cowlyd'!H16</f>
        <v>Medium/Clay</v>
      </c>
      <c r="I16" s="102" t="str">
        <f>'DCWW Bryn Cowlyd'!I16</f>
        <v>Medium/Clay</v>
      </c>
      <c r="J16" s="102" t="str">
        <f>'DCWW Bryn Cowlyd'!J16</f>
        <v>Medium/Clay</v>
      </c>
      <c r="K16" s="102" t="str">
        <f>'DCWW Bryn Cowlyd'!K16</f>
        <v>Medium/Clay</v>
      </c>
      <c r="L16" s="102">
        <f>'DCWW Bryn Cowlyd'!L16</f>
        <v>0</v>
      </c>
      <c r="M16" s="102">
        <f>'DCWW Bryn Cowlyd'!M16</f>
        <v>0</v>
      </c>
      <c r="N16" s="102">
        <f>'DCWW Bryn Cowlyd'!N16</f>
        <v>0</v>
      </c>
      <c r="O16" s="102">
        <f>'DCWW Bryn Cowlyd'!O16</f>
        <v>0</v>
      </c>
      <c r="P16" s="102">
        <f>'DCWW Bryn Cowlyd'!P16</f>
        <v>0</v>
      </c>
      <c r="Q16" s="102">
        <f>'DCWW Bryn Cowlyd'!Q16</f>
        <v>0</v>
      </c>
      <c r="R16" s="102">
        <f>'DCWW Bryn Cowlyd'!R16</f>
        <v>0</v>
      </c>
      <c r="S16" s="102">
        <f>'DCWW Bryn Cowlyd'!S16</f>
        <v>0</v>
      </c>
      <c r="T16" s="102">
        <f>'DCWW Bryn Cowlyd'!T16</f>
        <v>0</v>
      </c>
      <c r="U16" s="102">
        <f>'DCWW Bryn Cowlyd'!U16</f>
        <v>0</v>
      </c>
      <c r="V16" s="102">
        <f>'DCWW Bryn Cowlyd'!V16</f>
        <v>0</v>
      </c>
      <c r="AD16" s="52" t="s">
        <v>145</v>
      </c>
      <c r="AE16" s="30">
        <v>8</v>
      </c>
      <c r="AI16" s="53" t="s">
        <v>118</v>
      </c>
      <c r="AJ16" s="54">
        <v>8</v>
      </c>
      <c r="AK16" s="55">
        <v>5.5</v>
      </c>
      <c r="AL16" s="12">
        <v>14</v>
      </c>
      <c r="AM16" s="11">
        <v>6.7</v>
      </c>
      <c r="AN16" s="11" t="s">
        <v>135</v>
      </c>
    </row>
    <row r="17" spans="1:40" x14ac:dyDescent="0.25">
      <c r="A17" s="123" t="s">
        <v>69</v>
      </c>
      <c r="B17" s="12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5" t="s">
        <v>23</v>
      </c>
      <c r="B18" s="126"/>
      <c r="C18" s="16">
        <f>$D31</f>
        <v>0</v>
      </c>
      <c r="D18" s="16">
        <f>$D32</f>
        <v>0</v>
      </c>
      <c r="E18" s="16">
        <f>$D33</f>
        <v>66.084467750000002</v>
      </c>
      <c r="F18" s="16">
        <f>$D34</f>
        <v>64.762778394999998</v>
      </c>
      <c r="G18" s="16">
        <f>$D35</f>
        <v>66.084467750000002</v>
      </c>
      <c r="H18" s="16">
        <f>$D36</f>
        <v>66.084467750000002</v>
      </c>
      <c r="I18" s="16">
        <f>$D37</f>
        <v>64.762778394999998</v>
      </c>
      <c r="J18" s="16">
        <f>$D38</f>
        <v>66.084467750000002</v>
      </c>
      <c r="K18" s="16">
        <f>$D39</f>
        <v>66.084467750000002</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5" t="s">
        <v>90</v>
      </c>
      <c r="B19" s="126"/>
      <c r="C19" s="16">
        <f>C18-C17</f>
        <v>-64.599999999999994</v>
      </c>
      <c r="D19" s="16">
        <f t="shared" ref="D19:V19" si="1">D18-D17</f>
        <v>-64.599999999999994</v>
      </c>
      <c r="E19" s="16">
        <f t="shared" si="1"/>
        <v>1.4844677500000074</v>
      </c>
      <c r="F19" s="16">
        <f t="shared" si="1"/>
        <v>0.16277839500000368</v>
      </c>
      <c r="G19" s="16">
        <f t="shared" si="1"/>
        <v>1.4844677500000074</v>
      </c>
      <c r="H19" s="16">
        <f t="shared" si="1"/>
        <v>1.4844677500000074</v>
      </c>
      <c r="I19" s="16">
        <f t="shared" si="1"/>
        <v>0.16277839500000368</v>
      </c>
      <c r="J19" s="16">
        <f t="shared" si="1"/>
        <v>1.4844677500000074</v>
      </c>
      <c r="K19" s="16">
        <f t="shared" si="1"/>
        <v>1.4844677500000074</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27" t="s">
        <v>91</v>
      </c>
      <c r="B20" s="128"/>
      <c r="C20" s="26" t="str">
        <f>IF($B31="","",IF(C$19&gt;=0,"INCREASE","DECREASE"))</f>
        <v>DECREASE</v>
      </c>
      <c r="D20" s="26" t="str">
        <f>IF($B32="","",IF(D$19&gt;=0,"INCREASE","DECREASE"))</f>
        <v>DECREASE</v>
      </c>
      <c r="E20" s="26" t="str">
        <f>IF($B33="","",IF(E$19&gt;=0,"INCREASE","DECREASE"))</f>
        <v>INCREASE</v>
      </c>
      <c r="F20" s="26" t="str">
        <f>IF($B34="","",IF(F$19&gt;=0,"INCREASE","DECREASE"))</f>
        <v>INCREASE</v>
      </c>
      <c r="G20" s="26" t="str">
        <f>IF($B35="","",IF(G$19&gt;=0,"INCREASE","DECREASE"))</f>
        <v>INCREASE</v>
      </c>
      <c r="H20" s="26" t="str">
        <f>IF($B36="","",IF(H$19&gt;=0,"INCREASE","DECREASE"))</f>
        <v>INCREASE</v>
      </c>
      <c r="I20" s="26" t="str">
        <f>IF($B37="","",IF(I$19&gt;=0,"INCREASE","DECREASE"))</f>
        <v>INCREASE</v>
      </c>
      <c r="J20" s="26" t="str">
        <f>IF($B38="","",IF(J$19&gt;=0,"INCREASE","DECREASE"))</f>
        <v>INCREASE</v>
      </c>
      <c r="K20" s="26" t="str">
        <f>IF($B39="","",IF(K$19&gt;=0,"INCREASE","DECREASE"))</f>
        <v>INCREASE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3" t="s">
        <v>88</v>
      </c>
      <c r="B21" s="12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5" t="s">
        <v>89</v>
      </c>
      <c r="B22" s="126"/>
      <c r="C22" s="16">
        <f>$E31</f>
        <v>0</v>
      </c>
      <c r="D22" s="16">
        <f>$E32</f>
        <v>0</v>
      </c>
      <c r="E22" s="16">
        <f>$E33</f>
        <v>1.1430027500000002</v>
      </c>
      <c r="F22" s="16">
        <f>$E34</f>
        <v>1.1201426950000002</v>
      </c>
      <c r="G22" s="16">
        <f>$E35</f>
        <v>1.1430027500000002</v>
      </c>
      <c r="H22" s="16">
        <f>$E36</f>
        <v>1.1430027500000002</v>
      </c>
      <c r="I22" s="16">
        <f>$E37</f>
        <v>1.1201426950000002</v>
      </c>
      <c r="J22" s="16">
        <f>$E38</f>
        <v>1.1430027500000002</v>
      </c>
      <c r="K22" s="16">
        <f>$E39</f>
        <v>1.1430027500000002</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5" t="s">
        <v>92</v>
      </c>
      <c r="B23" s="126"/>
      <c r="C23" s="16">
        <f>C22-C21</f>
        <v>-228</v>
      </c>
      <c r="D23" s="16">
        <f t="shared" ref="D23:V23" si="3">D22-D21</f>
        <v>-228</v>
      </c>
      <c r="E23" s="16">
        <f t="shared" si="3"/>
        <v>-226.85699725000001</v>
      </c>
      <c r="F23" s="16">
        <f t="shared" si="3"/>
        <v>-226.879857305</v>
      </c>
      <c r="G23" s="16">
        <f t="shared" si="3"/>
        <v>-226.85699725000001</v>
      </c>
      <c r="H23" s="16">
        <f t="shared" si="3"/>
        <v>-226.85699725000001</v>
      </c>
      <c r="I23" s="16">
        <f t="shared" si="3"/>
        <v>-226.879857305</v>
      </c>
      <c r="J23" s="16">
        <f t="shared" si="3"/>
        <v>-226.85699725000001</v>
      </c>
      <c r="K23" s="16">
        <f t="shared" si="3"/>
        <v>-226.85699725000001</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27" t="s">
        <v>93</v>
      </c>
      <c r="B24" s="128"/>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8" t="s">
        <v>116</v>
      </c>
      <c r="AJ26" s="69">
        <v>0.7</v>
      </c>
      <c r="AK26" s="70">
        <v>2.4</v>
      </c>
      <c r="AL26" s="29">
        <v>24</v>
      </c>
      <c r="AM26" s="10">
        <v>6.7</v>
      </c>
      <c r="AN26" s="11" t="s">
        <v>135</v>
      </c>
    </row>
    <row r="27" spans="1:40" s="57" customFormat="1" x14ac:dyDescent="0.3">
      <c r="A27" s="105"/>
      <c r="B27" s="71"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t="s">
        <v>55</v>
      </c>
      <c r="S27" s="106" t="s">
        <v>55</v>
      </c>
      <c r="T27" s="106"/>
      <c r="U27" s="106"/>
    </row>
    <row r="28" spans="1:40" s="57" customFormat="1" x14ac:dyDescent="0.3">
      <c r="A28" s="107"/>
      <c r="B28" s="24">
        <v>3.11</v>
      </c>
      <c r="C28" s="15">
        <v>0.93500000000000005</v>
      </c>
      <c r="D28" s="15">
        <v>0.371</v>
      </c>
      <c r="E28" s="15">
        <v>1.2200000000000001E-2</v>
      </c>
      <c r="F28" s="15">
        <v>669</v>
      </c>
      <c r="G28" s="15">
        <v>76.400000000000006</v>
      </c>
      <c r="H28" s="15">
        <v>141</v>
      </c>
      <c r="I28" s="15">
        <v>4.16</v>
      </c>
      <c r="J28" s="15">
        <v>0.44</v>
      </c>
      <c r="K28" s="23">
        <v>0.64</v>
      </c>
      <c r="L28" s="15">
        <v>5.0999999999999996</v>
      </c>
      <c r="M28" s="15">
        <v>2.1800000000000002</v>
      </c>
      <c r="N28" s="15">
        <v>195000</v>
      </c>
      <c r="O28" s="15"/>
      <c r="P28" s="15"/>
      <c r="Q28" s="15">
        <v>6720</v>
      </c>
      <c r="R28" s="15"/>
      <c r="S28" s="15">
        <v>20.6</v>
      </c>
      <c r="T28" s="15"/>
      <c r="U28" s="15"/>
    </row>
    <row r="29" spans="1:40" s="7" customFormat="1" ht="28.8" x14ac:dyDescent="0.3">
      <c r="A29" s="12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3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f>C8</f>
        <v>1</v>
      </c>
      <c r="B31" s="15">
        <v>0</v>
      </c>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f>D8</f>
        <v>2</v>
      </c>
      <c r="B32" s="15">
        <v>0</v>
      </c>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3">
      <c r="A33" s="13">
        <f>E8</f>
        <v>3</v>
      </c>
      <c r="B33" s="15">
        <v>250</v>
      </c>
      <c r="C33" s="77">
        <f t="shared" si="6"/>
        <v>72.696250000000006</v>
      </c>
      <c r="D33" s="77">
        <f t="shared" si="7"/>
        <v>66.084467750000002</v>
      </c>
      <c r="E33" s="77">
        <f t="shared" si="8"/>
        <v>1.1430027500000002</v>
      </c>
      <c r="F33" s="77">
        <f t="shared" si="9"/>
        <v>8.6240455499999999</v>
      </c>
      <c r="G33" s="77">
        <f t="shared" si="5"/>
        <v>0.59401000000000004</v>
      </c>
      <c r="H33" s="77">
        <f t="shared" si="5"/>
        <v>1.0962750000000001</v>
      </c>
      <c r="I33" s="77">
        <f t="shared" si="5"/>
        <v>3.2343999999999998E-2</v>
      </c>
      <c r="J33" s="77">
        <f t="shared" si="5"/>
        <v>3.421E-3</v>
      </c>
      <c r="K33" s="77">
        <f t="shared" si="5"/>
        <v>4.9760000000000004E-3</v>
      </c>
      <c r="L33" s="77">
        <f t="shared" si="5"/>
        <v>3.9652499999999993E-2</v>
      </c>
      <c r="M33" s="77">
        <f t="shared" si="5"/>
        <v>1.6949499999999999E-2</v>
      </c>
      <c r="N33" s="77">
        <f t="shared" si="5"/>
        <v>1516.125</v>
      </c>
      <c r="O33" s="77">
        <f t="shared" si="5"/>
        <v>0</v>
      </c>
      <c r="P33" s="77">
        <f t="shared" si="5"/>
        <v>0</v>
      </c>
      <c r="Q33" s="77">
        <f t="shared" si="10"/>
        <v>130.62</v>
      </c>
      <c r="R33" s="77">
        <f t="shared" si="11"/>
        <v>0</v>
      </c>
      <c r="S33" s="77">
        <f t="shared" si="11"/>
        <v>0.160165</v>
      </c>
      <c r="T33" s="77">
        <f t="shared" si="11"/>
        <v>0</v>
      </c>
      <c r="U33" s="77">
        <f t="shared" si="11"/>
        <v>0</v>
      </c>
      <c r="AB33" s="59"/>
      <c r="AC33" s="59"/>
      <c r="AD33" s="59"/>
      <c r="AE33" s="59"/>
      <c r="AF33" s="59"/>
      <c r="AG33" s="59"/>
      <c r="AH33" s="59"/>
      <c r="AI33" s="59"/>
    </row>
    <row r="34" spans="1:35" s="72" customFormat="1" x14ac:dyDescent="0.3">
      <c r="A34" s="13">
        <f>F8</f>
        <v>4</v>
      </c>
      <c r="B34" s="15">
        <v>245</v>
      </c>
      <c r="C34" s="77">
        <f t="shared" si="6"/>
        <v>71.242325000000008</v>
      </c>
      <c r="D34" s="77">
        <f t="shared" si="7"/>
        <v>64.762778394999998</v>
      </c>
      <c r="E34" s="77">
        <f t="shared" si="8"/>
        <v>1.1201426950000002</v>
      </c>
      <c r="F34" s="77">
        <f t="shared" si="9"/>
        <v>8.4515646390000008</v>
      </c>
      <c r="G34" s="77">
        <f t="shared" si="5"/>
        <v>0.58212980000000003</v>
      </c>
      <c r="H34" s="77">
        <f t="shared" si="5"/>
        <v>1.0743495000000001</v>
      </c>
      <c r="I34" s="77">
        <f t="shared" si="5"/>
        <v>3.1697120000000002E-2</v>
      </c>
      <c r="J34" s="77">
        <f t="shared" si="5"/>
        <v>3.35258E-3</v>
      </c>
      <c r="K34" s="77">
        <f t="shared" si="5"/>
        <v>4.8764799999999999E-3</v>
      </c>
      <c r="L34" s="77">
        <f t="shared" si="5"/>
        <v>3.8859449999999997E-2</v>
      </c>
      <c r="M34" s="77">
        <f t="shared" si="5"/>
        <v>1.6610510000000002E-2</v>
      </c>
      <c r="N34" s="77">
        <f t="shared" si="5"/>
        <v>1485.8025</v>
      </c>
      <c r="O34" s="77">
        <f t="shared" si="5"/>
        <v>0</v>
      </c>
      <c r="P34" s="77">
        <f t="shared" si="5"/>
        <v>0</v>
      </c>
      <c r="Q34" s="77">
        <f t="shared" si="10"/>
        <v>128.0076</v>
      </c>
      <c r="R34" s="77">
        <f t="shared" si="11"/>
        <v>0</v>
      </c>
      <c r="S34" s="77">
        <f t="shared" si="11"/>
        <v>0.15696170000000001</v>
      </c>
      <c r="T34" s="77">
        <f t="shared" si="11"/>
        <v>0</v>
      </c>
      <c r="U34" s="77">
        <f t="shared" si="11"/>
        <v>0</v>
      </c>
      <c r="AB34" s="59"/>
      <c r="AC34" s="59"/>
      <c r="AD34" s="59"/>
      <c r="AE34" s="59"/>
      <c r="AF34" s="59"/>
      <c r="AG34" s="59"/>
      <c r="AH34" s="59"/>
      <c r="AI34" s="59"/>
    </row>
    <row r="35" spans="1:35" s="72" customFormat="1" x14ac:dyDescent="0.3">
      <c r="A35" s="13">
        <f>G8</f>
        <v>7</v>
      </c>
      <c r="B35" s="15">
        <v>250</v>
      </c>
      <c r="C35" s="77">
        <f t="shared" si="6"/>
        <v>72.696250000000006</v>
      </c>
      <c r="D35" s="77">
        <f t="shared" si="7"/>
        <v>66.084467750000002</v>
      </c>
      <c r="E35" s="77">
        <f t="shared" si="8"/>
        <v>1.1430027500000002</v>
      </c>
      <c r="F35" s="77">
        <f t="shared" si="9"/>
        <v>8.6240455499999999</v>
      </c>
      <c r="G35" s="77">
        <f t="shared" si="5"/>
        <v>0.59401000000000004</v>
      </c>
      <c r="H35" s="77">
        <f t="shared" si="5"/>
        <v>1.0962750000000001</v>
      </c>
      <c r="I35" s="77">
        <f t="shared" si="5"/>
        <v>3.2343999999999998E-2</v>
      </c>
      <c r="J35" s="77">
        <f t="shared" si="5"/>
        <v>3.421E-3</v>
      </c>
      <c r="K35" s="77">
        <f t="shared" si="5"/>
        <v>4.9760000000000004E-3</v>
      </c>
      <c r="L35" s="77">
        <f t="shared" si="5"/>
        <v>3.9652499999999993E-2</v>
      </c>
      <c r="M35" s="77">
        <f t="shared" si="5"/>
        <v>1.6949499999999999E-2</v>
      </c>
      <c r="N35" s="77">
        <f t="shared" si="5"/>
        <v>1516.125</v>
      </c>
      <c r="O35" s="77">
        <f t="shared" si="5"/>
        <v>0</v>
      </c>
      <c r="P35" s="77">
        <f t="shared" si="5"/>
        <v>0</v>
      </c>
      <c r="Q35" s="77">
        <f t="shared" si="10"/>
        <v>130.62</v>
      </c>
      <c r="R35" s="77">
        <f t="shared" si="11"/>
        <v>0</v>
      </c>
      <c r="S35" s="77">
        <f t="shared" si="11"/>
        <v>0.160165</v>
      </c>
      <c r="T35" s="77">
        <f t="shared" si="11"/>
        <v>0</v>
      </c>
      <c r="U35" s="77">
        <f t="shared" si="11"/>
        <v>0</v>
      </c>
      <c r="AB35" s="59"/>
      <c r="AC35" s="59"/>
      <c r="AD35" s="59"/>
      <c r="AE35" s="59"/>
      <c r="AF35" s="59"/>
      <c r="AG35" s="59"/>
      <c r="AH35" s="59"/>
      <c r="AI35" s="59"/>
    </row>
    <row r="36" spans="1:35" s="72" customFormat="1" x14ac:dyDescent="0.3">
      <c r="A36" s="13">
        <f>H8</f>
        <v>8</v>
      </c>
      <c r="B36" s="15">
        <v>250</v>
      </c>
      <c r="C36" s="77">
        <f t="shared" si="6"/>
        <v>72.696250000000006</v>
      </c>
      <c r="D36" s="77">
        <f t="shared" si="7"/>
        <v>66.084467750000002</v>
      </c>
      <c r="E36" s="77">
        <f t="shared" si="8"/>
        <v>1.1430027500000002</v>
      </c>
      <c r="F36" s="77">
        <f t="shared" si="9"/>
        <v>8.6240455499999999</v>
      </c>
      <c r="G36" s="77">
        <f t="shared" si="5"/>
        <v>0.59401000000000004</v>
      </c>
      <c r="H36" s="77">
        <f t="shared" si="5"/>
        <v>1.0962750000000001</v>
      </c>
      <c r="I36" s="77">
        <f t="shared" si="5"/>
        <v>3.2343999999999998E-2</v>
      </c>
      <c r="J36" s="77">
        <f t="shared" si="5"/>
        <v>3.421E-3</v>
      </c>
      <c r="K36" s="77">
        <f t="shared" si="5"/>
        <v>4.9760000000000004E-3</v>
      </c>
      <c r="L36" s="77">
        <f t="shared" si="5"/>
        <v>3.9652499999999993E-2</v>
      </c>
      <c r="M36" s="77">
        <f t="shared" si="5"/>
        <v>1.6949499999999999E-2</v>
      </c>
      <c r="N36" s="77">
        <f t="shared" si="5"/>
        <v>1516.125</v>
      </c>
      <c r="O36" s="77">
        <f t="shared" si="5"/>
        <v>0</v>
      </c>
      <c r="P36" s="77">
        <f t="shared" si="5"/>
        <v>0</v>
      </c>
      <c r="Q36" s="77">
        <f t="shared" si="10"/>
        <v>130.62</v>
      </c>
      <c r="R36" s="77">
        <f t="shared" si="11"/>
        <v>0</v>
      </c>
      <c r="S36" s="77">
        <f t="shared" si="11"/>
        <v>0.160165</v>
      </c>
      <c r="T36" s="77">
        <f t="shared" si="11"/>
        <v>0</v>
      </c>
      <c r="U36" s="77">
        <f t="shared" si="11"/>
        <v>0</v>
      </c>
      <c r="AB36" s="59"/>
      <c r="AC36" s="59"/>
      <c r="AD36" s="59"/>
      <c r="AE36" s="59"/>
      <c r="AF36" s="59"/>
      <c r="AG36" s="59"/>
      <c r="AH36" s="59"/>
      <c r="AI36" s="59"/>
    </row>
    <row r="37" spans="1:35" s="72" customFormat="1" x14ac:dyDescent="0.3">
      <c r="A37" s="13">
        <f>I8</f>
        <v>20</v>
      </c>
      <c r="B37" s="15">
        <v>245</v>
      </c>
      <c r="C37" s="77">
        <f t="shared" si="6"/>
        <v>71.242325000000008</v>
      </c>
      <c r="D37" s="77">
        <f t="shared" si="7"/>
        <v>64.762778394999998</v>
      </c>
      <c r="E37" s="77">
        <f t="shared" si="8"/>
        <v>1.1201426950000002</v>
      </c>
      <c r="F37" s="77">
        <f t="shared" si="9"/>
        <v>8.4515646390000008</v>
      </c>
      <c r="G37" s="77">
        <f t="shared" si="5"/>
        <v>0.58212980000000003</v>
      </c>
      <c r="H37" s="77">
        <f t="shared" si="5"/>
        <v>1.0743495000000001</v>
      </c>
      <c r="I37" s="77">
        <f t="shared" si="5"/>
        <v>3.1697120000000002E-2</v>
      </c>
      <c r="J37" s="77">
        <f t="shared" si="5"/>
        <v>3.35258E-3</v>
      </c>
      <c r="K37" s="77">
        <f t="shared" si="5"/>
        <v>4.8764799999999999E-3</v>
      </c>
      <c r="L37" s="77">
        <f t="shared" si="5"/>
        <v>3.8859449999999997E-2</v>
      </c>
      <c r="M37" s="77">
        <f t="shared" si="5"/>
        <v>1.6610510000000002E-2</v>
      </c>
      <c r="N37" s="77">
        <f t="shared" si="5"/>
        <v>1485.8025</v>
      </c>
      <c r="O37" s="77">
        <f t="shared" si="5"/>
        <v>0</v>
      </c>
      <c r="P37" s="77">
        <f t="shared" si="5"/>
        <v>0</v>
      </c>
      <c r="Q37" s="77">
        <f t="shared" si="10"/>
        <v>128.0076</v>
      </c>
      <c r="R37" s="77">
        <f t="shared" si="11"/>
        <v>0</v>
      </c>
      <c r="S37" s="77">
        <f t="shared" si="11"/>
        <v>0.15696170000000001</v>
      </c>
      <c r="T37" s="77">
        <f t="shared" si="11"/>
        <v>0</v>
      </c>
      <c r="U37" s="77">
        <f t="shared" si="11"/>
        <v>0</v>
      </c>
      <c r="AB37" s="59"/>
      <c r="AC37" s="59"/>
      <c r="AD37" s="59"/>
      <c r="AE37" s="59"/>
      <c r="AF37" s="59"/>
      <c r="AG37" s="59"/>
      <c r="AH37" s="59"/>
      <c r="AI37" s="59"/>
    </row>
    <row r="38" spans="1:35" s="72" customFormat="1" x14ac:dyDescent="0.3">
      <c r="A38" s="13">
        <f>J8</f>
        <v>21</v>
      </c>
      <c r="B38" s="15">
        <v>250</v>
      </c>
      <c r="C38" s="77">
        <f t="shared" si="6"/>
        <v>72.696250000000006</v>
      </c>
      <c r="D38" s="77">
        <f t="shared" si="7"/>
        <v>66.084467750000002</v>
      </c>
      <c r="E38" s="77">
        <f t="shared" si="8"/>
        <v>1.1430027500000002</v>
      </c>
      <c r="F38" s="77">
        <f t="shared" si="9"/>
        <v>8.6240455499999999</v>
      </c>
      <c r="G38" s="77">
        <f t="shared" si="5"/>
        <v>0.59401000000000004</v>
      </c>
      <c r="H38" s="77">
        <f t="shared" si="5"/>
        <v>1.0962750000000001</v>
      </c>
      <c r="I38" s="77">
        <f t="shared" si="5"/>
        <v>3.2343999999999998E-2</v>
      </c>
      <c r="J38" s="77">
        <f t="shared" si="5"/>
        <v>3.421E-3</v>
      </c>
      <c r="K38" s="77">
        <f t="shared" si="5"/>
        <v>4.9760000000000004E-3</v>
      </c>
      <c r="L38" s="77">
        <f t="shared" si="5"/>
        <v>3.9652499999999993E-2</v>
      </c>
      <c r="M38" s="77">
        <f t="shared" si="5"/>
        <v>1.6949499999999999E-2</v>
      </c>
      <c r="N38" s="77">
        <f t="shared" si="5"/>
        <v>1516.125</v>
      </c>
      <c r="O38" s="77">
        <f t="shared" si="5"/>
        <v>0</v>
      </c>
      <c r="P38" s="77">
        <f t="shared" si="5"/>
        <v>0</v>
      </c>
      <c r="Q38" s="77">
        <f t="shared" si="10"/>
        <v>130.62</v>
      </c>
      <c r="R38" s="77">
        <f t="shared" si="11"/>
        <v>0</v>
      </c>
      <c r="S38" s="77">
        <f t="shared" si="11"/>
        <v>0.160165</v>
      </c>
      <c r="T38" s="77">
        <f t="shared" si="11"/>
        <v>0</v>
      </c>
      <c r="U38" s="77">
        <f t="shared" si="11"/>
        <v>0</v>
      </c>
      <c r="AB38" s="59"/>
      <c r="AC38" s="59"/>
      <c r="AD38" s="59"/>
      <c r="AE38" s="59"/>
      <c r="AF38" s="59"/>
      <c r="AG38" s="59"/>
      <c r="AH38" s="59"/>
      <c r="AI38" s="59"/>
    </row>
    <row r="39" spans="1:35" s="72" customFormat="1" x14ac:dyDescent="0.3">
      <c r="A39" s="13">
        <f>K8</f>
        <v>22</v>
      </c>
      <c r="B39" s="15">
        <v>250</v>
      </c>
      <c r="C39" s="77">
        <f t="shared" si="6"/>
        <v>72.696250000000006</v>
      </c>
      <c r="D39" s="77">
        <f t="shared" si="7"/>
        <v>66.084467750000002</v>
      </c>
      <c r="E39" s="77">
        <f t="shared" si="8"/>
        <v>1.1430027500000002</v>
      </c>
      <c r="F39" s="77">
        <f t="shared" si="9"/>
        <v>8.6240455499999999</v>
      </c>
      <c r="G39" s="77">
        <f t="shared" si="5"/>
        <v>0.59401000000000004</v>
      </c>
      <c r="H39" s="77">
        <f t="shared" si="5"/>
        <v>1.0962750000000001</v>
      </c>
      <c r="I39" s="77">
        <f t="shared" si="5"/>
        <v>3.2343999999999998E-2</v>
      </c>
      <c r="J39" s="77">
        <f t="shared" si="5"/>
        <v>3.421E-3</v>
      </c>
      <c r="K39" s="77">
        <f t="shared" si="5"/>
        <v>4.9760000000000004E-3</v>
      </c>
      <c r="L39" s="77">
        <f t="shared" si="5"/>
        <v>3.9652499999999993E-2</v>
      </c>
      <c r="M39" s="77">
        <f t="shared" si="5"/>
        <v>1.6949499999999999E-2</v>
      </c>
      <c r="N39" s="77">
        <f t="shared" si="5"/>
        <v>1516.125</v>
      </c>
      <c r="O39" s="77">
        <f t="shared" si="5"/>
        <v>0</v>
      </c>
      <c r="P39" s="77">
        <f t="shared" si="5"/>
        <v>0</v>
      </c>
      <c r="Q39" s="77">
        <f t="shared" si="10"/>
        <v>130.62</v>
      </c>
      <c r="R39" s="77">
        <f t="shared" si="11"/>
        <v>0</v>
      </c>
      <c r="S39" s="77">
        <f t="shared" si="11"/>
        <v>0.160165</v>
      </c>
      <c r="T39" s="77">
        <f t="shared" si="11"/>
        <v>0</v>
      </c>
      <c r="U39" s="77">
        <f t="shared" si="11"/>
        <v>0</v>
      </c>
      <c r="AB39" s="59"/>
      <c r="AC39" s="59"/>
      <c r="AD39" s="59"/>
      <c r="AE39" s="59"/>
      <c r="AF39" s="59"/>
      <c r="AG39" s="59"/>
      <c r="AH39" s="59"/>
      <c r="AI39" s="59"/>
    </row>
    <row r="40" spans="1:35" s="72" customFormat="1" x14ac:dyDescent="0.3">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3">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f>C8</f>
        <v>1</v>
      </c>
      <c r="C57" s="8">
        <f t="shared" ref="C57:U57" si="13">D8</f>
        <v>2</v>
      </c>
      <c r="D57" s="8">
        <f t="shared" si="13"/>
        <v>3</v>
      </c>
      <c r="E57" s="8">
        <f t="shared" si="13"/>
        <v>4</v>
      </c>
      <c r="F57" s="8">
        <f t="shared" si="13"/>
        <v>7</v>
      </c>
      <c r="G57" s="8">
        <f t="shared" si="13"/>
        <v>8</v>
      </c>
      <c r="H57" s="8">
        <f t="shared" si="13"/>
        <v>20</v>
      </c>
      <c r="I57" s="8">
        <f t="shared" si="13"/>
        <v>21</v>
      </c>
      <c r="J57" s="8">
        <f t="shared" si="13"/>
        <v>22</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"&amp;(VLOOKUP(C14,Table24581113[],6,FALSE))</f>
        <v>Medium/Clay I Grass</v>
      </c>
      <c r="C58" s="13" t="str">
        <f>D16&amp;" I "&amp;(VLOOKUP(D14,Table24581113[],6,FALSE))</f>
        <v>Medium/Clay I Grass</v>
      </c>
      <c r="D58" s="13" t="str">
        <f>E16&amp;" I "&amp;(VLOOKUP(E14,Table24581113[],6,FALSE))</f>
        <v>Medium/Clay I Grass</v>
      </c>
      <c r="E58" s="13" t="str">
        <f>F16&amp;" I "&amp;(VLOOKUP(F14,Table24581113[],6,FALSE))</f>
        <v>Medium/Clay I Grass</v>
      </c>
      <c r="F58" s="13" t="str">
        <f>G16&amp;" I "&amp;(VLOOKUP(G14,Table24581113[],6,FALSE))</f>
        <v>Medium/Clay I Grass</v>
      </c>
      <c r="G58" s="13" t="str">
        <f>H16&amp;" I "&amp;(VLOOKUP(H14,Table24581113[],6,FALSE))</f>
        <v>Medium/Clay I Grass</v>
      </c>
      <c r="H58" s="13" t="str">
        <f>I16&amp;" I "&amp;(VLOOKUP(I14,Table24581113[],6,FALSE))</f>
        <v>Medium/Clay I Grass</v>
      </c>
      <c r="I58" s="13" t="str">
        <f>J16&amp;" I "&amp;(VLOOKUP(J14,Table24581113[],6,FALSE))</f>
        <v>Medium/Clay I Grass</v>
      </c>
      <c r="J58" s="13" t="str">
        <f>K16&amp;" I "&amp;(VLOOKUP(K14,Table24581113[],6,FALSE))</f>
        <v>Medium/Clay I Grass</v>
      </c>
      <c r="K58" s="13" t="e">
        <f>L16&amp;" I "&amp;(VLOOKUP(L14,Table24581113[],6,FALSE))</f>
        <v>#N/A</v>
      </c>
      <c r="L58" s="13" t="e">
        <f>M16&amp;" I "&amp;(VLOOKUP(M14,Table24581113[],6,FALSE))</f>
        <v>#N/A</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x14ac:dyDescent="0.25">
      <c r="A59" s="110" t="s">
        <v>132</v>
      </c>
      <c r="B59" s="76">
        <f>VLOOKUP(C$14,Table24581113[],5,FALSE)</f>
        <v>6.2</v>
      </c>
      <c r="C59" s="76">
        <f>VLOOKUP(D$14,Table24581113[],5,FALSE)</f>
        <v>6.2</v>
      </c>
      <c r="D59" s="76">
        <f>VLOOKUP(E$14,Table24581113[],5,FALSE)</f>
        <v>6.2</v>
      </c>
      <c r="E59" s="76">
        <f>VLOOKUP(F$14,Table24581113[],5,FALSE)</f>
        <v>6.2</v>
      </c>
      <c r="F59" s="76">
        <f>VLOOKUP(G$14,Table24581113[],5,FALSE)</f>
        <v>6.2</v>
      </c>
      <c r="G59" s="76">
        <f>VLOOKUP(H$14,Table24581113[],5,FALSE)</f>
        <v>6.2</v>
      </c>
      <c r="H59" s="76">
        <f>VLOOKUP(I$14,Table24581113[],5,FALSE)</f>
        <v>6.2</v>
      </c>
      <c r="I59" s="76">
        <f>VLOOKUP(J$14,Table24581113[],5,FALSE)</f>
        <v>6.2</v>
      </c>
      <c r="J59" s="76">
        <f>VLOOKUP(K$14,Table24581113[],5,FALSE)</f>
        <v>6.2</v>
      </c>
      <c r="K59" s="76" t="e">
        <f>VLOOKUP(L$14,Table24581113[],5,FALSE)</f>
        <v>#N/A</v>
      </c>
      <c r="L59" s="76" t="e">
        <f>VLOOKUP(M$14,Table24581113[],5,FALSE)</f>
        <v>#N/A</v>
      </c>
      <c r="M59" s="76" t="e">
        <f>VLOOKUP(N$14,Table24581113[],5,FALSE)</f>
        <v>#N/A</v>
      </c>
      <c r="N59" s="76" t="e">
        <f>VLOOKUP(O$14,Table24581113[],5,FALSE)</f>
        <v>#N/A</v>
      </c>
      <c r="O59" s="76" t="e">
        <f>VLOOKUP(P$14,Table24581113[],5,FALSE)</f>
        <v>#N/A</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x14ac:dyDescent="0.25">
      <c r="A60" s="110" t="s">
        <v>4</v>
      </c>
      <c r="B60" s="76">
        <f>C10</f>
        <v>5.6</v>
      </c>
      <c r="C60" s="76">
        <f t="shared" ref="C60:U60" si="14">D10</f>
        <v>5.7</v>
      </c>
      <c r="D60" s="76">
        <f t="shared" si="14"/>
        <v>6.8</v>
      </c>
      <c r="E60" s="76">
        <f t="shared" si="14"/>
        <v>6.4</v>
      </c>
      <c r="F60" s="76">
        <f t="shared" si="14"/>
        <v>6.2</v>
      </c>
      <c r="G60" s="76">
        <f t="shared" si="14"/>
        <v>6.2</v>
      </c>
      <c r="H60" s="76">
        <f t="shared" si="14"/>
        <v>6.1</v>
      </c>
      <c r="I60" s="76">
        <f t="shared" si="14"/>
        <v>6.2</v>
      </c>
      <c r="J60" s="76">
        <f t="shared" si="14"/>
        <v>6</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0"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0" t="s">
        <v>134</v>
      </c>
      <c r="B62" s="77">
        <f>B31</f>
        <v>0</v>
      </c>
      <c r="C62" s="77">
        <f>B32</f>
        <v>0</v>
      </c>
      <c r="D62" s="77">
        <f>B33</f>
        <v>250</v>
      </c>
      <c r="E62" s="77">
        <f>B34</f>
        <v>245</v>
      </c>
      <c r="F62" s="77">
        <f>B35</f>
        <v>250</v>
      </c>
      <c r="G62" s="77">
        <f>B36</f>
        <v>250</v>
      </c>
      <c r="H62" s="77">
        <f>B37</f>
        <v>245</v>
      </c>
      <c r="I62" s="77">
        <f>B38</f>
        <v>250</v>
      </c>
      <c r="J62" s="77">
        <f>B39</f>
        <v>250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1"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1" t="s">
        <v>156</v>
      </c>
      <c r="B64" s="77">
        <f>(B59-B60)*B61</f>
        <v>3.6000000000000032</v>
      </c>
      <c r="C64" s="77">
        <f t="shared" ref="C64:U64" si="17">(C59-C60)*C61</f>
        <v>3</v>
      </c>
      <c r="D64" s="77">
        <f t="shared" si="17"/>
        <v>-3.5999999999999979</v>
      </c>
      <c r="E64" s="77">
        <f t="shared" si="17"/>
        <v>-1.2000000000000011</v>
      </c>
      <c r="F64" s="77">
        <f t="shared" si="17"/>
        <v>0</v>
      </c>
      <c r="G64" s="77">
        <f t="shared" si="17"/>
        <v>0</v>
      </c>
      <c r="H64" s="77">
        <f t="shared" si="17"/>
        <v>0.6000000000000032</v>
      </c>
      <c r="I64" s="77">
        <f t="shared" si="17"/>
        <v>0</v>
      </c>
      <c r="J64" s="77">
        <f t="shared" si="17"/>
        <v>1.2000000000000011</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1" t="s">
        <v>157</v>
      </c>
      <c r="B65" s="77">
        <f>B63-B64</f>
        <v>-3.6000000000000032</v>
      </c>
      <c r="C65" s="77">
        <f t="shared" ref="C65:U65" si="18">C63-C64</f>
        <v>-3</v>
      </c>
      <c r="D65" s="77">
        <f t="shared" si="18"/>
        <v>3.5999999999999979</v>
      </c>
      <c r="E65" s="77">
        <f t="shared" si="18"/>
        <v>1.2000000000000011</v>
      </c>
      <c r="F65" s="77">
        <f t="shared" si="18"/>
        <v>0</v>
      </c>
      <c r="G65" s="77">
        <f t="shared" si="18"/>
        <v>0</v>
      </c>
      <c r="H65" s="77">
        <f t="shared" si="18"/>
        <v>-0.6000000000000032</v>
      </c>
      <c r="I65" s="77">
        <f t="shared" si="18"/>
        <v>0</v>
      </c>
      <c r="J65" s="77">
        <f t="shared" si="18"/>
        <v>-1.2000000000000011</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1" t="s">
        <v>148</v>
      </c>
      <c r="B66" s="78" t="str">
        <f>IF(B64&lt;=B63,"OVER","UNDER")</f>
        <v>UNDER</v>
      </c>
      <c r="C66" s="78" t="str">
        <f t="shared" ref="C66:U66" si="19">IF(C64&lt;=C63,"OVER","UNDER")</f>
        <v>UNDER</v>
      </c>
      <c r="D66" s="78" t="str">
        <f t="shared" si="19"/>
        <v>OVER</v>
      </c>
      <c r="E66" s="78" t="str">
        <f t="shared" si="19"/>
        <v>OVER</v>
      </c>
      <c r="F66" s="78" t="str">
        <f t="shared" si="19"/>
        <v>OVER</v>
      </c>
      <c r="G66" s="78" t="str">
        <f t="shared" si="19"/>
        <v>OVER</v>
      </c>
      <c r="H66" s="78" t="str">
        <f t="shared" si="19"/>
        <v>UNDER</v>
      </c>
      <c r="I66" s="78" t="str">
        <f t="shared" si="19"/>
        <v>OVER</v>
      </c>
      <c r="J66" s="78" t="str">
        <f t="shared" si="19"/>
        <v>UNDER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3" priority="37" operator="equal">
      <formula>"DECREASE"</formula>
    </cfRule>
    <cfRule type="cellIs" dxfId="42" priority="38" operator="equal">
      <formula>"INCREASE"</formula>
    </cfRule>
  </conditionalFormatting>
  <conditionalFormatting sqref="B31:B50 B62:U66">
    <cfRule type="cellIs" dxfId="41" priority="36" operator="greaterThan">
      <formula>$B$51</formula>
    </cfRule>
  </conditionalFormatting>
  <conditionalFormatting sqref="C31:C50">
    <cfRule type="cellIs" dxfId="40" priority="35" operator="greaterThan">
      <formula>$C$51</formula>
    </cfRule>
  </conditionalFormatting>
  <conditionalFormatting sqref="C18:V18">
    <cfRule type="cellIs" dxfId="39" priority="34" operator="equal">
      <formula>0</formula>
    </cfRule>
  </conditionalFormatting>
  <conditionalFormatting sqref="C17:V17">
    <cfRule type="cellIs" dxfId="38" priority="33" operator="equal">
      <formula>0</formula>
    </cfRule>
  </conditionalFormatting>
  <conditionalFormatting sqref="C19:V19">
    <cfRule type="cellIs" dxfId="37" priority="32" operator="equal">
      <formula>0</formula>
    </cfRule>
  </conditionalFormatting>
  <conditionalFormatting sqref="G31:G50">
    <cfRule type="cellIs" dxfId="36" priority="31" operator="greaterThan">
      <formula>$G$51</formula>
    </cfRule>
  </conditionalFormatting>
  <conditionalFormatting sqref="H31:H50">
    <cfRule type="cellIs" dxfId="35" priority="30" operator="greaterThan">
      <formula>$H$51</formula>
    </cfRule>
  </conditionalFormatting>
  <conditionalFormatting sqref="I31:I50">
    <cfRule type="cellIs" dxfId="34" priority="29" operator="greaterThan">
      <formula>$I$51</formula>
    </cfRule>
  </conditionalFormatting>
  <conditionalFormatting sqref="K31:K50">
    <cfRule type="cellIs" dxfId="33" priority="28" operator="greaterThan">
      <formula>$K$51</formula>
    </cfRule>
  </conditionalFormatting>
  <conditionalFormatting sqref="L31:L50">
    <cfRule type="cellIs" dxfId="32" priority="27" operator="greaterThan">
      <formula>$L$51</formula>
    </cfRule>
  </conditionalFormatting>
  <conditionalFormatting sqref="M31:M50">
    <cfRule type="cellIs" dxfId="31" priority="26" operator="greaterThan">
      <formula>$M$51</formula>
    </cfRule>
  </conditionalFormatting>
  <conditionalFormatting sqref="P31:P50">
    <cfRule type="cellIs" dxfId="30" priority="25" operator="greaterThan">
      <formula>$P$51</formula>
    </cfRule>
  </conditionalFormatting>
  <conditionalFormatting sqref="R31:R50">
    <cfRule type="cellIs" dxfId="29" priority="24" operator="greaterThan">
      <formula>$R$51</formula>
    </cfRule>
  </conditionalFormatting>
  <conditionalFormatting sqref="S31:S50">
    <cfRule type="cellIs" dxfId="28" priority="23" operator="greaterThan">
      <formula>$S$51</formula>
    </cfRule>
  </conditionalFormatting>
  <conditionalFormatting sqref="T31:T50">
    <cfRule type="cellIs" dxfId="27" priority="22" operator="greaterThan">
      <formula>$T$51</formula>
    </cfRule>
  </conditionalFormatting>
  <conditionalFormatting sqref="U31:U50">
    <cfRule type="cellIs" dxfId="26" priority="21" operator="greaterThan">
      <formula>$U$51</formula>
    </cfRule>
  </conditionalFormatting>
  <conditionalFormatting sqref="C22:V22">
    <cfRule type="cellIs" dxfId="25" priority="20" operator="equal">
      <formula>0</formula>
    </cfRule>
  </conditionalFormatting>
  <conditionalFormatting sqref="C24:V24">
    <cfRule type="cellIs" dxfId="24" priority="18" operator="equal">
      <formula>"DECREASE"</formula>
    </cfRule>
    <cfRule type="cellIs" dxfId="23" priority="19" operator="equal">
      <formula>"INCREASE"</formula>
    </cfRule>
  </conditionalFormatting>
  <conditionalFormatting sqref="C23:V23">
    <cfRule type="cellIs" dxfId="22" priority="17" operator="equal">
      <formula>0</formula>
    </cfRule>
  </conditionalFormatting>
  <conditionalFormatting sqref="C21:V21">
    <cfRule type="cellIs" dxfId="21" priority="13" operator="equal">
      <formula>0</formula>
    </cfRule>
  </conditionalFormatting>
  <conditionalFormatting sqref="B66:U66">
    <cfRule type="cellIs" dxfId="20" priority="11" operator="equal">
      <formula>"UNDER"</formula>
    </cfRule>
    <cfRule type="cellIs" dxfId="19" priority="12" operator="equal">
      <formula>"OVER"</formula>
    </cfRule>
  </conditionalFormatting>
  <conditionalFormatting sqref="J31:J50">
    <cfRule type="cellIs" dxfId="18" priority="8" operator="greaterThan">
      <formula>$J$51</formula>
    </cfRule>
  </conditionalFormatting>
  <conditionalFormatting sqref="L3">
    <cfRule type="cellIs" dxfId="17" priority="4" operator="lessThan">
      <formula>30</formula>
    </cfRule>
    <cfRule type="cellIs" dxfId="16" priority="5" operator="greaterThanOrEqual">
      <formula>30</formula>
    </cfRule>
  </conditionalFormatting>
  <conditionalFormatting sqref="I1">
    <cfRule type="cellIs" dxfId="15" priority="3" operator="between">
      <formula>0.1</formula>
      <formula>5</formula>
    </cfRule>
  </conditionalFormatting>
  <conditionalFormatting sqref="I2">
    <cfRule type="cellIs" dxfId="14" priority="2" operator="greaterThan">
      <formula>5000.1</formula>
    </cfRule>
  </conditionalFormatting>
  <conditionalFormatting sqref="I3">
    <cfRule type="cellIs" dxfId="13"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T25" sqref="T25"/>
    </sheetView>
  </sheetViews>
  <sheetFormatPr defaultColWidth="9.109375" defaultRowHeight="13.2" x14ac:dyDescent="0.25"/>
  <cols>
    <col min="1" max="13" width="9.109375" style="79"/>
    <col min="14" max="14" width="9.6640625" style="79" bestFit="1" customWidth="1"/>
    <col min="15" max="19" width="9.109375" style="79"/>
    <col min="20" max="20" width="10" style="79" bestFit="1" customWidth="1"/>
    <col min="21" max="16384" width="9.109375" style="79"/>
  </cols>
  <sheetData>
    <row r="1" spans="1:21" ht="39.6" x14ac:dyDescent="0.25">
      <c r="A1" s="145" t="s">
        <v>84</v>
      </c>
      <c r="B1" s="38" t="str">
        <f>'DCWW Bryn Cowlyd'!B29</f>
        <v>Application Rate</v>
      </c>
      <c r="C1" s="38" t="str">
        <f>'DCWW Bryn Cowlyd'!C29</f>
        <v>Nitrogen Addition</v>
      </c>
      <c r="D1" s="38" t="str">
        <f>'DCWW Bryn Cowlyd'!D29</f>
        <v>Phosphate Addition</v>
      </c>
      <c r="E1" s="38" t="str">
        <f>'DCWW Bryn Cowlyd'!E29</f>
        <v>Potash  Addition</v>
      </c>
      <c r="F1" s="38" t="str">
        <f>'DCWW Bryn Cowlyd'!F29</f>
        <v>Mg Oxide Addition</v>
      </c>
      <c r="G1" s="38" t="str">
        <f>'DCWW Bryn Cowlyd'!G29</f>
        <v>Copper Addition</v>
      </c>
      <c r="H1" s="38" t="str">
        <f>'DCWW Bryn Cowlyd'!H29</f>
        <v>Zinc Addition</v>
      </c>
      <c r="I1" s="38" t="str">
        <f>'DCWW Bryn Cowlyd'!I29</f>
        <v>Lead Addition</v>
      </c>
      <c r="J1" s="38" t="str">
        <f>'DCWW Bryn Cowlyd'!J29</f>
        <v>Cadmium Addition</v>
      </c>
      <c r="K1" s="38" t="str">
        <f>'DCWW Bryn Cowlyd'!K29</f>
        <v>Mercury Addition</v>
      </c>
      <c r="L1" s="38" t="str">
        <f>'DCWW Bryn Cowlyd'!L29</f>
        <v>Nickel Addition</v>
      </c>
      <c r="M1" s="38" t="str">
        <f>'DCWW Bryn Cowlyd'!M29</f>
        <v>Chromium Addition</v>
      </c>
      <c r="N1" s="38" t="str">
        <f>'DCWW Bryn Cowlyd'!N29</f>
        <v>Aluminium Addition</v>
      </c>
      <c r="O1" s="38" t="str">
        <f>'DCWW Bryn Cowlyd'!O29</f>
        <v>Iron Addition</v>
      </c>
      <c r="P1" s="38" t="str">
        <f>'DCWW Bryn Cowlyd'!P29</f>
        <v xml:space="preserve">Sodium Addition                 </v>
      </c>
      <c r="Q1" s="38" t="str">
        <f>'DCWW Bryn Cowlyd'!Q29</f>
        <v>SO3  Addition                             kg/ha</v>
      </c>
      <c r="R1" s="38" t="str">
        <f>'DCWW Bryn Cowlyd'!R29</f>
        <v xml:space="preserve">Selenium Addition </v>
      </c>
      <c r="S1" s="38" t="str">
        <f>'DCWW Bryn Cowlyd'!S29</f>
        <v xml:space="preserve">Arsenic  Addition  </v>
      </c>
      <c r="T1" s="38" t="str">
        <f>'DCWW Bryn Cowlyd'!T29</f>
        <v xml:space="preserve">Molybdenum Addition  </v>
      </c>
      <c r="U1" s="38" t="str">
        <f>'DCWW Bryn Cowlyd'!U29</f>
        <v xml:space="preserve">Fluoride Addition </v>
      </c>
    </row>
    <row r="2" spans="1:21" ht="26.4" x14ac:dyDescent="0.25">
      <c r="A2" s="145"/>
      <c r="B2" s="38" t="str">
        <f>'DCWW Bryn Cowlyd'!B30</f>
        <v>tonnes/ha</v>
      </c>
      <c r="C2" s="38" t="str">
        <f>'DCWW Bryn Cowlyd'!C30</f>
        <v>kg/ha</v>
      </c>
      <c r="D2" s="38" t="str">
        <f>'DCWW Bryn Cowlyd'!D30</f>
        <v>P2O5 
kg/ha</v>
      </c>
      <c r="E2" s="38" t="str">
        <f>'DCWW Bryn Cowlyd'!E30</f>
        <v>K2O 
kg/ha</v>
      </c>
      <c r="F2" s="38" t="str">
        <f>'DCWW Bryn Cowlyd'!F30</f>
        <v>MgO 
kg/ha</v>
      </c>
      <c r="G2" s="38" t="str">
        <f>'DCWW Bryn Cowlyd'!G30</f>
        <v>kg/ha</v>
      </c>
      <c r="H2" s="38" t="str">
        <f>'DCWW Bryn Cowlyd'!H30</f>
        <v>kg/ha</v>
      </c>
      <c r="I2" s="38" t="str">
        <f>'DCWW Bryn Cowlyd'!I30</f>
        <v>kg/ha</v>
      </c>
      <c r="J2" s="38" t="str">
        <f>'DCWW Bryn Cowlyd'!J30</f>
        <v>kg/ha</v>
      </c>
      <c r="K2" s="38" t="str">
        <f>'DCWW Bryn Cowlyd'!K30</f>
        <v>kg/ha</v>
      </c>
      <c r="L2" s="38" t="str">
        <f>'DCWW Bryn Cowlyd'!L30</f>
        <v>kg/ha</v>
      </c>
      <c r="M2" s="38" t="str">
        <f>'DCWW Bryn Cowlyd'!M30</f>
        <v>kg/ha</v>
      </c>
      <c r="N2" s="38" t="str">
        <f>'DCWW Bryn Cowlyd'!N30</f>
        <v>kg/ha</v>
      </c>
      <c r="O2" s="38" t="str">
        <f>'DCWW Bryn Cowlyd'!O30</f>
        <v>kg/ha</v>
      </c>
      <c r="P2" s="38" t="str">
        <f>'DCWW Bryn Cowlyd'!P30</f>
        <v>kg/ha</v>
      </c>
      <c r="Q2" s="38" t="str">
        <f>'DCWW Bryn Cowlyd'!Q30</f>
        <v>kg/ha</v>
      </c>
      <c r="R2" s="38" t="str">
        <f>'DCWW Bryn Cowlyd'!R30</f>
        <v>kg/ha</v>
      </c>
      <c r="S2" s="38" t="str">
        <f>'DCWW Bryn Cowlyd'!S30</f>
        <v>kg/ha</v>
      </c>
      <c r="T2" s="38" t="str">
        <f>'DCWW Bryn Cowlyd'!T30</f>
        <v>kg/ha</v>
      </c>
      <c r="U2" s="38" t="str">
        <f>'DCWW Bryn Cowlyd'!U30</f>
        <v>kg/ha</v>
      </c>
    </row>
    <row r="3" spans="1:21" x14ac:dyDescent="0.25">
      <c r="A3" s="36">
        <v>1</v>
      </c>
      <c r="B3" s="33">
        <f>'DCWW Bryn Cowlyd'!B31</f>
        <v>250</v>
      </c>
      <c r="C3" s="33">
        <f>'DCWW Bryn Cowlyd'!C31</f>
        <v>40.292500000000004</v>
      </c>
      <c r="D3" s="33">
        <f>'DCWW Bryn Cowlyd'!D31</f>
        <v>2.0022194500000001</v>
      </c>
      <c r="E3" s="33">
        <f>'DCWW Bryn Cowlyd'!E31</f>
        <v>1.3676750000000004</v>
      </c>
      <c r="F3" s="33">
        <f>'DCWW Bryn Cowlyd'!F31</f>
        <v>3.6131136000000001</v>
      </c>
      <c r="G3" s="33">
        <f>'DCWW Bryn Cowlyd'!G31</f>
        <v>2.9056000000000005E-2</v>
      </c>
      <c r="H3" s="33">
        <f>'DCWW Bryn Cowlyd'!H31</f>
        <v>1.0612250000000001</v>
      </c>
      <c r="I3" s="33">
        <f>'DCWW Bryn Cowlyd'!I31</f>
        <v>0.15152250000000003</v>
      </c>
      <c r="J3" s="33">
        <f>'DCWW Bryn Cowlyd'!J31</f>
        <v>2.3267500000000003E-3</v>
      </c>
      <c r="K3" s="33">
        <f>'DCWW Bryn Cowlyd'!K31</f>
        <v>5.0507500000000006E-3</v>
      </c>
      <c r="L3" s="33">
        <f>'DCWW Bryn Cowlyd'!L31</f>
        <v>0.35809250000000004</v>
      </c>
      <c r="M3" s="33">
        <f>'DCWW Bryn Cowlyd'!M31</f>
        <v>4.1881500000000002E-2</v>
      </c>
      <c r="N3" s="33">
        <f>'DCWW Bryn Cowlyd'!N31</f>
        <v>15.322500000000003</v>
      </c>
      <c r="O3" s="33">
        <f>'DCWW Bryn Cowlyd'!O31</f>
        <v>2582.125</v>
      </c>
      <c r="P3" s="33">
        <f>'DCWW Bryn Cowlyd'!P31</f>
        <v>0</v>
      </c>
      <c r="Q3" s="33">
        <f>'DCWW Bryn Cowlyd'!Q31</f>
        <v>65.546250000000001</v>
      </c>
      <c r="R3" s="33">
        <f>'DCWW Bryn Cowlyd'!R31</f>
        <v>0</v>
      </c>
      <c r="S3" s="33">
        <f>'DCWW Bryn Cowlyd'!S31</f>
        <v>7.7179999999999999E-2</v>
      </c>
      <c r="T3" s="33">
        <f>'DCWW Bryn Cowlyd'!T31</f>
        <v>0</v>
      </c>
      <c r="U3" s="33">
        <f>'DCWW Bryn Cowlyd'!U31</f>
        <v>0</v>
      </c>
    </row>
    <row r="4" spans="1:21" x14ac:dyDescent="0.25">
      <c r="A4" s="36">
        <v>2</v>
      </c>
      <c r="B4" s="33" t="e">
        <f>#REF!</f>
        <v>#REF!</v>
      </c>
      <c r="C4" s="33" t="e">
        <f>#REF!</f>
        <v>#REF!</v>
      </c>
      <c r="D4" s="33" t="e">
        <f>#REF!</f>
        <v>#REF!</v>
      </c>
      <c r="E4" s="33" t="e">
        <f>#REF!</f>
        <v>#REF!</v>
      </c>
      <c r="F4" s="33" t="e">
        <f>#REF!</f>
        <v>#REF!</v>
      </c>
      <c r="G4" s="33" t="e">
        <f>#REF!</f>
        <v>#REF!</v>
      </c>
      <c r="H4" s="33" t="e">
        <f>#REF!</f>
        <v>#REF!</v>
      </c>
      <c r="I4" s="33" t="e">
        <f>#REF!</f>
        <v>#REF!</v>
      </c>
      <c r="J4" s="33" t="e">
        <f>#REF!</f>
        <v>#REF!</v>
      </c>
      <c r="K4" s="33" t="e">
        <f>#REF!</f>
        <v>#REF!</v>
      </c>
      <c r="L4" s="33" t="e">
        <f>#REF!</f>
        <v>#REF!</v>
      </c>
      <c r="M4" s="33" t="e">
        <f>#REF!</f>
        <v>#REF!</v>
      </c>
      <c r="N4" s="33" t="e">
        <f>#REF!</f>
        <v>#REF!</v>
      </c>
      <c r="O4" s="33" t="e">
        <f>#REF!</f>
        <v>#REF!</v>
      </c>
      <c r="P4" s="33" t="e">
        <f>#REF!</f>
        <v>#REF!</v>
      </c>
      <c r="Q4" s="33" t="e">
        <f>#REF!</f>
        <v>#REF!</v>
      </c>
      <c r="R4" s="33" t="e">
        <f>#REF!</f>
        <v>#REF!</v>
      </c>
      <c r="S4" s="33" t="e">
        <f>#REF!</f>
        <v>#REF!</v>
      </c>
      <c r="T4" s="33" t="e">
        <f>#REF!</f>
        <v>#REF!</v>
      </c>
      <c r="U4" s="33" t="e">
        <f>#REF!</f>
        <v>#REF!</v>
      </c>
    </row>
    <row r="5" spans="1:21" x14ac:dyDescent="0.25">
      <c r="A5" s="36">
        <v>3</v>
      </c>
      <c r="B5" s="33">
        <f>'DCWW Cefni'!B31</f>
        <v>0</v>
      </c>
      <c r="C5" s="33">
        <f>'DCWW Cefni'!C31</f>
        <v>0</v>
      </c>
      <c r="D5" s="33">
        <f>'DCWW Cefni'!D31</f>
        <v>0</v>
      </c>
      <c r="E5" s="33">
        <f>'DCWW Cefni'!E31</f>
        <v>0</v>
      </c>
      <c r="F5" s="33">
        <f>'DCWW Cefni'!F31</f>
        <v>0</v>
      </c>
      <c r="G5" s="33">
        <f>'DCWW Cefni'!G31</f>
        <v>0</v>
      </c>
      <c r="H5" s="33">
        <f>'DCWW Cefni'!H31</f>
        <v>0</v>
      </c>
      <c r="I5" s="33">
        <f>'DCWW Cefni'!I31</f>
        <v>0</v>
      </c>
      <c r="J5" s="33">
        <f>'DCWW Cefni'!J31</f>
        <v>0</v>
      </c>
      <c r="K5" s="33">
        <f>'DCWW Cefni'!K31</f>
        <v>0</v>
      </c>
      <c r="L5" s="33">
        <f>'DCWW Cefni'!L31</f>
        <v>0</v>
      </c>
      <c r="M5" s="33">
        <f>'DCWW Cefni'!M31</f>
        <v>0</v>
      </c>
      <c r="N5" s="33">
        <f>'DCWW Cefni'!N31</f>
        <v>0</v>
      </c>
      <c r="O5" s="33">
        <f>'DCWW Cefni'!O31</f>
        <v>0</v>
      </c>
      <c r="P5" s="33">
        <f>'DCWW Cefni'!P31</f>
        <v>0</v>
      </c>
      <c r="Q5" s="33">
        <f>'DCWW Cefni'!Q31</f>
        <v>0</v>
      </c>
      <c r="R5" s="33">
        <f>'DCWW Cefni'!R31</f>
        <v>0</v>
      </c>
      <c r="S5" s="33">
        <f>'DCWW Cefni'!S31</f>
        <v>0</v>
      </c>
      <c r="T5" s="33">
        <f>'DCWW Cefni'!T31</f>
        <v>0</v>
      </c>
      <c r="U5" s="33">
        <f>'DCWW Cefni'!U31</f>
        <v>0</v>
      </c>
    </row>
    <row r="6" spans="1:21" x14ac:dyDescent="0.25">
      <c r="A6" s="36">
        <v>4</v>
      </c>
      <c r="B6" s="33">
        <f>'DCWW cwellyn'!B31</f>
        <v>0</v>
      </c>
      <c r="C6" s="33">
        <f>'DCWW cwellyn'!C31</f>
        <v>0</v>
      </c>
      <c r="D6" s="33">
        <f>'DCWW cwellyn'!D31</f>
        <v>0</v>
      </c>
      <c r="E6" s="33">
        <f>'DCWW cwellyn'!E31</f>
        <v>0</v>
      </c>
      <c r="F6" s="33">
        <f>'DCWW cwellyn'!F31</f>
        <v>0</v>
      </c>
      <c r="G6" s="33">
        <f>'DCWW cwellyn'!G31</f>
        <v>0</v>
      </c>
      <c r="H6" s="33">
        <f>'DCWW cwellyn'!H31</f>
        <v>0</v>
      </c>
      <c r="I6" s="33">
        <f>'DCWW cwellyn'!I31</f>
        <v>0</v>
      </c>
      <c r="J6" s="33">
        <f>'DCWW cwellyn'!J31</f>
        <v>0</v>
      </c>
      <c r="K6" s="33">
        <f>'DCWW cwellyn'!K31</f>
        <v>0</v>
      </c>
      <c r="L6" s="33">
        <f>'DCWW cwellyn'!L31</f>
        <v>0</v>
      </c>
      <c r="M6" s="33">
        <f>'DCWW cwellyn'!M31</f>
        <v>0</v>
      </c>
      <c r="N6" s="33">
        <f>'DCWW cwellyn'!N31</f>
        <v>0</v>
      </c>
      <c r="O6" s="33">
        <f>'DCWW cwellyn'!O31</f>
        <v>0</v>
      </c>
      <c r="P6" s="33">
        <f>'DCWW cwellyn'!P31</f>
        <v>0</v>
      </c>
      <c r="Q6" s="33">
        <f>'DCWW cwellyn'!Q31</f>
        <v>0</v>
      </c>
      <c r="R6" s="33">
        <f>'DCWW cwellyn'!R31</f>
        <v>0</v>
      </c>
      <c r="S6" s="33">
        <f>'DCWW cwellyn'!S31</f>
        <v>0</v>
      </c>
      <c r="T6" s="33">
        <f>'DCWW cwellyn'!T31</f>
        <v>0</v>
      </c>
      <c r="U6" s="33">
        <f>'DCWW cwellyn'!U31</f>
        <v>0</v>
      </c>
    </row>
    <row r="7" spans="1:21" x14ac:dyDescent="0.25">
      <c r="A7" s="36">
        <v>5</v>
      </c>
      <c r="B7" s="33">
        <f>'DCWW dolbenmaen'!B31</f>
        <v>0</v>
      </c>
      <c r="C7" s="33">
        <f>'DCWW dolbenmaen'!C31</f>
        <v>0</v>
      </c>
      <c r="D7" s="33">
        <f>'DCWW dolbenmaen'!D31</f>
        <v>0</v>
      </c>
      <c r="E7" s="33">
        <f>'DCWW dolbenmaen'!E31</f>
        <v>0</v>
      </c>
      <c r="F7" s="33">
        <f>'DCWW dolbenmaen'!F31</f>
        <v>0</v>
      </c>
      <c r="G7" s="33">
        <f>'DCWW dolbenmaen'!G31</f>
        <v>0</v>
      </c>
      <c r="H7" s="33">
        <f>'DCWW dolbenmaen'!H31</f>
        <v>0</v>
      </c>
      <c r="I7" s="33">
        <f>'DCWW dolbenmaen'!I31</f>
        <v>0</v>
      </c>
      <c r="J7" s="33">
        <f>'DCWW dolbenmaen'!J31</f>
        <v>0</v>
      </c>
      <c r="K7" s="33">
        <f>'DCWW dolbenmaen'!K31</f>
        <v>0</v>
      </c>
      <c r="L7" s="33">
        <f>'DCWW dolbenmaen'!L31</f>
        <v>0</v>
      </c>
      <c r="M7" s="33">
        <f>'DCWW dolbenmaen'!M31</f>
        <v>0</v>
      </c>
      <c r="N7" s="33">
        <f>'DCWW dolbenmaen'!N31</f>
        <v>0</v>
      </c>
      <c r="O7" s="33">
        <f>'DCWW dolbenmaen'!O31</f>
        <v>0</v>
      </c>
      <c r="P7" s="33">
        <f>'DCWW dolbenmaen'!P31</f>
        <v>0</v>
      </c>
      <c r="Q7" s="33">
        <f>'DCWW dolbenmaen'!Q31</f>
        <v>0</v>
      </c>
      <c r="R7" s="33">
        <f>'DCWW dolbenmaen'!R31</f>
        <v>0</v>
      </c>
      <c r="S7" s="33">
        <f>'DCWW dolbenmaen'!S31</f>
        <v>0</v>
      </c>
      <c r="T7" s="33">
        <f>'DCWW dolbenmaen'!T31</f>
        <v>0</v>
      </c>
      <c r="U7" s="33">
        <f>'DCWW dolbenmaen'!U31</f>
        <v>0</v>
      </c>
    </row>
    <row r="8" spans="1:21" x14ac:dyDescent="0.25">
      <c r="A8" s="36">
        <v>6</v>
      </c>
      <c r="B8" s="33">
        <f>'DCWW garreglwyd'!B31</f>
        <v>250</v>
      </c>
      <c r="C8" s="33">
        <f>'DCWW garreglwyd'!C31</f>
        <v>69.334999999999994</v>
      </c>
      <c r="D8" s="33">
        <f>'DCWW garreglwyd'!D31</f>
        <v>5.2200435000000001</v>
      </c>
      <c r="E8" s="33">
        <f>'DCWW garreglwyd'!E31</f>
        <v>1.4761250000000001</v>
      </c>
      <c r="F8" s="33">
        <f>'DCWW garreglwyd'!F31</f>
        <v>10.277113</v>
      </c>
      <c r="G8" s="33">
        <f>'DCWW garreglwyd'!G31</f>
        <v>0.44222500000000003</v>
      </c>
      <c r="H8" s="33">
        <f>'DCWW garreglwyd'!H31</f>
        <v>5.5369999999999999</v>
      </c>
      <c r="I8" s="33">
        <f>'DCWW garreglwyd'!I31</f>
        <v>0.56227499999999997</v>
      </c>
      <c r="J8" s="33">
        <f>'DCWW garreglwyd'!J31</f>
        <v>7.4725E-3</v>
      </c>
      <c r="K8" s="33">
        <f>'DCWW garreglwyd'!K31</f>
        <v>5.1450000000000011E-3</v>
      </c>
      <c r="L8" s="33">
        <f>'DCWW garreglwyd'!L31</f>
        <v>0.39200000000000002</v>
      </c>
      <c r="M8" s="33">
        <f>'DCWW garreglwyd'!M31</f>
        <v>0.12985000000000002</v>
      </c>
      <c r="N8" s="33">
        <f>'DCWW garreglwyd'!N31</f>
        <v>47.04</v>
      </c>
      <c r="O8" s="33">
        <f>'DCWW garreglwyd'!O31</f>
        <v>6602.75</v>
      </c>
      <c r="P8" s="33">
        <f>'DCWW garreglwyd'!P31</f>
        <v>0</v>
      </c>
      <c r="Q8" s="33">
        <f>'DCWW garreglwyd'!Q31</f>
        <v>66.456249999999997</v>
      </c>
      <c r="R8" s="33">
        <f>'DCWW garreglwyd'!R31</f>
        <v>0</v>
      </c>
      <c r="S8" s="33">
        <f>'DCWW garreglwyd'!S31</f>
        <v>0.16170000000000001</v>
      </c>
      <c r="T8" s="33">
        <f>'DCWW garreglwyd'!T31</f>
        <v>0</v>
      </c>
      <c r="U8" s="33">
        <f>'DCWW garreglwyd'!U31</f>
        <v>0</v>
      </c>
    </row>
    <row r="9" spans="1:21" x14ac:dyDescent="0.25">
      <c r="A9" s="36">
        <v>7</v>
      </c>
      <c r="B9" s="33">
        <f>'DCWW llyn conwy'!B31</f>
        <v>250</v>
      </c>
      <c r="C9" s="33">
        <f>'DCWW llyn conwy'!C31</f>
        <v>62.468999999999994</v>
      </c>
      <c r="D9" s="33">
        <f>'DCWW llyn conwy'!D31</f>
        <v>18.552976199999996</v>
      </c>
      <c r="E9" s="33">
        <f>'DCWW llyn conwy'!E31</f>
        <v>1.0378664999999998</v>
      </c>
      <c r="F9" s="33">
        <f>'DCWW llyn conwy'!F31</f>
        <v>5.2525439999999994</v>
      </c>
      <c r="G9" s="33">
        <f>'DCWW llyn conwy'!G31</f>
        <v>2.8907999999999996E-2</v>
      </c>
      <c r="H9" s="33">
        <f>'DCWW llyn conwy'!H31</f>
        <v>3.3363</v>
      </c>
      <c r="I9" s="33">
        <f>'DCWW llyn conwy'!I31</f>
        <v>0.42371999999999993</v>
      </c>
      <c r="J9" s="33">
        <f>'DCWW llyn conwy'!J31</f>
        <v>6.7320000000000001E-3</v>
      </c>
      <c r="K9" s="33">
        <f>'DCWW llyn conwy'!K31</f>
        <v>5.0490000000000005E-3</v>
      </c>
      <c r="L9" s="33">
        <f>'DCWW llyn conwy'!L31</f>
        <v>0.56628000000000001</v>
      </c>
      <c r="M9" s="33">
        <f>'DCWW llyn conwy'!M31</f>
        <v>0.10988999999999999</v>
      </c>
      <c r="N9" s="33">
        <f>'DCWW llyn conwy'!N31</f>
        <v>24.947999999999997</v>
      </c>
      <c r="O9" s="33">
        <f>'DCWW llyn conwy'!O31</f>
        <v>5682.5999999999995</v>
      </c>
      <c r="P9" s="33">
        <f>'DCWW llyn conwy'!P31</f>
        <v>0</v>
      </c>
      <c r="Q9" s="33">
        <f>'DCWW llyn conwy'!Q31</f>
        <v>96.277499999999989</v>
      </c>
      <c r="R9" s="33">
        <f>'DCWW llyn conwy'!R31</f>
        <v>0</v>
      </c>
      <c r="S9" s="33">
        <f>'DCWW llyn conwy'!S31</f>
        <v>0.25839000000000001</v>
      </c>
      <c r="T9" s="33">
        <f>'DCWW llyn conwy'!T31</f>
        <v>0</v>
      </c>
      <c r="U9" s="33">
        <f>'DCWW llyn conwy'!U31</f>
        <v>0</v>
      </c>
    </row>
    <row r="10" spans="1:21" x14ac:dyDescent="0.25">
      <c r="A10" s="36">
        <v>8</v>
      </c>
      <c r="B10" s="33">
        <f>'DCWW myndd'!B31</f>
        <v>0</v>
      </c>
      <c r="C10" s="33">
        <f>'DCWW myndd'!C31</f>
        <v>0</v>
      </c>
      <c r="D10" s="33">
        <f>'DCWW myndd'!D31</f>
        <v>0</v>
      </c>
      <c r="E10" s="33">
        <f>'DCWW myndd'!E31</f>
        <v>0</v>
      </c>
      <c r="F10" s="33">
        <f>'DCWW myndd'!F31</f>
        <v>0</v>
      </c>
      <c r="G10" s="33">
        <f>'DCWW myndd'!G31</f>
        <v>0</v>
      </c>
      <c r="H10" s="33">
        <f>'DCWW myndd'!H31</f>
        <v>0</v>
      </c>
      <c r="I10" s="33">
        <f>'DCWW myndd'!I31</f>
        <v>0</v>
      </c>
      <c r="J10" s="33">
        <f>'DCWW myndd'!J31</f>
        <v>0</v>
      </c>
      <c r="K10" s="33">
        <f>'DCWW myndd'!K31</f>
        <v>0</v>
      </c>
      <c r="L10" s="33">
        <f>'DCWW myndd'!L31</f>
        <v>0</v>
      </c>
      <c r="M10" s="33">
        <f>'DCWW myndd'!M31</f>
        <v>0</v>
      </c>
      <c r="N10" s="33">
        <f>'DCWW myndd'!N31</f>
        <v>0</v>
      </c>
      <c r="O10" s="33">
        <f>'DCWW myndd'!O31</f>
        <v>0</v>
      </c>
      <c r="P10" s="33">
        <f>'DCWW myndd'!P31</f>
        <v>0</v>
      </c>
      <c r="Q10" s="33">
        <f>'DCWW myndd'!Q31</f>
        <v>0</v>
      </c>
      <c r="R10" s="33">
        <f>'DCWW myndd'!R31</f>
        <v>0</v>
      </c>
      <c r="S10" s="33">
        <f>'DCWW myndd'!S31</f>
        <v>0</v>
      </c>
      <c r="T10" s="33">
        <f>'DCWW myndd'!T31</f>
        <v>0</v>
      </c>
      <c r="U10" s="33">
        <f>'DCWW myndd'!U31</f>
        <v>0</v>
      </c>
    </row>
    <row r="11" spans="1:21" x14ac:dyDescent="0.25">
      <c r="A11" s="36">
        <v>9</v>
      </c>
      <c r="B11" s="33"/>
      <c r="C11" s="33"/>
      <c r="D11" s="33"/>
      <c r="E11" s="33"/>
      <c r="F11" s="33"/>
      <c r="G11" s="33"/>
      <c r="H11" s="33"/>
      <c r="I11" s="33"/>
      <c r="J11" s="33"/>
      <c r="K11" s="33"/>
      <c r="L11" s="33"/>
      <c r="M11" s="33"/>
      <c r="N11" s="33"/>
      <c r="O11" s="33"/>
      <c r="P11" s="33"/>
      <c r="Q11" s="33"/>
      <c r="R11" s="33"/>
      <c r="S11" s="33"/>
      <c r="T11" s="33"/>
      <c r="U11" s="33"/>
    </row>
    <row r="12" spans="1:21" x14ac:dyDescent="0.25">
      <c r="A12" s="36">
        <v>10</v>
      </c>
      <c r="B12" s="33"/>
      <c r="C12" s="33"/>
      <c r="D12" s="33"/>
      <c r="E12" s="33"/>
      <c r="F12" s="33"/>
      <c r="G12" s="33"/>
      <c r="H12" s="33"/>
      <c r="I12" s="33"/>
      <c r="J12" s="33"/>
      <c r="K12" s="33"/>
      <c r="L12" s="33"/>
      <c r="M12" s="33"/>
      <c r="N12" s="33"/>
      <c r="O12" s="33"/>
      <c r="P12" s="33"/>
      <c r="Q12" s="33"/>
      <c r="R12" s="33"/>
      <c r="S12" s="33"/>
      <c r="T12" s="33"/>
      <c r="U12" s="33"/>
    </row>
    <row r="13" spans="1:21" s="82" customFormat="1" ht="15.6" x14ac:dyDescent="0.3">
      <c r="A13" s="80" t="s">
        <v>85</v>
      </c>
      <c r="B13" s="81" t="e">
        <f>SUM(B3:B12)</f>
        <v>#REF!</v>
      </c>
      <c r="C13" s="81" t="e">
        <f t="shared" ref="C13:U13" si="0">SUM(C3:C12)</f>
        <v>#REF!</v>
      </c>
      <c r="D13" s="81" t="e">
        <f t="shared" si="0"/>
        <v>#REF!</v>
      </c>
      <c r="E13" s="81" t="e">
        <f t="shared" si="0"/>
        <v>#REF!</v>
      </c>
      <c r="F13" s="81" t="e">
        <f t="shared" si="0"/>
        <v>#REF!</v>
      </c>
      <c r="G13" s="81" t="e">
        <f t="shared" si="0"/>
        <v>#REF!</v>
      </c>
      <c r="H13" s="81" t="e">
        <f t="shared" si="0"/>
        <v>#REF!</v>
      </c>
      <c r="I13" s="81" t="e">
        <f t="shared" si="0"/>
        <v>#REF!</v>
      </c>
      <c r="J13" s="81" t="e">
        <f t="shared" si="0"/>
        <v>#REF!</v>
      </c>
      <c r="K13" s="81" t="e">
        <f t="shared" si="0"/>
        <v>#REF!</v>
      </c>
      <c r="L13" s="81" t="e">
        <f t="shared" si="0"/>
        <v>#REF!</v>
      </c>
      <c r="M13" s="81" t="e">
        <f t="shared" si="0"/>
        <v>#REF!</v>
      </c>
      <c r="N13" s="81" t="e">
        <f t="shared" si="0"/>
        <v>#REF!</v>
      </c>
      <c r="O13" s="81" t="e">
        <f t="shared" si="0"/>
        <v>#REF!</v>
      </c>
      <c r="P13" s="81" t="e">
        <f t="shared" si="0"/>
        <v>#REF!</v>
      </c>
      <c r="Q13" s="81" t="e">
        <f t="shared" si="0"/>
        <v>#REF!</v>
      </c>
      <c r="R13" s="81" t="e">
        <f t="shared" si="0"/>
        <v>#REF!</v>
      </c>
      <c r="S13" s="81" t="e">
        <f t="shared" si="0"/>
        <v>#REF!</v>
      </c>
      <c r="T13" s="81" t="e">
        <f t="shared" si="0"/>
        <v>#REF!</v>
      </c>
      <c r="U13" s="81" t="e">
        <f t="shared" si="0"/>
        <v>#REF!</v>
      </c>
    </row>
  </sheetData>
  <mergeCells count="1">
    <mergeCell ref="A1:A2"/>
  </mergeCells>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activeCell="X16" sqref="X16"/>
    </sheetView>
  </sheetViews>
  <sheetFormatPr defaultColWidth="9.109375" defaultRowHeight="13.2" x14ac:dyDescent="0.25"/>
  <cols>
    <col min="1" max="2" width="9.109375" style="79"/>
    <col min="3" max="3" width="11" style="79" customWidth="1"/>
    <col min="4" max="4" width="9.109375" style="79"/>
    <col min="5" max="5" width="9.6640625" style="79" customWidth="1"/>
    <col min="6" max="14" width="9.109375" style="79"/>
    <col min="15" max="15" width="9.6640625" style="79" bestFit="1" customWidth="1"/>
    <col min="16" max="20" width="9.109375" style="79"/>
    <col min="21" max="21" width="10" style="79" bestFit="1" customWidth="1"/>
    <col min="22" max="16384" width="9.109375" style="79"/>
  </cols>
  <sheetData>
    <row r="1" spans="1:22" s="83" customFormat="1" ht="39.6" x14ac:dyDescent="0.3">
      <c r="A1" s="146" t="s">
        <v>84</v>
      </c>
      <c r="B1" s="34" t="s">
        <v>152</v>
      </c>
      <c r="C1" s="35" t="str">
        <f>'DCWW Bryn Cowlyd'!B29</f>
        <v>Application Rate</v>
      </c>
      <c r="D1" s="35" t="str">
        <f>'DCWW Bryn Cowlyd'!C29</f>
        <v>Nitrogen Addition</v>
      </c>
      <c r="E1" s="35" t="str">
        <f>'DCWW Bryn Cowlyd'!D29</f>
        <v>Phosphate Addition</v>
      </c>
      <c r="F1" s="35" t="str">
        <f>'DCWW Bryn Cowlyd'!E29</f>
        <v>Potash  Addition</v>
      </c>
      <c r="G1" s="35" t="str">
        <f>'DCWW Bryn Cowlyd'!F29</f>
        <v>Mg Oxide Addition</v>
      </c>
      <c r="H1" s="35" t="str">
        <f>'DCWW Bryn Cowlyd'!G29</f>
        <v>Copper Addition</v>
      </c>
      <c r="I1" s="35" t="str">
        <f>'DCWW Bryn Cowlyd'!H29</f>
        <v>Zinc Addition</v>
      </c>
      <c r="J1" s="35" t="str">
        <f>'DCWW Bryn Cowlyd'!I29</f>
        <v>Lead Addition</v>
      </c>
      <c r="K1" s="35" t="str">
        <f>'DCWW Bryn Cowlyd'!J29</f>
        <v>Cadmium Addition</v>
      </c>
      <c r="L1" s="35" t="str">
        <f>'DCWW Bryn Cowlyd'!K29</f>
        <v>Mercury Addition</v>
      </c>
      <c r="M1" s="35" t="str">
        <f>'DCWW Bryn Cowlyd'!L29</f>
        <v>Nickel Addition</v>
      </c>
      <c r="N1" s="35" t="str">
        <f>'DCWW Bryn Cowlyd'!M29</f>
        <v>Chromium Addition</v>
      </c>
      <c r="O1" s="35" t="str">
        <f>'DCWW Bryn Cowlyd'!N29</f>
        <v>Aluminium Addition</v>
      </c>
      <c r="P1" s="35" t="str">
        <f>'DCWW Bryn Cowlyd'!O29</f>
        <v>Iron Addition</v>
      </c>
      <c r="Q1" s="35" t="str">
        <f>'DCWW Bryn Cowlyd'!P29</f>
        <v xml:space="preserve">Sodium Addition                 </v>
      </c>
      <c r="R1" s="35" t="str">
        <f>'DCWW Bryn Cowlyd'!Q29</f>
        <v>SO3  Addition                             kg/ha</v>
      </c>
      <c r="S1" s="35" t="str">
        <f>'DCWW Bryn Cowlyd'!R29</f>
        <v xml:space="preserve">Selenium Addition </v>
      </c>
      <c r="T1" s="35" t="str">
        <f>'DCWW Bryn Cowlyd'!S29</f>
        <v xml:space="preserve">Arsenic  Addition  </v>
      </c>
      <c r="U1" s="35" t="str">
        <f>'DCWW Bryn Cowlyd'!T29</f>
        <v xml:space="preserve">Molybdenum Addition  </v>
      </c>
      <c r="V1" s="35" t="str">
        <f>'DCWW Bryn Cowlyd'!U29</f>
        <v xml:space="preserve">Fluoride Addition </v>
      </c>
    </row>
    <row r="2" spans="1:22" s="83" customFormat="1" ht="26.4" x14ac:dyDescent="0.3">
      <c r="A2" s="146"/>
      <c r="B2" s="32" t="s">
        <v>46</v>
      </c>
      <c r="C2" s="35" t="str">
        <f>'DCWW Bryn Cowlyd'!B30</f>
        <v>tonnes/ha</v>
      </c>
      <c r="D2" s="35" t="str">
        <f>'DCWW Bryn Cowlyd'!C30</f>
        <v>kg/ha</v>
      </c>
      <c r="E2" s="35" t="str">
        <f>'DCWW Bryn Cowlyd'!D30</f>
        <v>P2O5 
kg/ha</v>
      </c>
      <c r="F2" s="35" t="str">
        <f>'DCWW Bryn Cowlyd'!E30</f>
        <v>K2O 
kg/ha</v>
      </c>
      <c r="G2" s="35" t="str">
        <f>'DCWW Bryn Cowlyd'!F30</f>
        <v>MgO 
kg/ha</v>
      </c>
      <c r="H2" s="35" t="str">
        <f>'DCWW Bryn Cowlyd'!G30</f>
        <v>kg/ha</v>
      </c>
      <c r="I2" s="35" t="str">
        <f>'DCWW Bryn Cowlyd'!H30</f>
        <v>kg/ha</v>
      </c>
      <c r="J2" s="35" t="str">
        <f>'DCWW Bryn Cowlyd'!I30</f>
        <v>kg/ha</v>
      </c>
      <c r="K2" s="35" t="str">
        <f>'DCWW Bryn Cowlyd'!J30</f>
        <v>kg/ha</v>
      </c>
      <c r="L2" s="35" t="str">
        <f>'DCWW Bryn Cowlyd'!K30</f>
        <v>kg/ha</v>
      </c>
      <c r="M2" s="35" t="str">
        <f>'DCWW Bryn Cowlyd'!L30</f>
        <v>kg/ha</v>
      </c>
      <c r="N2" s="35" t="str">
        <f>'DCWW Bryn Cowlyd'!M30</f>
        <v>kg/ha</v>
      </c>
      <c r="O2" s="35" t="str">
        <f>'DCWW Bryn Cowlyd'!N30</f>
        <v>kg/ha</v>
      </c>
      <c r="P2" s="35" t="str">
        <f>'DCWW Bryn Cowlyd'!O30</f>
        <v>kg/ha</v>
      </c>
      <c r="Q2" s="35" t="str">
        <f>'DCWW Bryn Cowlyd'!P30</f>
        <v>kg/ha</v>
      </c>
      <c r="R2" s="35" t="str">
        <f>'DCWW Bryn Cowlyd'!Q30</f>
        <v>kg/ha</v>
      </c>
      <c r="S2" s="35" t="str">
        <f>'DCWW Bryn Cowlyd'!R30</f>
        <v>kg/ha</v>
      </c>
      <c r="T2" s="35" t="str">
        <f>'DCWW Bryn Cowlyd'!S30</f>
        <v>kg/ha</v>
      </c>
      <c r="U2" s="35" t="str">
        <f>'DCWW Bryn Cowlyd'!T30</f>
        <v>kg/ha</v>
      </c>
      <c r="V2" s="35" t="str">
        <f>'DCWW Bryn Cowlyd'!U30</f>
        <v>kg/ha</v>
      </c>
    </row>
    <row r="3" spans="1:22" x14ac:dyDescent="0.25">
      <c r="A3" s="36">
        <v>1</v>
      </c>
      <c r="B3" s="91"/>
      <c r="C3" s="33">
        <f>'DCWW Bryn Cowlyd'!B31</f>
        <v>250</v>
      </c>
      <c r="D3" s="33">
        <f>'DCWW Bryn Cowlyd'!C31</f>
        <v>40.292500000000004</v>
      </c>
      <c r="E3" s="33">
        <f>'DCWW Bryn Cowlyd'!D31</f>
        <v>2.0022194500000001</v>
      </c>
      <c r="F3" s="33">
        <f>'DCWW Bryn Cowlyd'!E31</f>
        <v>1.3676750000000004</v>
      </c>
      <c r="G3" s="33">
        <f>'DCWW Bryn Cowlyd'!F31</f>
        <v>3.6131136000000001</v>
      </c>
      <c r="H3" s="33">
        <f>'DCWW Bryn Cowlyd'!G31</f>
        <v>2.9056000000000005E-2</v>
      </c>
      <c r="I3" s="33">
        <f>'DCWW Bryn Cowlyd'!H31</f>
        <v>1.0612250000000001</v>
      </c>
      <c r="J3" s="33">
        <f>'DCWW Bryn Cowlyd'!I31</f>
        <v>0.15152250000000003</v>
      </c>
      <c r="K3" s="33">
        <f>'DCWW Bryn Cowlyd'!J31</f>
        <v>2.3267500000000003E-3</v>
      </c>
      <c r="L3" s="33">
        <f>'DCWW Bryn Cowlyd'!K31</f>
        <v>5.0507500000000006E-3</v>
      </c>
      <c r="M3" s="33">
        <f>'DCWW Bryn Cowlyd'!L31</f>
        <v>0.35809250000000004</v>
      </c>
      <c r="N3" s="33">
        <f>'DCWW Bryn Cowlyd'!M31</f>
        <v>4.1881500000000002E-2</v>
      </c>
      <c r="O3" s="33">
        <f>'DCWW Bryn Cowlyd'!N31</f>
        <v>15.322500000000003</v>
      </c>
      <c r="P3" s="33">
        <f>'DCWW Bryn Cowlyd'!O31</f>
        <v>2582.125</v>
      </c>
      <c r="Q3" s="33">
        <f>'DCWW Bryn Cowlyd'!P31</f>
        <v>0</v>
      </c>
      <c r="R3" s="33">
        <f>'DCWW Bryn Cowlyd'!Q31</f>
        <v>65.546250000000001</v>
      </c>
      <c r="S3" s="33">
        <f>'DCWW Bryn Cowlyd'!R31</f>
        <v>0</v>
      </c>
      <c r="T3" s="33">
        <f>'DCWW Bryn Cowlyd'!S31</f>
        <v>7.7179999999999999E-2</v>
      </c>
      <c r="U3" s="33">
        <f>'DCWW Bryn Cowlyd'!T31</f>
        <v>0</v>
      </c>
      <c r="V3" s="33">
        <f>'DCWW Bryn Cowlyd'!U31</f>
        <v>0</v>
      </c>
    </row>
    <row r="4" spans="1:22" x14ac:dyDescent="0.25">
      <c r="A4" s="36">
        <v>2</v>
      </c>
      <c r="B4" s="91"/>
      <c r="C4" s="33" t="e">
        <f>#REF!</f>
        <v>#REF!</v>
      </c>
      <c r="D4" s="33" t="e">
        <f>#REF!</f>
        <v>#REF!</v>
      </c>
      <c r="E4" s="33" t="e">
        <f>#REF!</f>
        <v>#REF!</v>
      </c>
      <c r="F4" s="33" t="e">
        <f>#REF!</f>
        <v>#REF!</v>
      </c>
      <c r="G4" s="33" t="e">
        <f>#REF!</f>
        <v>#REF!</v>
      </c>
      <c r="H4" s="33" t="e">
        <f>#REF!</f>
        <v>#REF!</v>
      </c>
      <c r="I4" s="33" t="e">
        <f>#REF!</f>
        <v>#REF!</v>
      </c>
      <c r="J4" s="33" t="e">
        <f>#REF!</f>
        <v>#REF!</v>
      </c>
      <c r="K4" s="33" t="e">
        <f>#REF!</f>
        <v>#REF!</v>
      </c>
      <c r="L4" s="33" t="e">
        <f>#REF!</f>
        <v>#REF!</v>
      </c>
      <c r="M4" s="33" t="e">
        <f>#REF!</f>
        <v>#REF!</v>
      </c>
      <c r="N4" s="33" t="e">
        <f>#REF!</f>
        <v>#REF!</v>
      </c>
      <c r="O4" s="33" t="e">
        <f>#REF!</f>
        <v>#REF!</v>
      </c>
      <c r="P4" s="33" t="e">
        <f>#REF!</f>
        <v>#REF!</v>
      </c>
      <c r="Q4" s="33" t="e">
        <f>#REF!</f>
        <v>#REF!</v>
      </c>
      <c r="R4" s="33" t="e">
        <f>#REF!</f>
        <v>#REF!</v>
      </c>
      <c r="S4" s="33" t="e">
        <f>#REF!</f>
        <v>#REF!</v>
      </c>
      <c r="T4" s="33" t="e">
        <f>#REF!</f>
        <v>#REF!</v>
      </c>
      <c r="U4" s="33" t="e">
        <f>#REF!</f>
        <v>#REF!</v>
      </c>
      <c r="V4" s="33" t="e">
        <f>#REF!</f>
        <v>#REF!</v>
      </c>
    </row>
    <row r="5" spans="1:22" x14ac:dyDescent="0.25">
      <c r="A5" s="36">
        <v>3</v>
      </c>
      <c r="B5" s="91"/>
      <c r="C5" s="33">
        <f>'DCWW Cefni'!B31</f>
        <v>0</v>
      </c>
      <c r="D5" s="33">
        <f>'DCWW Cefni'!C31</f>
        <v>0</v>
      </c>
      <c r="E5" s="33">
        <f>'DCWW Cefni'!D31</f>
        <v>0</v>
      </c>
      <c r="F5" s="33">
        <f>'DCWW Cefni'!E31</f>
        <v>0</v>
      </c>
      <c r="G5" s="33">
        <f>'DCWW Cefni'!F31</f>
        <v>0</v>
      </c>
      <c r="H5" s="33">
        <f>'DCWW Cefni'!G31</f>
        <v>0</v>
      </c>
      <c r="I5" s="33">
        <f>'DCWW Cefni'!H31</f>
        <v>0</v>
      </c>
      <c r="J5" s="33">
        <f>'DCWW Cefni'!I31</f>
        <v>0</v>
      </c>
      <c r="K5" s="33">
        <f>'DCWW Cefni'!J31</f>
        <v>0</v>
      </c>
      <c r="L5" s="33">
        <f>'DCWW Cefni'!K31</f>
        <v>0</v>
      </c>
      <c r="M5" s="33">
        <f>'DCWW Cefni'!L31</f>
        <v>0</v>
      </c>
      <c r="N5" s="33">
        <f>'DCWW Cefni'!M31</f>
        <v>0</v>
      </c>
      <c r="O5" s="33">
        <f>'DCWW Cefni'!N31</f>
        <v>0</v>
      </c>
      <c r="P5" s="33">
        <f>'DCWW Cefni'!O31</f>
        <v>0</v>
      </c>
      <c r="Q5" s="33">
        <f>'DCWW Cefni'!P31</f>
        <v>0</v>
      </c>
      <c r="R5" s="33">
        <f>'DCWW Cefni'!Q31</f>
        <v>0</v>
      </c>
      <c r="S5" s="33">
        <f>'DCWW Cefni'!R31</f>
        <v>0</v>
      </c>
      <c r="T5" s="33">
        <f>'DCWW Cefni'!S31</f>
        <v>0</v>
      </c>
      <c r="U5" s="33">
        <f>'DCWW Cefni'!T31</f>
        <v>0</v>
      </c>
      <c r="V5" s="33">
        <f>'DCWW Cefni'!U31</f>
        <v>0</v>
      </c>
    </row>
    <row r="6" spans="1:22" x14ac:dyDescent="0.25">
      <c r="A6" s="36">
        <v>4</v>
      </c>
      <c r="B6" s="91"/>
      <c r="C6" s="33">
        <f>'DCWW cwellyn'!B31</f>
        <v>0</v>
      </c>
      <c r="D6" s="33">
        <f>'DCWW cwellyn'!C31</f>
        <v>0</v>
      </c>
      <c r="E6" s="33">
        <f>'DCWW cwellyn'!D31</f>
        <v>0</v>
      </c>
      <c r="F6" s="33">
        <f>'DCWW cwellyn'!E31</f>
        <v>0</v>
      </c>
      <c r="G6" s="33">
        <f>'DCWW cwellyn'!F31</f>
        <v>0</v>
      </c>
      <c r="H6" s="33">
        <f>'DCWW cwellyn'!G31</f>
        <v>0</v>
      </c>
      <c r="I6" s="33">
        <f>'DCWW cwellyn'!H31</f>
        <v>0</v>
      </c>
      <c r="J6" s="33">
        <f>'DCWW cwellyn'!I31</f>
        <v>0</v>
      </c>
      <c r="K6" s="33">
        <f>'DCWW cwellyn'!J31</f>
        <v>0</v>
      </c>
      <c r="L6" s="33">
        <f>'DCWW cwellyn'!K31</f>
        <v>0</v>
      </c>
      <c r="M6" s="33">
        <f>'DCWW cwellyn'!L31</f>
        <v>0</v>
      </c>
      <c r="N6" s="33">
        <f>'DCWW cwellyn'!M31</f>
        <v>0</v>
      </c>
      <c r="O6" s="33">
        <f>'DCWW cwellyn'!N31</f>
        <v>0</v>
      </c>
      <c r="P6" s="33">
        <f>'DCWW cwellyn'!O31</f>
        <v>0</v>
      </c>
      <c r="Q6" s="33">
        <f>'DCWW cwellyn'!P31</f>
        <v>0</v>
      </c>
      <c r="R6" s="33">
        <f>'DCWW cwellyn'!Q31</f>
        <v>0</v>
      </c>
      <c r="S6" s="33">
        <f>'DCWW cwellyn'!R31</f>
        <v>0</v>
      </c>
      <c r="T6" s="33">
        <f>'DCWW cwellyn'!S31</f>
        <v>0</v>
      </c>
      <c r="U6" s="33">
        <f>'DCWW cwellyn'!T31</f>
        <v>0</v>
      </c>
      <c r="V6" s="33">
        <f>'DCWW cwellyn'!U31</f>
        <v>0</v>
      </c>
    </row>
    <row r="7" spans="1:22" x14ac:dyDescent="0.25">
      <c r="A7" s="36">
        <v>5</v>
      </c>
      <c r="B7" s="91"/>
      <c r="C7" s="33">
        <f>'DCWW dolbenmaen'!B31</f>
        <v>0</v>
      </c>
      <c r="D7" s="33">
        <f>'DCWW dolbenmaen'!C31</f>
        <v>0</v>
      </c>
      <c r="E7" s="33">
        <f>'DCWW dolbenmaen'!D31</f>
        <v>0</v>
      </c>
      <c r="F7" s="33">
        <f>'DCWW dolbenmaen'!E31</f>
        <v>0</v>
      </c>
      <c r="G7" s="33">
        <f>'DCWW dolbenmaen'!F31</f>
        <v>0</v>
      </c>
      <c r="H7" s="33">
        <f>'DCWW dolbenmaen'!G31</f>
        <v>0</v>
      </c>
      <c r="I7" s="33">
        <f>'DCWW dolbenmaen'!H31</f>
        <v>0</v>
      </c>
      <c r="J7" s="33">
        <f>'DCWW dolbenmaen'!I31</f>
        <v>0</v>
      </c>
      <c r="K7" s="33">
        <f>'DCWW dolbenmaen'!J31</f>
        <v>0</v>
      </c>
      <c r="L7" s="33">
        <f>'DCWW dolbenmaen'!K31</f>
        <v>0</v>
      </c>
      <c r="M7" s="33">
        <f>'DCWW dolbenmaen'!L31</f>
        <v>0</v>
      </c>
      <c r="N7" s="33">
        <f>'DCWW dolbenmaen'!M31</f>
        <v>0</v>
      </c>
      <c r="O7" s="33">
        <f>'DCWW dolbenmaen'!N31</f>
        <v>0</v>
      </c>
      <c r="P7" s="33">
        <f>'DCWW dolbenmaen'!O31</f>
        <v>0</v>
      </c>
      <c r="Q7" s="33">
        <f>'DCWW dolbenmaen'!P31</f>
        <v>0</v>
      </c>
      <c r="R7" s="33">
        <f>'DCWW dolbenmaen'!Q31</f>
        <v>0</v>
      </c>
      <c r="S7" s="33">
        <f>'DCWW dolbenmaen'!R31</f>
        <v>0</v>
      </c>
      <c r="T7" s="33">
        <f>'DCWW dolbenmaen'!S31</f>
        <v>0</v>
      </c>
      <c r="U7" s="33">
        <f>'DCWW dolbenmaen'!T31</f>
        <v>0</v>
      </c>
      <c r="V7" s="33">
        <f>'DCWW dolbenmaen'!U31</f>
        <v>0</v>
      </c>
    </row>
    <row r="8" spans="1:22" x14ac:dyDescent="0.25">
      <c r="A8" s="36">
        <v>6</v>
      </c>
      <c r="B8" s="91"/>
      <c r="C8" s="33">
        <f>'DCWW garreglwyd'!B31</f>
        <v>250</v>
      </c>
      <c r="D8" s="33">
        <f>'DCWW garreglwyd'!C31</f>
        <v>69.334999999999994</v>
      </c>
      <c r="E8" s="33">
        <f>'DCWW garreglwyd'!D31</f>
        <v>5.2200435000000001</v>
      </c>
      <c r="F8" s="33">
        <f>'DCWW garreglwyd'!E31</f>
        <v>1.4761250000000001</v>
      </c>
      <c r="G8" s="33">
        <f>'DCWW garreglwyd'!F31</f>
        <v>10.277113</v>
      </c>
      <c r="H8" s="33">
        <f>'DCWW garreglwyd'!G31</f>
        <v>0.44222500000000003</v>
      </c>
      <c r="I8" s="33">
        <f>'DCWW garreglwyd'!H31</f>
        <v>5.5369999999999999</v>
      </c>
      <c r="J8" s="33">
        <f>'DCWW garreglwyd'!I31</f>
        <v>0.56227499999999997</v>
      </c>
      <c r="K8" s="33">
        <f>'DCWW garreglwyd'!J31</f>
        <v>7.4725E-3</v>
      </c>
      <c r="L8" s="33">
        <f>'DCWW garreglwyd'!K31</f>
        <v>5.1450000000000011E-3</v>
      </c>
      <c r="M8" s="33">
        <f>'DCWW garreglwyd'!L31</f>
        <v>0.39200000000000002</v>
      </c>
      <c r="N8" s="33">
        <f>'DCWW garreglwyd'!M31</f>
        <v>0.12985000000000002</v>
      </c>
      <c r="O8" s="33">
        <f>'DCWW garreglwyd'!N31</f>
        <v>47.04</v>
      </c>
      <c r="P8" s="33">
        <f>'DCWW garreglwyd'!O31</f>
        <v>6602.75</v>
      </c>
      <c r="Q8" s="33">
        <f>'DCWW garreglwyd'!P31</f>
        <v>0</v>
      </c>
      <c r="R8" s="33">
        <f>'DCWW garreglwyd'!Q31</f>
        <v>66.456249999999997</v>
      </c>
      <c r="S8" s="33">
        <f>'DCWW garreglwyd'!R31</f>
        <v>0</v>
      </c>
      <c r="T8" s="33">
        <f>'DCWW garreglwyd'!S31</f>
        <v>0.16170000000000001</v>
      </c>
      <c r="U8" s="33">
        <f>'DCWW garreglwyd'!T31</f>
        <v>0</v>
      </c>
      <c r="V8" s="33">
        <f>'DCWW garreglwyd'!U31</f>
        <v>0</v>
      </c>
    </row>
    <row r="9" spans="1:22" x14ac:dyDescent="0.25">
      <c r="A9" s="36">
        <v>7</v>
      </c>
      <c r="B9" s="91"/>
      <c r="C9" s="33">
        <f>'DCWW llyn conwy'!B31</f>
        <v>250</v>
      </c>
      <c r="D9" s="33">
        <f>'DCWW llyn conwy'!C31</f>
        <v>62.468999999999994</v>
      </c>
      <c r="E9" s="33">
        <f>'DCWW llyn conwy'!D31</f>
        <v>18.552976199999996</v>
      </c>
      <c r="F9" s="33">
        <f>'DCWW llyn conwy'!E31</f>
        <v>1.0378664999999998</v>
      </c>
      <c r="G9" s="33">
        <f>'DCWW llyn conwy'!F31</f>
        <v>5.2525439999999994</v>
      </c>
      <c r="H9" s="33">
        <f>'DCWW llyn conwy'!G31</f>
        <v>2.8907999999999996E-2</v>
      </c>
      <c r="I9" s="33">
        <f>'DCWW llyn conwy'!H31</f>
        <v>3.3363</v>
      </c>
      <c r="J9" s="33">
        <f>'DCWW llyn conwy'!I31</f>
        <v>0.42371999999999993</v>
      </c>
      <c r="K9" s="33">
        <f>'DCWW llyn conwy'!J31</f>
        <v>6.7320000000000001E-3</v>
      </c>
      <c r="L9" s="33">
        <f>'DCWW llyn conwy'!K31</f>
        <v>5.0490000000000005E-3</v>
      </c>
      <c r="M9" s="33">
        <f>'DCWW llyn conwy'!L31</f>
        <v>0.56628000000000001</v>
      </c>
      <c r="N9" s="33">
        <f>'DCWW llyn conwy'!M31</f>
        <v>0.10988999999999999</v>
      </c>
      <c r="O9" s="33">
        <f>'DCWW llyn conwy'!N31</f>
        <v>24.947999999999997</v>
      </c>
      <c r="P9" s="33">
        <f>'DCWW llyn conwy'!O31</f>
        <v>5682.5999999999995</v>
      </c>
      <c r="Q9" s="33">
        <f>'DCWW llyn conwy'!P31</f>
        <v>0</v>
      </c>
      <c r="R9" s="33">
        <f>'DCWW llyn conwy'!Q31</f>
        <v>96.277499999999989</v>
      </c>
      <c r="S9" s="33">
        <f>'DCWW llyn conwy'!R31</f>
        <v>0</v>
      </c>
      <c r="T9" s="33">
        <f>'DCWW llyn conwy'!S31</f>
        <v>0.25839000000000001</v>
      </c>
      <c r="U9" s="33">
        <f>'DCWW llyn conwy'!T31</f>
        <v>0</v>
      </c>
      <c r="V9" s="33">
        <f>'DCWW llyn conwy'!U31</f>
        <v>0</v>
      </c>
    </row>
    <row r="10" spans="1:22" x14ac:dyDescent="0.25">
      <c r="A10" s="36">
        <v>8</v>
      </c>
      <c r="B10" s="91"/>
      <c r="C10" s="33">
        <f>'DCWW myndd'!B31</f>
        <v>0</v>
      </c>
      <c r="D10" s="33">
        <f>'DCWW myndd'!C31</f>
        <v>0</v>
      </c>
      <c r="E10" s="33">
        <f>'DCWW myndd'!D31</f>
        <v>0</v>
      </c>
      <c r="F10" s="33">
        <f>'DCWW myndd'!E31</f>
        <v>0</v>
      </c>
      <c r="G10" s="33">
        <f>'DCWW myndd'!F31</f>
        <v>0</v>
      </c>
      <c r="H10" s="33">
        <f>'DCWW myndd'!G31</f>
        <v>0</v>
      </c>
      <c r="I10" s="33">
        <f>'DCWW myndd'!H31</f>
        <v>0</v>
      </c>
      <c r="J10" s="33">
        <f>'DCWW myndd'!I31</f>
        <v>0</v>
      </c>
      <c r="K10" s="33">
        <f>'DCWW myndd'!J31</f>
        <v>0</v>
      </c>
      <c r="L10" s="33">
        <f>'DCWW myndd'!K31</f>
        <v>0</v>
      </c>
      <c r="M10" s="33">
        <f>'DCWW myndd'!L31</f>
        <v>0</v>
      </c>
      <c r="N10" s="33">
        <f>'DCWW myndd'!M31</f>
        <v>0</v>
      </c>
      <c r="O10" s="33">
        <f>'DCWW myndd'!N31</f>
        <v>0</v>
      </c>
      <c r="P10" s="33">
        <f>'DCWW myndd'!O31</f>
        <v>0</v>
      </c>
      <c r="Q10" s="33">
        <f>'DCWW myndd'!P31</f>
        <v>0</v>
      </c>
      <c r="R10" s="33">
        <f>'DCWW myndd'!Q31</f>
        <v>0</v>
      </c>
      <c r="S10" s="33">
        <f>'DCWW myndd'!R31</f>
        <v>0</v>
      </c>
      <c r="T10" s="33">
        <f>'DCWW myndd'!S31</f>
        <v>0</v>
      </c>
      <c r="U10" s="33">
        <f>'DCWW myndd'!T31</f>
        <v>0</v>
      </c>
      <c r="V10" s="33">
        <f>'DCWW myndd'!U31</f>
        <v>0</v>
      </c>
    </row>
    <row r="11" spans="1:22" x14ac:dyDescent="0.25">
      <c r="A11" s="36">
        <v>9</v>
      </c>
      <c r="B11" s="91"/>
      <c r="C11" s="33"/>
      <c r="D11" s="33"/>
      <c r="E11" s="33"/>
      <c r="F11" s="33"/>
      <c r="G11" s="33"/>
      <c r="H11" s="33"/>
      <c r="I11" s="33"/>
      <c r="J11" s="33"/>
      <c r="K11" s="33"/>
      <c r="L11" s="33"/>
      <c r="M11" s="33"/>
      <c r="N11" s="33"/>
      <c r="O11" s="33"/>
      <c r="P11" s="33"/>
      <c r="Q11" s="33"/>
      <c r="R11" s="33"/>
      <c r="S11" s="33"/>
      <c r="T11" s="33"/>
      <c r="U11" s="33"/>
      <c r="V11" s="33"/>
    </row>
    <row r="12" spans="1:22" x14ac:dyDescent="0.25">
      <c r="A12" s="36">
        <v>10</v>
      </c>
      <c r="B12" s="91"/>
      <c r="C12" s="33"/>
      <c r="D12" s="33"/>
      <c r="E12" s="33"/>
      <c r="F12" s="33"/>
      <c r="G12" s="33"/>
      <c r="H12" s="33"/>
      <c r="I12" s="33"/>
      <c r="J12" s="33"/>
      <c r="K12" s="33"/>
      <c r="L12" s="33"/>
      <c r="M12" s="33"/>
      <c r="N12" s="33"/>
      <c r="O12" s="33"/>
      <c r="P12" s="33"/>
      <c r="Q12" s="33"/>
      <c r="R12" s="33"/>
      <c r="S12" s="33"/>
      <c r="T12" s="33"/>
      <c r="U12" s="33"/>
      <c r="V12" s="33"/>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9.6" x14ac:dyDescent="0.25">
      <c r="A15" s="145" t="s">
        <v>84</v>
      </c>
      <c r="B15" s="35" t="s">
        <v>152</v>
      </c>
      <c r="C15" s="35">
        <f>'DCWW Bryn Cowlyd'!B43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6.4" x14ac:dyDescent="0.25">
      <c r="A16" s="145"/>
      <c r="B16" s="32" t="s">
        <v>46</v>
      </c>
      <c r="C16" s="35">
        <f>'DCWW Bryn Cowlyd'!B44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250</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t="e">
        <f t="shared" si="3"/>
        <v>#REF!</v>
      </c>
      <c r="D18" s="88" t="e">
        <f>D4*$B$4</f>
        <v>#REF!</v>
      </c>
      <c r="E18" s="88" t="e">
        <f t="shared" ref="E18:V18" si="4">E4*$B$4</f>
        <v>#REF!</v>
      </c>
      <c r="F18" s="88" t="e">
        <f t="shared" si="4"/>
        <v>#REF!</v>
      </c>
      <c r="G18" s="88" t="e">
        <f t="shared" si="4"/>
        <v>#REF!</v>
      </c>
      <c r="H18" s="88" t="e">
        <f t="shared" si="4"/>
        <v>#REF!</v>
      </c>
      <c r="I18" s="88" t="e">
        <f t="shared" si="4"/>
        <v>#REF!</v>
      </c>
      <c r="J18" s="88" t="e">
        <f t="shared" si="4"/>
        <v>#REF!</v>
      </c>
      <c r="K18" s="88" t="e">
        <f t="shared" si="4"/>
        <v>#REF!</v>
      </c>
      <c r="L18" s="88" t="e">
        <f t="shared" si="4"/>
        <v>#REF!</v>
      </c>
      <c r="M18" s="88" t="e">
        <f t="shared" si="4"/>
        <v>#REF!</v>
      </c>
      <c r="N18" s="88" t="e">
        <f t="shared" si="4"/>
        <v>#REF!</v>
      </c>
      <c r="O18" s="88" t="e">
        <f t="shared" si="4"/>
        <v>#REF!</v>
      </c>
      <c r="P18" s="88" t="e">
        <f t="shared" si="4"/>
        <v>#REF!</v>
      </c>
      <c r="Q18" s="88" t="e">
        <f t="shared" si="4"/>
        <v>#REF!</v>
      </c>
      <c r="R18" s="88" t="e">
        <f t="shared" si="4"/>
        <v>#REF!</v>
      </c>
      <c r="S18" s="88" t="e">
        <f t="shared" si="4"/>
        <v>#REF!</v>
      </c>
      <c r="T18" s="88" t="e">
        <f t="shared" si="4"/>
        <v>#REF!</v>
      </c>
      <c r="U18" s="88" t="e">
        <f t="shared" si="4"/>
        <v>#REF!</v>
      </c>
      <c r="V18" s="88" t="e">
        <f t="shared" si="4"/>
        <v>#REF!</v>
      </c>
    </row>
    <row r="19" spans="1:22" x14ac:dyDescent="0.25">
      <c r="A19" s="85">
        <v>3</v>
      </c>
      <c r="B19" s="86">
        <f t="shared" ref="B19:C19" si="5">B5</f>
        <v>0</v>
      </c>
      <c r="C19" s="87">
        <f t="shared" si="5"/>
        <v>0</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250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250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f t="shared" si="17"/>
        <v>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5">
      <c r="A26" s="85">
        <v>10</v>
      </c>
      <c r="B26" s="86">
        <f t="shared" ref="B26:C26" si="19">B12</f>
        <v>0</v>
      </c>
      <c r="C26" s="87">
        <f t="shared" si="19"/>
        <v>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6" x14ac:dyDescent="0.3">
      <c r="A27" s="147" t="s">
        <v>85</v>
      </c>
      <c r="B27" s="147"/>
      <c r="C27" s="147"/>
      <c r="D27" s="89" t="e">
        <f>SUM(D17:D26)</f>
        <v>#REF!</v>
      </c>
      <c r="E27" s="89" t="e">
        <f t="shared" ref="E27:V27" si="21">SUM(E17:E26)</f>
        <v>#REF!</v>
      </c>
      <c r="F27" s="89" t="e">
        <f t="shared" si="21"/>
        <v>#REF!</v>
      </c>
      <c r="G27" s="89" t="e">
        <f t="shared" si="21"/>
        <v>#REF!</v>
      </c>
      <c r="H27" s="89" t="e">
        <f t="shared" si="21"/>
        <v>#REF!</v>
      </c>
      <c r="I27" s="89" t="e">
        <f t="shared" si="21"/>
        <v>#REF!</v>
      </c>
      <c r="J27" s="89" t="e">
        <f t="shared" si="21"/>
        <v>#REF!</v>
      </c>
      <c r="K27" s="89" t="e">
        <f t="shared" si="21"/>
        <v>#REF!</v>
      </c>
      <c r="L27" s="89" t="e">
        <f t="shared" si="21"/>
        <v>#REF!</v>
      </c>
      <c r="M27" s="89" t="e">
        <f t="shared" si="21"/>
        <v>#REF!</v>
      </c>
      <c r="N27" s="89" t="e">
        <f t="shared" si="21"/>
        <v>#REF!</v>
      </c>
      <c r="O27" s="89" t="e">
        <f t="shared" si="21"/>
        <v>#REF!</v>
      </c>
      <c r="P27" s="89" t="e">
        <f t="shared" si="21"/>
        <v>#REF!</v>
      </c>
      <c r="Q27" s="89" t="e">
        <f t="shared" si="21"/>
        <v>#REF!</v>
      </c>
      <c r="R27" s="89" t="e">
        <f t="shared" si="21"/>
        <v>#REF!</v>
      </c>
      <c r="S27" s="89" t="e">
        <f t="shared" si="21"/>
        <v>#REF!</v>
      </c>
      <c r="T27" s="89" t="e">
        <f t="shared" si="21"/>
        <v>#REF!</v>
      </c>
      <c r="U27" s="89" t="e">
        <f t="shared" si="21"/>
        <v>#REF!</v>
      </c>
      <c r="V27" s="89"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REGU-415-1630994</_dlc_DocId>
    <_dlc_DocIdUrl xmlns="9be56660-2c31-41ef-bc00-23e72f632f2a">
      <Url>https://cyfoethnaturiolcymru.sharepoint.com/teams/Regulatory/Permitting/_layouts/15/DocIdRedir.aspx?ID=REGU-415-1630994</Url>
      <Description>REGU-415-1630994</Description>
    </_dlc_DocIdUrl>
    <Site_x0020_Name xmlns="859f7ad6-93f6-4205-b62b-a17f28acbbac">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Control House A1 Business Park, Knottingley Road, Knottingley, West Yorkshire, England, WF11 0BU</Addresse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2023-08-28T23:00:00+00:00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73" ma:contentTypeDescription="Permitting &amp; Compliance Word Document" ma:contentTypeScope="" ma:versionID="c88f2a2ffba6e24d744095a03fb3cefb">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targetNamespace="http://schemas.microsoft.com/office/2006/metadata/properties" ma:root="true" ma:fieldsID="7d0a10cd7f3c199b9a7f118c908c6644" ns2:_="" ns4:_="" ns5:_="" ns6:_="">
    <xsd:import namespace="859f7ad6-93f6-4205-b62b-a17f28acbbac"/>
    <xsd:import namespace="dfa7b5af-bd1f-4e1a-a117-ad96be72b59f"/>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element ref="ns4: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England"/>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xsd:simpleType>
        <xsd:restriction base="dms:Choice">
          <xsd:enumeration value="Yes"/>
          <xsd:enumeration value="No"/>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ObjectDetectorVersions" ma:index="38"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ECBF91D-14B3-4D0D-91E2-ED7CEBE324E9}"/>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3EB88BFD-E29A-4849-A8E6-116EB74B98EA}">
  <ds:schemaRefs>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9be56660-2c31-41ef-bc00-23e72f632f2a"/>
    <ds:schemaRef ds:uri="http://www.w3.org/XML/1998/namespace"/>
  </ds:schemaRefs>
</ds:datastoreItem>
</file>

<file path=customXml/itemProps4.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5.xml><?xml version="1.0" encoding="utf-8"?>
<ds:datastoreItem xmlns:ds="http://schemas.openxmlformats.org/officeDocument/2006/customXml" ds:itemID="{2A2E3B25-610E-4E5A-8BD7-FA420866F15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DCWW Bryn Cowlyd</vt:lpstr>
      <vt:lpstr>DCWW Cefni</vt:lpstr>
      <vt:lpstr>DCWW cwellyn</vt:lpstr>
      <vt:lpstr>DCWW dolbenmaen</vt:lpstr>
      <vt:lpstr>DCWW garreglwyd</vt:lpstr>
      <vt:lpstr>DCWW llyn conwy</vt:lpstr>
      <vt:lpstr>DCWW myndd</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
  <cp:keywords>NRW Nutrient Calculator</cp:keywords>
  <cp:lastModifiedBy>Clee, Owen</cp:lastModifiedBy>
  <dcterms:created xsi:type="dcterms:W3CDTF">2016-09-26T10:07:59Z</dcterms:created>
  <dcterms:modified xsi:type="dcterms:W3CDTF">2023-08-25T12:46:31Z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97b7f467-2487-48fb-aaf8-4c0b0d23635b</vt:lpwstr>
  </property>
</Properties>
</file>