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2503/"/>
    </mc:Choice>
  </mc:AlternateContent>
  <xr:revisionPtr revIDLastSave="0" documentId="13_ncr:1_{AD1DE2C7-38B8-44AE-9343-ED783753AF48}" xr6:coauthVersionLast="47" xr6:coauthVersionMax="47" xr10:uidLastSave="{00000000-0000-0000-0000-000000000000}"/>
  <bookViews>
    <workbookView xWindow="-80" yWindow="-80" windowWidth="19360" windowHeight="1036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T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19" i="23" s="1"/>
  <c r="E21" i="23"/>
  <c r="E23" i="23" s="1"/>
  <c r="L59" i="23"/>
  <c r="M17" i="23"/>
  <c r="M21" i="23"/>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R59" i="28"/>
  <c r="S17" i="28"/>
  <c r="S21" i="28"/>
  <c r="S23"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23" i="24" s="1"/>
  <c r="K17" i="24"/>
  <c r="K19" i="24" s="1"/>
  <c r="R59" i="24"/>
  <c r="S21" i="24"/>
  <c r="S23" i="24" s="1"/>
  <c r="S17" i="24"/>
  <c r="G21" i="26"/>
  <c r="G23" i="26" s="1"/>
  <c r="G17" i="26"/>
  <c r="G19" i="26" s="1"/>
  <c r="O17" i="26"/>
  <c r="O21" i="26"/>
  <c r="E59" i="27"/>
  <c r="F17" i="27"/>
  <c r="F19" i="27" s="1"/>
  <c r="F20" i="27" s="1"/>
  <c r="M59" i="27"/>
  <c r="N17" i="27"/>
  <c r="U59" i="27"/>
  <c r="V17" i="27"/>
  <c r="E59" i="28"/>
  <c r="F17" i="28"/>
  <c r="F21" i="28"/>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H19" i="28" s="1"/>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D58" i="29"/>
  <c r="D61" i="29" s="1"/>
  <c r="P23" i="26"/>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Q58" i="23"/>
  <c r="Q61" i="23" s="1"/>
  <c r="L58" i="29"/>
  <c r="L61" i="29" s="1"/>
  <c r="T58" i="29"/>
  <c r="T61" i="29" s="1"/>
  <c r="T64" i="29" s="1"/>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F23" i="29"/>
  <c r="N23" i="29"/>
  <c r="B63" i="29"/>
  <c r="J63" i="29"/>
  <c r="R63" i="29"/>
  <c r="L19" i="29"/>
  <c r="G19" i="29"/>
  <c r="O19"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U64" i="26"/>
  <c r="U66" i="26" s="1"/>
  <c r="O23" i="26"/>
  <c r="J23" i="26"/>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P23" i="24"/>
  <c r="S19"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F23" i="23"/>
  <c r="N23" i="23"/>
  <c r="G19"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Q19" i="21"/>
  <c r="R23" i="21"/>
  <c r="R24"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G64" i="30"/>
  <c r="G65" i="30" s="1"/>
  <c r="J65" i="27"/>
  <c r="E65" i="27"/>
  <c r="D65" i="27"/>
  <c r="C65" i="27"/>
  <c r="D65" i="21"/>
  <c r="C65" i="21"/>
  <c r="I64" i="27"/>
  <c r="I65" i="27" s="1"/>
  <c r="I64" i="22"/>
  <c r="I65" i="22" s="1"/>
  <c r="I64" i="29"/>
  <c r="I65" i="29" s="1"/>
  <c r="I64" i="23"/>
  <c r="I65" i="23" s="1"/>
  <c r="F64" i="26"/>
  <c r="D64" i="24"/>
  <c r="D65" i="24" s="1"/>
  <c r="C64" i="30"/>
  <c r="C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I66" i="30"/>
  <c r="R66" i="29"/>
  <c r="M66" i="29"/>
  <c r="S66" i="29"/>
  <c r="T66" i="28"/>
  <c r="D66" i="28"/>
  <c r="M66" i="28"/>
  <c r="Q66" i="28"/>
  <c r="I66" i="28"/>
  <c r="S66" i="28"/>
  <c r="K66" i="28"/>
  <c r="Q66" i="27"/>
  <c r="I66" i="27"/>
  <c r="P66" i="27"/>
  <c r="Q66" i="26"/>
  <c r="P66" i="26"/>
  <c r="C66" i="26"/>
  <c r="I66" i="26"/>
  <c r="H66" i="26"/>
  <c r="L66" i="24"/>
  <c r="I66" i="24"/>
  <c r="P66" i="24"/>
  <c r="K66" i="24"/>
  <c r="M66" i="24"/>
  <c r="N66" i="23"/>
  <c r="E66" i="23"/>
  <c r="M66" i="22"/>
  <c r="S66" i="22"/>
  <c r="K66" i="22"/>
  <c r="T66" i="22"/>
  <c r="M66" i="21"/>
  <c r="K66" i="21"/>
  <c r="C66" i="21"/>
  <c r="D66" i="21"/>
  <c r="R66" i="21"/>
  <c r="N64" i="1"/>
  <c r="M64" i="1"/>
  <c r="T64" i="1"/>
  <c r="L64" i="1"/>
  <c r="J64" i="1"/>
  <c r="K64" i="1"/>
  <c r="O64" i="1"/>
  <c r="C64" i="1"/>
  <c r="I64" i="1"/>
  <c r="I65" i="1" s="1"/>
  <c r="H64" i="1"/>
  <c r="G64" i="1"/>
  <c r="F64" i="1"/>
  <c r="F65" i="1" s="1"/>
  <c r="E64" i="1"/>
  <c r="D64" i="1"/>
  <c r="B64" i="1"/>
  <c r="D63" i="1"/>
  <c r="L63" i="1"/>
  <c r="F63" i="1"/>
  <c r="R63" i="1"/>
  <c r="J63" i="1"/>
  <c r="Q63" i="1"/>
  <c r="Q66" i="1" s="1"/>
  <c r="I63" i="1"/>
  <c r="C63" i="1"/>
  <c r="K63" i="1"/>
  <c r="K65" i="1" s="1"/>
  <c r="P63" i="1"/>
  <c r="H63" i="1"/>
  <c r="T63" i="1"/>
  <c r="T66" i="1" s="1"/>
  <c r="S63" i="1"/>
  <c r="O63" i="1"/>
  <c r="G63" i="1"/>
  <c r="N63" i="1"/>
  <c r="E63" i="1"/>
  <c r="B63" i="1"/>
  <c r="U63" i="1"/>
  <c r="M63" i="1"/>
  <c r="G66" i="30" l="1"/>
  <c r="H66" i="21"/>
  <c r="I66" i="22"/>
  <c r="J65" i="1"/>
  <c r="H65" i="1"/>
  <c r="G65" i="1"/>
  <c r="E65" i="1"/>
  <c r="D65" i="1"/>
  <c r="C65" i="1"/>
  <c r="B65" i="1"/>
  <c r="J66" i="22"/>
  <c r="J65" i="22"/>
  <c r="I66" i="23"/>
  <c r="J66" i="21"/>
  <c r="J65" i="21"/>
  <c r="J66" i="29"/>
  <c r="J65" i="29"/>
  <c r="I66" i="29"/>
  <c r="I66" i="21"/>
  <c r="I65" i="21"/>
  <c r="H66" i="27"/>
  <c r="H65" i="27"/>
  <c r="H66" i="28"/>
  <c r="H65" i="28"/>
  <c r="H66" i="29"/>
  <c r="H65" i="29"/>
  <c r="H66" i="24"/>
  <c r="H65" i="24"/>
  <c r="F66" i="23"/>
  <c r="F65" i="23"/>
  <c r="E66" i="21"/>
  <c r="E65" i="21"/>
  <c r="F66" i="22"/>
  <c r="F65" i="22"/>
  <c r="F66" i="27"/>
  <c r="F65" i="27"/>
  <c r="G66" i="21"/>
  <c r="G65" i="21"/>
  <c r="G66" i="23"/>
  <c r="G65" i="23"/>
  <c r="G66" i="26"/>
  <c r="G65" i="26"/>
  <c r="E66" i="24"/>
  <c r="E65" i="24"/>
  <c r="F66" i="28"/>
  <c r="F65" i="28"/>
  <c r="G66" i="29"/>
  <c r="G65" i="29"/>
  <c r="F66" i="24"/>
  <c r="F65" i="24"/>
  <c r="F66" i="29"/>
  <c r="F65" i="29"/>
  <c r="G66" i="27"/>
  <c r="G65" i="27"/>
  <c r="G66" i="24"/>
  <c r="G65" i="24"/>
  <c r="E66" i="28"/>
  <c r="E65" i="28"/>
  <c r="E66" i="29"/>
  <c r="E65" i="29"/>
  <c r="F66" i="30"/>
  <c r="F65" i="30"/>
  <c r="E66" i="26"/>
  <c r="E65" i="26"/>
  <c r="G66" i="22"/>
  <c r="G65" i="22"/>
  <c r="G66" i="28"/>
  <c r="G65" i="28"/>
  <c r="F66" i="21"/>
  <c r="F65" i="21"/>
  <c r="F66" i="26"/>
  <c r="F65" i="26"/>
  <c r="D66" i="24"/>
  <c r="D66" i="23"/>
  <c r="D66" i="26"/>
  <c r="D66" i="22"/>
  <c r="D66" i="29"/>
  <c r="C66" i="30"/>
  <c r="C66" i="24"/>
  <c r="C65" i="24"/>
  <c r="C66" i="28"/>
  <c r="C65" i="28"/>
  <c r="B66" i="26"/>
  <c r="B65" i="26"/>
  <c r="B66" i="28"/>
  <c r="B65" i="28"/>
  <c r="B66" i="21"/>
  <c r="B65" i="21"/>
  <c r="B66" i="29"/>
  <c r="B65" i="29"/>
  <c r="B66" i="22"/>
  <c r="B65" i="22"/>
  <c r="B66" i="27"/>
  <c r="B65" i="27"/>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<sst xmlns="http://schemas.openxmlformats.org/spreadsheetml/2006/main" count="2131" uniqueCount="180">
  <si>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</si>
  <si>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</si>
  <si>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</si>
  <si>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</si>
  <si>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</si>
  <si>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</si>
  <si>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</si>
  <si>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</si>
  <si>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</si>
  <si>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</si>
  <si>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</si>
  <si>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</si>
  <si>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</si>
  <si>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</si>
  <si>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</si>
  <si>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</si>
  <si>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</si>
  <si>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</si>
  <si>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</si>
  <si>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</si>
  <si>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</si>
  <si>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</si>
  <si>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</si>
  <si>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</si>
  <si>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</si>
  <si>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</si>
  <si>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</si>
  <si>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</si>
  <si>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</si>
  <si>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</si>
  <si>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</si>
  <si>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</si>
  <si>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</si>
  <si>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</si>
  <si>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</si>
  <si>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</si>
  <si>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</si>
  <si>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</si>
  <si>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</si>
  <si>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</si>
  <si>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</si>
  <si>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</si>
  <si>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</si>
  <si>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</si>
  <si>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</si>
  <si>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</si>
  <si>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</si>
  <si>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</si>
  <si>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</si>
  <si>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</si>
  <si>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</si>
  <si>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</si>
  <si>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</si>
  <si>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</si>
  <si>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</si>
  <si>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</si>
  <si>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</si>
  <si>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</si>
  <si>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</si>
  <si>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</si>
  <si>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</si>
  <si>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</si>
  <si>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</si>
  <si>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</si>
  <si>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</si>
  <si>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</si>
  <si>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</si>
  <si>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</si>
  <si>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</si>
  <si>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</si>
  <si>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</si>
  <si>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</si>
  <si>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</si>
  <si>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</si>
  <si>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</si>
  <si>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</si>
  <si>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</si>
  <si>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</si>
  <si>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</si>
  <si>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</si>
  <si>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</si>
  <si>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</si>
  <si>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</si>
  <si>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</si>
  <si>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</si>
  <si>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</si>
  <si>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</si>
  <si>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</si>
  <si>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</si>
  <si>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</si>
  <si>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</si>
  <si>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</si>
  <si>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</si>
  <si>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</si>
  <si>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</si>
  <si>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</si>
  <si>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</si>
  <si>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</si>
  <si>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</si>
  <si>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</si>
  <si>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</si>
  <si>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</si>
  <si>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</si>
  <si>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</si>
  <si>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</si>
  <si>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</si>
  <si>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</si>
  <si>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</si>
  <si>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</si>
  <si>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</si>
  <si>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</si>
  <si>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</si>
  <si>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</si>
  <si>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</si>
  <si>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</si>
  <si>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</si>
  <si>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</si>
  <si>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</si>
  <si>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</si>
  <si>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</si>
  <si>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</si>
  <si>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</si>
  <si>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</si>
  <si>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</si>
  <si>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</si>
  <si>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</si>
  <si>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</si>
  <si>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</si>
  <si>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</si>
  <si>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</si>
  <si>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</si>
  <si>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</si>
  <si>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</si>
  <si>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</si>
  <si>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</si>
  <si>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</si>
  <si>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</si>
  <si>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</si>
  <si>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</si>
  <si>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</si>
  <si>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</si>
  <si>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</si>
  <si>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</si>
  <si>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</si>
  <si>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</si>
  <si>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</si>
  <si>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</si>
  <si>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</si>
  <si>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</si>
  <si>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</si>
  <si>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</si>
  <si>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</si>
  <si>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</si>
  <si>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</si>
  <si>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</si>
  <si>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</si>
  <si>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</si>
  <si>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</si>
  <si>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</si>
  <si>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</si>
  <si>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PAN-022503</t>
  </si>
  <si>
    <t>Stepside</t>
  </si>
  <si>
    <t>CM9</t>
  </si>
  <si>
    <t>CM11</t>
  </si>
  <si>
    <t>CM12</t>
  </si>
  <si>
    <t>CM15</t>
  </si>
  <si>
    <t>CM16</t>
  </si>
  <si>
    <t>CM17</t>
  </si>
  <si>
    <t>CM18</t>
  </si>
  <si>
    <t>CM 4968</t>
  </si>
  <si>
    <t>CM 0961</t>
  </si>
  <si>
    <t>Low</t>
  </si>
  <si>
    <t>Volac</t>
  </si>
  <si>
    <t>Penderyn</t>
  </si>
  <si>
    <t>EPR/AB3891CX</t>
  </si>
  <si>
    <t>02 05 02</t>
  </si>
  <si>
    <t>Castell Malgwyn Farm, Llechryd, Cardigan, Ceredigion, SA43 2QB</t>
  </si>
  <si>
    <t>Ethan Banfield</t>
  </si>
  <si>
    <t>02 07 02</t>
  </si>
  <si>
    <t>Dairy Partners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</si>
</sst>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 zoomScale="90" zoomScaleNormal="90" workbookViewId="0">
      <selection activeCell="J23" sqref="J2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49.4</v>
      </c>
      <c r="G1" s="123" t="s">
        <v>43</v>
      </c>
      <c r="H1" s="124"/>
      <c r="I1" s="96">
        <v>7.1</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174</v>
      </c>
      <c r="D2" s="120"/>
      <c r="E2" s="93" t="s">
        <v>109</v>
      </c>
      <c r="F2" s="96" t="s">
        <v>175</v>
      </c>
      <c r="G2" s="125" t="s">
        <v>110</v>
      </c>
      <c r="H2" s="126"/>
      <c r="I2" s="96"/>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v>200</v>
      </c>
      <c r="J3" s="123" t="s">
        <v>154</v>
      </c>
      <c r="K3" s="124"/>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176</v>
      </c>
      <c r="D4" s="122"/>
      <c r="E4" s="94" t="s">
        <v>1</v>
      </c>
      <c r="F4" s="95" t="s">
        <v>172</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177</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162</v>
      </c>
      <c r="D8" s="15" t="s">
        <v>163</v>
      </c>
      <c r="E8" s="15" t="s">
        <v>164</v>
      </c>
      <c r="F8" s="15" t="s">
        <v>165</v>
      </c>
      <c r="G8" s="15" t="s">
        <v>166</v>
      </c>
      <c r="H8" s="15" t="s">
        <v>167</v>
      </c>
      <c r="I8" s="15" t="s">
        <v>168</v>
      </c>
      <c r="J8" s="15" t="s">
        <v>169</v>
      </c>
      <c r="K8" s="15" t="s">
        <v>170</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t="s">
        <v>171</v>
      </c>
      <c r="E9" s="15" t="s">
        <v>171</v>
      </c>
      <c r="F9" s="15">
        <v>1</v>
      </c>
      <c r="G9" s="15">
        <v>1</v>
      </c>
      <c r="H9" s="15">
        <v>1</v>
      </c>
      <c r="I9" s="15" t="s">
        <v>171</v>
      </c>
      <c r="J9" s="15">
        <v>1</v>
      </c>
      <c r="K9" s="15">
        <v>1</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6.7</v>
      </c>
      <c r="D10" s="15">
        <v>6.8</v>
      </c>
      <c r="E10" s="15">
        <v>7</v>
      </c>
      <c r="F10" s="15">
        <v>6.9</v>
      </c>
      <c r="G10" s="15">
        <v>6.8</v>
      </c>
      <c r="H10" s="15">
        <v>7.2</v>
      </c>
      <c r="I10" s="15">
        <v>6.8</v>
      </c>
      <c r="J10" s="15">
        <v>6.5</v>
      </c>
      <c r="K10" s="15">
        <v>6.7</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3</v>
      </c>
      <c r="E11" s="15">
        <v>3</v>
      </c>
      <c r="F11" s="15">
        <v>3</v>
      </c>
      <c r="G11" s="15">
        <v>3</v>
      </c>
      <c r="H11" s="15">
        <v>3</v>
      </c>
      <c r="I11" s="15">
        <v>3</v>
      </c>
      <c r="J11" s="15">
        <v>1</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3</v>
      </c>
      <c r="E12" s="15">
        <v>3</v>
      </c>
      <c r="F12" s="15">
        <v>2</v>
      </c>
      <c r="G12" s="15">
        <v>2</v>
      </c>
      <c r="H12" s="15">
        <v>2</v>
      </c>
      <c r="I12" s="15">
        <v>2</v>
      </c>
      <c r="J12" s="15">
        <v>2</v>
      </c>
      <c r="K12" s="15">
        <v>1</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3</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96</v>
      </c>
      <c r="D14" s="100" t="s">
        <v>113</v>
      </c>
      <c r="E14" s="100" t="s">
        <v>113</v>
      </c>
      <c r="F14" s="100" t="s">
        <v>96</v>
      </c>
      <c r="G14" s="100" t="s">
        <v>96</v>
      </c>
      <c r="H14" s="100" t="s">
        <v>96</v>
      </c>
      <c r="I14" s="100" t="s">
        <v>113</v>
      </c>
      <c r="J14" s="100" t="s">
        <v>96</v>
      </c>
      <c r="K14" s="100" t="s">
        <v>96</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7.5</v>
      </c>
      <c r="D15" s="15">
        <v>35</v>
      </c>
      <c r="E15" s="15">
        <v>35</v>
      </c>
      <c r="F15" s="15">
        <v>7.5</v>
      </c>
      <c r="G15" s="15">
        <v>7.5</v>
      </c>
      <c r="H15" s="15">
        <v>7.5</v>
      </c>
      <c r="I15" s="15">
        <v>35</v>
      </c>
      <c r="J15" s="15">
        <v>7.5</v>
      </c>
      <c r="K15" s="15">
        <v>7.5</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62.722998000000004</v>
      </c>
      <c r="D18" s="16">
        <f>$D32</f>
        <v>59.506434000000006</v>
      </c>
      <c r="E18" s="16">
        <f>$D33</f>
        <v>59.506434000000006</v>
      </c>
      <c r="F18" s="16">
        <f>$D34</f>
        <v>62.722998000000004</v>
      </c>
      <c r="G18" s="16">
        <f>$D35</f>
        <v>62.722998000000004</v>
      </c>
      <c r="H18" s="16">
        <f>$D36</f>
        <v>62.722998000000004</v>
      </c>
      <c r="I18" s="16">
        <f>$D37</f>
        <v>59.506434000000006</v>
      </c>
      <c r="J18" s="16">
        <f>$D38</f>
        <v>128.66256000000001</v>
      </c>
      <c r="K18" s="16">
        <f>$D39</f>
        <v>156.003354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-1.027001999999996</v>
      </c>
      <c r="D19" s="16">
        <f t="shared" ref="D19:V19" si="1">D18-D17</f>
        <v>6.4340000000058239E-3</v>
      </c>
      <c r="E19" s="16">
        <f t="shared" si="1"/>
        <v>6.4340000000058239E-3</v>
      </c>
      <c r="F19" s="16">
        <f t="shared" si="1"/>
        <v>-1.027001999999996</v>
      </c>
      <c r="G19" s="16">
        <f t="shared" si="1"/>
        <v>-1.027001999999996</v>
      </c>
      <c r="H19" s="16">
        <f t="shared" si="1"/>
        <v>-1.027001999999996</v>
      </c>
      <c r="I19" s="16">
        <f t="shared" si="1"/>
        <v>6.4340000000058239E-3</v>
      </c>
      <c r="J19" s="16">
        <f t="shared" si="1"/>
        <v>64.912560000000013</v>
      </c>
      <c r="K19" s="16">
        <f t="shared" si="1"/>
        <v>92.253354000000002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38.676885000000006</v>
      </c>
      <c r="D22" s="16">
        <f>$E32</f>
        <v>36.693455000000007</v>
      </c>
      <c r="E22" s="16">
        <f>$E33</f>
        <v>36.693455000000007</v>
      </c>
      <c r="F22" s="16">
        <f>$E34</f>
        <v>38.676885000000006</v>
      </c>
      <c r="G22" s="16">
        <f>$E35</f>
        <v>38.676885000000006</v>
      </c>
      <c r="H22" s="16">
        <f>$E36</f>
        <v>38.676885000000006</v>
      </c>
      <c r="I22" s="16">
        <f>$E37</f>
        <v>36.693455000000007</v>
      </c>
      <c r="J22" s="16">
        <f>$E38</f>
        <v>79.33720000000001</v>
      </c>
      <c r="K22" s="16">
        <f>$E39</f>
        <v>96.196355000000011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-40.073114999999994</v>
      </c>
      <c r="D23" s="16">
        <f t="shared" ref="D23:V23" si="3">D22-D21</f>
        <v>-173.306545</v>
      </c>
      <c r="E23" s="16">
        <f t="shared" si="3"/>
        <v>-173.306545</v>
      </c>
      <c r="F23" s="16">
        <f t="shared" si="3"/>
        <v>-40.073114999999994</v>
      </c>
      <c r="G23" s="16">
        <f t="shared" si="3"/>
        <v>-40.073114999999994</v>
      </c>
      <c r="H23" s="16">
        <f t="shared" si="3"/>
        <v>-40.073114999999994</v>
      </c>
      <c r="I23" s="16">
        <f t="shared" si="3"/>
        <v>-173.306545</v>
      </c>
      <c r="J23" s="16">
        <f t="shared" si="3"/>
        <v>0.58720000000000994</v>
      </c>
      <c r="K23" s="16">
        <f t="shared" si="3"/>
        <v>17.446355000000011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39</v>
      </c>
      <c r="C31" s="77">
        <f>IF(C$27="%w/w SAR",((C$28*10)*$B31),IF(C$27="%w/w DM",(((C$28*10)*($B$28/100))*$B31),IF(C$27="kg/t SAR",(C$28*$B31),IF(C$27="kg/t DM",((C$28*($B$28/100))*$B31),IF(C$27="mg/kg SAR",((C$28*0.001)*$B31),IF(C$27="mg/kg DM",(((C$28*0.001)*($B$28/100))*$B31),0))))))</f>
        <v>27.300000000000004</v>
      </c>
      <c r="D31" s="77">
        <f>(IF(D$27="%w/w SAR",((D$28*10)*$B31),IF(D$27="%w/w DM",(((D$28*10)*($B$28/100))*$B31),IF(D$27="kg/t SAR",(D$28*$B31),IF(D$27="kg/t DM",((D$28*($B$28/100))*$B31),IF(D$27="mg/kg SAR",((D$28*0.001)*$B31),IF(D$27="mg/kg DM",(((D$28*0.001)*($B$28/100))*$B31),"0")))))))*2.291</f>
        <v>62.722998000000004</v>
      </c>
      <c r="E31" s="77">
        <f>(IF(E$27="%w/w SAR",((E$28*10)*$B31),IF(E$27="%w/w DM",(((E$28*10)*($B$28/100))*$B31),IF(E$27="kg/t SAR",(E$28*$B31),IF(E$27="kg/t DM",((E$28*($B$28/100))*$B31),IF(E$27="mg/kg SAR",((E$28*0.001)*$B31),IF(E$27="mg/kg DM",(((E$28*0.001)*($B$28/100))*$B31),"0")))))))*1.205</f>
        <v>38.676885000000006</v>
      </c>
      <c r="F31" s="77">
        <f>(IF(F$27="%w/w SAR",((F$28*10)*$B31),IF(F$27="%w/w DM",(((F$28*10)*($B$28/100))*$B31),IF(F$27="kg/t SAR",(F$28*$B31),IF(F$27="kg/t DM",((F$28*($B$28/100))*$B31),IF(F$27="mg/kg SAR",((F$28*0.001)*$B31),IF(F$27="mg/kg DM",(((F$28*0.001)*($B$28/100))*$B31),"0")))))))*1.658</f>
        <v>10.216595999999999</v>
      </c>
      <c r="G31" s="77">
        <f t="shared" ref="G31:P31" si="5">IF(G$27="%w/w SAR",((G$28*10)*$B31),IF(G$27="%w/w DM",(((G$28*10)*($B$28/100))*$B31),IF(G$27="kg/t SAR",(G$28*$B31),IF(G$27="kg/t DM",((G$28*($B$28/100))*$B31),IF(G$27="mg/kg SAR",((G$28*0.001)*$B31),IF(G$27="mg/kg DM",(((G$28*0.001)*($B$28/100))*$B31),0))))))</f>
        <v>2.886E-2</v>
      </c>
      <c r="H31" s="77">
        <f t="shared" si="5"/>
        <v>5.6159999999999995E-2</v>
      </c>
      <c r="I31" s="77">
        <f t="shared" si="5"/>
        <v>1.95E-2</v>
      </c>
      <c r="J31" s="77">
        <f t="shared" si="5"/>
        <v>3.9000000000000005E-4</v>
      </c>
      <c r="K31" s="77">
        <f t="shared" si="5"/>
        <v>1.9500000000000001E-3</v>
      </c>
      <c r="L31" s="77">
        <f t="shared" si="5"/>
        <v>9.3600000000000003E-3</v>
      </c>
      <c r="M31" s="77">
        <f t="shared" si="5"/>
        <v>7.8000000000000005E-3</v>
      </c>
      <c r="N31" s="77">
        <f t="shared" si="5"/>
        <v>0</v>
      </c>
      <c r="O31" s="77">
        <f t="shared" si="5"/>
        <v>0</v>
      </c>
      <c r="P31" s="77">
        <f t="shared" si="5"/>
        <v>18.914999999999999</v>
      </c>
      <c r="Q31" s="77">
        <f>(IF(Q$27="%w/w SAR",((Q$28*10)*$B31),IF(Q$27="%w/w DM",(((Q$28*10)*($B$28/100))*$B31),IF(Q$27="kg/t SAR",(Q$28*$B31),IF(Q$27="kg/t DM",((Q$28*($B$28/100))*$B31),IF(Q$27="mg/kg SAR",((Q$28*0.001)*$B31),IF(Q$27="mg/kg DM",(((Q$28*0.001)*($B$28/100))*$B31),0)))))))*2.5</f>
        <v>15.307500000000001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37</v>
      </c>
      <c r="C32" s="77">
        <f t="shared" ref="C32:C50" si="6">IF(C$27="%w/w SAR",((C$28*10)*$B32),IF(C$27="%w/w DM",(((C$28*10)*($B$28/100))*$B32),IF(C$27="kg/t SAR",(C$28*$B32),IF(C$27="kg/t DM",((C$28*($B$28/100))*$B32),IF(C$27="mg/kg SAR",((C$28*0.001)*$B32),IF(C$27="mg/kg DM",(((C$28*0.001)*($B$28/100))*$B32),0))))))</f>
        <v>25.900000000000002</v>
      </c>
      <c r="D32" s="77">
        <f t="shared" ref="D32:D50" si="7">(IF(D$27="%w/w SAR",((D$28*10)*$B32),IF(D$27="%w/w DM",(((D$28*10)*($B$28/100))*$B32),IF(D$27="kg/t SAR",(D$28*$B32),IF(D$27="kg/t DM",((D$28*($B$28/100))*$B32),IF(D$27="mg/kg SAR",((D$28*0.001)*$B32),IF(D$27="mg/kg DM",(((D$28*0.001)*($B$28/100))*$B32),"0")))))))*2.291</f>
        <v>59.506434000000006</v>
      </c>
      <c r="E32" s="77">
        <f t="shared" ref="E32:E50" si="8">(IF(E$27="%w/w SAR",((E$28*10)*$B32),IF(E$27="%w/w DM",(((E$28*10)*($B$28/100))*$B32),IF(E$27="kg/t SAR",(E$28*$B32),IF(E$27="kg/t DM",((E$28*($B$28/100))*$B32),IF(E$27="mg/kg SAR",((E$28*0.001)*$B32),IF(E$27="mg/kg DM",(((E$28*0.001)*($B$28/100))*$B32),"0")))))))*1.205</f>
        <v>36.693455000000007</v>
      </c>
      <c r="F32" s="77">
        <f t="shared" ref="F32:F50" si="9">(IF(F$27="%w/w SAR",((F$28*10)*$B32),IF(F$27="%w/w DM",(((F$28*10)*($B$28/100))*$B32),IF(F$27="kg/t SAR",(F$28*$B32),IF(F$27="kg/t DM",((F$28*($B$28/100))*$B32),IF(F$27="mg/kg SAR",((F$28*0.001)*$B32),IF(F$27="mg/kg DM",(((F$28*0.001)*($B$28/100))*$B32),"0")))))))*1.658</f>
        <v>9.6926679999999994</v>
      </c>
      <c r="G32" s="77">
        <f t="shared" ref="G32:P50" si="10">IF(G$27="%w/w SAR",((G$28*10)*$B32),IF(G$27="%w/w DM",(((G$28*10)*($B$28/100))*$B32),IF(G$27="kg/t SAR",(G$28*$B32),IF(G$27="kg/t DM",((G$28*($B$28/100))*$B32),IF(G$27="mg/kg SAR",((G$28*0.001)*$B32),IF(G$27="mg/kg DM",(((G$28*0.001)*($B$28/100))*$B32),0))))))</f>
        <v>2.7379999999999998E-2</v>
      </c>
      <c r="H32" s="77">
        <f t="shared" si="10"/>
        <v>5.3279999999999994E-2</v>
      </c>
      <c r="I32" s="77">
        <f t="shared" si="10"/>
        <v>1.8499999999999999E-2</v>
      </c>
      <c r="J32" s="77">
        <f t="shared" si="10"/>
        <v>3.7000000000000005E-4</v>
      </c>
      <c r="K32" s="77">
        <f t="shared" si="10"/>
        <v>1.8500000000000001E-3</v>
      </c>
      <c r="L32" s="77">
        <f t="shared" si="10"/>
        <v>8.8800000000000007E-3</v>
      </c>
      <c r="M32" s="77">
        <f t="shared" si="10"/>
        <v>7.4000000000000003E-3</v>
      </c>
      <c r="N32" s="77">
        <f t="shared" si="10"/>
        <v>0</v>
      </c>
      <c r="O32" s="77">
        <f t="shared" si="10"/>
        <v>0</v>
      </c>
      <c r="P32" s="77">
        <f t="shared" si="10"/>
        <v>17.945</v>
      </c>
      <c r="Q32" s="77">
        <f t="shared" ref="Q32:Q50" si="11">(IF(Q$27="%w/w SAR",((Q$28*10)*$B32),IF(Q$27="%w/w DM",(((Q$28*10)*($B$28/100))*$B32),IF(Q$27="kg/t SAR",(Q$28*$B32),IF(Q$27="kg/t DM",((Q$28*($B$28/100))*$B32),IF(Q$27="mg/kg SAR",((Q$28*0.001)*$B32),IF(Q$27="mg/kg DM",(((Q$28*0.001)*($B$28/100))*$B32),0)))))))*2.5</f>
        <v>14.522500000000001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CM12</v>
      </c>
      <c r="B33" s="15">
        <v>37</v>
      </c>
      <c r="C33" s="77">
        <f t="shared" si="6"/>
        <v>25.900000000000002</v>
      </c>
      <c r="D33" s="77">
        <f t="shared" si="7"/>
        <v>59.506434000000006</v>
      </c>
      <c r="E33" s="77">
        <f t="shared" si="8"/>
        <v>36.693455000000007</v>
      </c>
      <c r="F33" s="77">
        <f t="shared" si="9"/>
        <v>9.6926679999999994</v>
      </c>
      <c r="G33" s="77">
        <f t="shared" si="10"/>
        <v>2.7379999999999998E-2</v>
      </c>
      <c r="H33" s="77">
        <f t="shared" si="10"/>
        <v>5.3279999999999994E-2</v>
      </c>
      <c r="I33" s="77">
        <f t="shared" si="10"/>
        <v>1.8499999999999999E-2</v>
      </c>
      <c r="J33" s="77">
        <f t="shared" si="10"/>
        <v>3.7000000000000005E-4</v>
      </c>
      <c r="K33" s="77">
        <f t="shared" si="10"/>
        <v>1.8500000000000001E-3</v>
      </c>
      <c r="L33" s="77">
        <f t="shared" si="10"/>
        <v>8.8800000000000007E-3</v>
      </c>
      <c r="M33" s="77">
        <f t="shared" si="10"/>
        <v>7.4000000000000003E-3</v>
      </c>
      <c r="N33" s="77">
        <f t="shared" si="10"/>
        <v>0</v>
      </c>
      <c r="O33" s="77">
        <f t="shared" si="10"/>
        <v>0</v>
      </c>
      <c r="P33" s="77">
        <f t="shared" si="10"/>
        <v>17.945</v>
      </c>
      <c r="Q33" s="77">
        <f t="shared" si="11"/>
        <v>14.522500000000001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CM15</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CM16</v>
      </c>
      <c r="B35" s="15">
        <v>39</v>
      </c>
      <c r="C35" s="77">
        <f t="shared" si="6"/>
        <v>27.300000000000004</v>
      </c>
      <c r="D35" s="77">
        <f t="shared" si="7"/>
        <v>62.722998000000004</v>
      </c>
      <c r="E35" s="77">
        <f t="shared" si="8"/>
        <v>38.676885000000006</v>
      </c>
      <c r="F35" s="77">
        <f t="shared" si="9"/>
        <v>10.216595999999999</v>
      </c>
      <c r="G35" s="77">
        <f t="shared" si="10"/>
        <v>2.886E-2</v>
      </c>
      <c r="H35" s="77">
        <f t="shared" si="10"/>
        <v>5.6159999999999995E-2</v>
      </c>
      <c r="I35" s="77">
        <f t="shared" si="10"/>
        <v>1.95E-2</v>
      </c>
      <c r="J35" s="77">
        <f t="shared" si="10"/>
        <v>3.9000000000000005E-4</v>
      </c>
      <c r="K35" s="77">
        <f t="shared" si="10"/>
        <v>1.9500000000000001E-3</v>
      </c>
      <c r="L35" s="77">
        <f t="shared" si="10"/>
        <v>9.3600000000000003E-3</v>
      </c>
      <c r="M35" s="77">
        <f t="shared" si="10"/>
        <v>7.8000000000000005E-3</v>
      </c>
      <c r="N35" s="77">
        <f t="shared" si="10"/>
        <v>0</v>
      </c>
      <c r="O35" s="77">
        <f t="shared" si="10"/>
        <v>0</v>
      </c>
      <c r="P35" s="77">
        <f t="shared" si="10"/>
        <v>18.914999999999999</v>
      </c>
      <c r="Q35" s="77">
        <f t="shared" si="11"/>
        <v>15.307500000000001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CM17</v>
      </c>
      <c r="B36" s="15">
        <v>39</v>
      </c>
      <c r="C36" s="77">
        <f t="shared" si="6"/>
        <v>27.300000000000004</v>
      </c>
      <c r="D36" s="77">
        <f t="shared" si="7"/>
        <v>62.722998000000004</v>
      </c>
      <c r="E36" s="77">
        <f t="shared" si="8"/>
        <v>38.676885000000006</v>
      </c>
      <c r="F36" s="77">
        <f t="shared" si="9"/>
        <v>10.216595999999999</v>
      </c>
      <c r="G36" s="77">
        <f t="shared" si="10"/>
        <v>2.886E-2</v>
      </c>
      <c r="H36" s="77">
        <f t="shared" si="10"/>
        <v>5.6159999999999995E-2</v>
      </c>
      <c r="I36" s="77">
        <f t="shared" si="10"/>
        <v>1.95E-2</v>
      </c>
      <c r="J36" s="77">
        <f t="shared" si="10"/>
        <v>3.9000000000000005E-4</v>
      </c>
      <c r="K36" s="77">
        <f t="shared" si="10"/>
        <v>1.9500000000000001E-3</v>
      </c>
      <c r="L36" s="77">
        <f t="shared" si="10"/>
        <v>9.3600000000000003E-3</v>
      </c>
      <c r="M36" s="77">
        <f t="shared" si="10"/>
        <v>7.8000000000000005E-3</v>
      </c>
      <c r="N36" s="77">
        <f t="shared" si="10"/>
        <v>0</v>
      </c>
      <c r="O36" s="77">
        <f t="shared" si="10"/>
        <v>0</v>
      </c>
      <c r="P36" s="77">
        <f t="shared" si="10"/>
        <v>18.914999999999999</v>
      </c>
      <c r="Q36" s="77">
        <f t="shared" si="11"/>
        <v>15.307500000000001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CM18</v>
      </c>
      <c r="B37" s="15">
        <v>37</v>
      </c>
      <c r="C37" s="77">
        <f t="shared" si="6"/>
        <v>25.900000000000002</v>
      </c>
      <c r="D37" s="77">
        <f t="shared" si="7"/>
        <v>59.506434000000006</v>
      </c>
      <c r="E37" s="77">
        <f t="shared" si="8"/>
        <v>36.693455000000007</v>
      </c>
      <c r="F37" s="77">
        <f t="shared" si="9"/>
        <v>9.6926679999999994</v>
      </c>
      <c r="G37" s="77">
        <f t="shared" si="10"/>
        <v>2.7379999999999998E-2</v>
      </c>
      <c r="H37" s="77">
        <f t="shared" si="10"/>
        <v>5.3279999999999994E-2</v>
      </c>
      <c r="I37" s="77">
        <f t="shared" si="10"/>
        <v>1.8499999999999999E-2</v>
      </c>
      <c r="J37" s="77">
        <f t="shared" si="10"/>
        <v>3.7000000000000005E-4</v>
      </c>
      <c r="K37" s="77">
        <f t="shared" si="10"/>
        <v>1.8500000000000001E-3</v>
      </c>
      <c r="L37" s="77">
        <f t="shared" si="10"/>
        <v>8.8800000000000007E-3</v>
      </c>
      <c r="M37" s="77">
        <f t="shared" si="10"/>
        <v>7.4000000000000003E-3</v>
      </c>
      <c r="N37" s="77">
        <f t="shared" si="10"/>
        <v>0</v>
      </c>
      <c r="O37" s="77">
        <f t="shared" si="10"/>
        <v>0</v>
      </c>
      <c r="P37" s="77">
        <f t="shared" si="10"/>
        <v>17.945</v>
      </c>
      <c r="Q37" s="77">
        <f t="shared" si="11"/>
        <v>14.522500000000001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CM 4968</v>
      </c>
      <c r="B38" s="15">
        <v>80</v>
      </c>
      <c r="C38" s="77">
        <f t="shared" si="6"/>
        <v>56.000000000000007</v>
      </c>
      <c r="D38" s="77">
        <f t="shared" si="7"/>
        <v>128.66256000000001</v>
      </c>
      <c r="E38" s="77">
        <f t="shared" si="8"/>
        <v>79.33720000000001</v>
      </c>
      <c r="F38" s="77">
        <f t="shared" si="9"/>
        <v>20.95712</v>
      </c>
      <c r="G38" s="77">
        <f t="shared" si="10"/>
        <v>5.9200000000000003E-2</v>
      </c>
      <c r="H38" s="77">
        <f t="shared" si="10"/>
        <v>0.1152</v>
      </c>
      <c r="I38" s="77">
        <f t="shared" si="10"/>
        <v>0.04</v>
      </c>
      <c r="J38" s="77">
        <f t="shared" si="10"/>
        <v>8.0000000000000004E-4</v>
      </c>
      <c r="K38" s="77">
        <f t="shared" si="10"/>
        <v>4.0000000000000001E-3</v>
      </c>
      <c r="L38" s="77">
        <f t="shared" si="10"/>
        <v>1.9200000000000002E-2</v>
      </c>
      <c r="M38" s="77">
        <f t="shared" si="10"/>
        <v>1.6E-2</v>
      </c>
      <c r="N38" s="77">
        <f t="shared" si="10"/>
        <v>0</v>
      </c>
      <c r="O38" s="77">
        <f t="shared" si="10"/>
        <v>0</v>
      </c>
      <c r="P38" s="77">
        <f t="shared" si="10"/>
        <v>38.799999999999997</v>
      </c>
      <c r="Q38" s="77">
        <f t="shared" si="11"/>
        <v>31.400000000000002</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CM 0961</v>
      </c>
      <c r="B39" s="15">
        <v>97</v>
      </c>
      <c r="C39" s="77">
        <f t="shared" si="6"/>
        <v>67.900000000000006</v>
      </c>
      <c r="D39" s="77">
        <f t="shared" si="7"/>
        <v>156.003354</v>
      </c>
      <c r="E39" s="77">
        <f t="shared" si="8"/>
        <v>96.196355000000011</v>
      </c>
      <c r="F39" s="77">
        <f t="shared" si="9"/>
        <v>25.410508</v>
      </c>
      <c r="G39" s="77">
        <f t="shared" si="10"/>
        <v>7.1779999999999997E-2</v>
      </c>
      <c r="H39" s="77">
        <f t="shared" si="10"/>
        <v>0.13968</v>
      </c>
      <c r="I39" s="77">
        <f t="shared" si="10"/>
        <v>4.8500000000000001E-2</v>
      </c>
      <c r="J39" s="77">
        <f t="shared" si="10"/>
        <v>9.7000000000000005E-4</v>
      </c>
      <c r="K39" s="77">
        <f t="shared" si="10"/>
        <v>4.8500000000000001E-3</v>
      </c>
      <c r="L39" s="77">
        <f t="shared" si="10"/>
        <v>2.3280000000000002E-2</v>
      </c>
      <c r="M39" s="77">
        <f t="shared" si="10"/>
        <v>1.9400000000000001E-2</v>
      </c>
      <c r="N39" s="77">
        <f t="shared" si="10"/>
        <v>0</v>
      </c>
      <c r="O39" s="77">
        <f t="shared" si="10"/>
        <v>0</v>
      </c>
      <c r="P39" s="77">
        <f t="shared" si="10"/>
        <v>47.045000000000002</v>
      </c>
      <c r="Q39" s="77">
        <f t="shared" si="11"/>
        <v>38.072499999999998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Grass</v>
      </c>
      <c r="I58" s="13" t="str">
        <f>J16&amp;" I "&amp;(VLOOKUP(J14,Table24[],6,FALSE))</f>
        <v>Medium/Clay I Arable</v>
      </c>
      <c r="J58" s="13" t="str">
        <f>K16&amp;" I "&amp;(VLOOKUP(K14,Table24[],6,FALSE))</f>
        <v>Medium/Clay I Arable</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6.2</v>
      </c>
      <c r="E59" s="76">
        <f>VLOOKUP(F$14,Table24[],5,FALSE)</f>
        <v>6.7</v>
      </c>
      <c r="F59" s="76">
        <f>VLOOKUP(G$14,Table24[],5,FALSE)</f>
        <v>6.7</v>
      </c>
      <c r="G59" s="76">
        <f>VLOOKUP(H$14,Table24[],5,FALSE)</f>
        <v>6.7</v>
      </c>
      <c r="H59" s="76">
        <f>VLOOKUP(I$14,Table24[],5,FALSE)</f>
        <v>6.2</v>
      </c>
      <c r="I59" s="76">
        <f>VLOOKUP(J$14,Table24[],5,FALSE)</f>
        <v>6.7</v>
      </c>
      <c r="J59" s="76">
        <f>VLOOKUP(K$14,Table24[],5,FALSE)</f>
        <v>6.7</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37</v>
      </c>
      <c r="D62" s="77">
        <f>B33</f>
        <v>37</v>
      </c>
      <c r="E62" s="77">
        <f>B34</f>
        <v>39</v>
      </c>
      <c r="F62" s="77">
        <f>B35</f>
        <v>39</v>
      </c>
      <c r="G62" s="77">
        <f>B36</f>
        <v>39</v>
      </c>
      <c r="H62" s="77">
        <f>B37</f>
        <v>37</v>
      </c>
      <c r="I62" s="77">
        <f>B38</f>
        <v>80</v>
      </c>
      <c r="J62" s="77">
        <f>B39</f>
        <v>97</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v>4.16</v>
      </c>
      <c r="J1" s="127" t="s">
        <v>153</v>
      </c>
      <c r="K1" s="127"/>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178</v>
      </c>
      <c r="G2" s="125" t="s">
        <v>110</v>
      </c>
      <c r="H2" s="126"/>
      <c r="I2" s="118">
        <v>1114</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c r="J3" s="123" t="s">
        <v>154</v>
      </c>
      <c r="K3" s="124"/>
      <c r="L3" s="97">
        <f>(L1/(L2*10000))*100</f>
        <v>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30.035009999999996</v>
      </c>
      <c r="E18" s="16">
        <f>$D33</f>
        <v>30.035009999999996</v>
      </c>
      <c r="F18" s="16">
        <f>$D34</f>
        <v>0</v>
      </c>
      <c r="G18" s="16">
        <f>$D35</f>
        <v>0</v>
      </c>
      <c r="H18" s="16">
        <f>$D36</f>
        <v>0</v>
      </c>
      <c r="I18" s="16">
        <f>$D37</f>
        <v>30.035009999999996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-29.464990000000004</v>
      </c>
      <c r="E19" s="16">
        <f t="shared" si="1"/>
        <v>-29.464990000000004</v>
      </c>
      <c r="F19" s="16">
        <f t="shared" si="1"/>
        <v>-63.75</v>
      </c>
      <c r="G19" s="16">
        <f t="shared" si="1"/>
        <v>-63.75</v>
      </c>
      <c r="H19" s="16">
        <f t="shared" si="1"/>
        <v>-63.75</v>
      </c>
      <c r="I19" s="16">
        <f t="shared" si="1"/>
        <v>-29.464990000000004</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28.956150000000004</v>
      </c>
      <c r="E22" s="16">
        <f>$E33</f>
        <v>28.956150000000004</v>
      </c>
      <c r="F22" s="16">
        <f>$E34</f>
        <v>0</v>
      </c>
      <c r="G22" s="16">
        <f>$E35</f>
        <v>0</v>
      </c>
      <c r="H22" s="16">
        <f>$E36</f>
        <v>0</v>
      </c>
      <c r="I22" s="16">
        <f>$E37</f>
        <v>28.956150000000004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-181.04384999999999</v>
      </c>
      <c r="E23" s="16">
        <f t="shared" si="3"/>
        <v>-181.04384999999999</v>
      </c>
      <c r="F23" s="16">
        <f t="shared" si="3"/>
        <v>-78.75</v>
      </c>
      <c r="G23" s="16">
        <f t="shared" si="3"/>
        <v>-78.75</v>
      </c>
      <c r="H23" s="16">
        <f t="shared" si="3"/>
        <v>-78.75</v>
      </c>
      <c r="I23" s="16">
        <f t="shared" si="3"/>
        <v>-181.04384999999999</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30</v>
      </c>
      <c r="C32" s="77">
        <f t="shared" ref="C32:C50" si="6">IF(C$27="%w/w SAR",((C$28*10)*$B32),IF(C$27="%w/w DM",(((C$28*10)*($B$28/100))*$B32),IF(C$27="kg/t SAR",(C$28*$B32),IF(C$27="kg/t DM",((C$28*($B$28/100))*$B32),IF(C$27="mg/kg SAR",((C$28*0.001)*$B32),IF(C$27="mg/kg DM",(((C$28*0.001)*($B$28/100))*$B32),0))))))</f>
        <v>30</v>
      </c>
      <c r="D32" s="77">
        <f t="shared" ref="D32:D50" si="7">(IF(D$27="%w/w SAR",((D$28*10)*$B32),IF(D$27="%w/w DM",(((D$28*10)*($B$28/100))*$B32),IF(D$27="kg/t SAR",(D$28*$B32),IF(D$27="kg/t DM",((D$28*($B$28/100))*$B32),IF(D$27="mg/kg SAR",((D$28*0.001)*$B32),IF(D$27="mg/kg DM",(((D$28*0.001)*($B$28/100))*$B32),"0")))))))*2.291</f>
        <v>30.035009999999996</v>
      </c>
      <c r="E32" s="77">
        <f t="shared" ref="E32:E50" si="8">(IF(E$27="%w/w SAR",((E$28*10)*$B32),IF(E$27="%w/w DM",(((E$28*10)*($B$28/100))*$B32),IF(E$27="kg/t SAR",(E$28*$B32),IF(E$27="kg/t DM",((E$28*($B$28/100))*$B32),IF(E$27="mg/kg SAR",((E$28*0.001)*$B32),IF(E$27="mg/kg DM",(((E$28*0.001)*($B$28/100))*$B32),"0")))))))*1.205</f>
        <v>28.956150000000004</v>
      </c>
      <c r="F32" s="77">
        <f t="shared" ref="F32:F50" si="9">(IF(F$27="%w/w SAR",((F$28*10)*$B32),IF(F$27="%w/w DM",(((F$28*10)*($B$28/100))*$B32),IF(F$27="kg/t SAR",(F$28*$B32),IF(F$27="kg/t DM",((F$28*($B$28/100))*$B32),IF(F$27="mg/kg SAR",((F$28*0.001)*$B32),IF(F$27="mg/kg DM",(((F$28*0.001)*($B$28/100))*$B32),"0")))))))*1.658</f>
        <v>6.4164599999999998</v>
      </c>
      <c r="G32" s="77">
        <f t="shared" si="5"/>
        <v>0.1116</v>
      </c>
      <c r="H32" s="77">
        <f t="shared" si="5"/>
        <v>2.76E-2</v>
      </c>
      <c r="I32" s="77">
        <f t="shared" si="5"/>
        <v>1.4999999999999999E-2</v>
      </c>
      <c r="J32" s="77">
        <f t="shared" si="5"/>
        <v>3.0000000000000003E-4</v>
      </c>
      <c r="K32" s="77">
        <f t="shared" si="5"/>
        <v>1.5E-3</v>
      </c>
      <c r="L32" s="77">
        <f t="shared" si="5"/>
        <v>6.0000000000000001E-3</v>
      </c>
      <c r="M32" s="77">
        <f t="shared" si="5"/>
        <v>7.8000000000000014E-3</v>
      </c>
      <c r="N32" s="77">
        <f t="shared" si="5"/>
        <v>0</v>
      </c>
      <c r="O32" s="77">
        <f t="shared" si="5"/>
        <v>0</v>
      </c>
      <c r="P32" s="77">
        <f t="shared" si="5"/>
        <v>27.36</v>
      </c>
      <c r="Q32" s="77">
        <f t="shared" ref="Q32:Q50" si="10">(IF(Q$27="%w/w SAR",((Q$28*10)*$B32),IF(Q$27="%w/w DM",(((Q$28*10)*($B$28/100))*$B32),IF(Q$27="kg/t SAR",(Q$28*$B32),IF(Q$27="kg/t DM",((Q$28*($B$28/100))*$B32),IF(Q$27="mg/kg SAR",((Q$28*0.001)*$B32),IF(Q$27="mg/kg DM",(((Q$28*0.001)*($B$28/100))*$B32),0)))))))*2.5</f>
        <v>7.65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v>30</v>
      </c>
      <c r="C33" s="77">
        <f t="shared" si="6"/>
        <v>30</v>
      </c>
      <c r="D33" s="77">
        <f t="shared" si="7"/>
        <v>30.035009999999996</v>
      </c>
      <c r="E33" s="77">
        <f t="shared" si="8"/>
        <v>28.956150000000004</v>
      </c>
      <c r="F33" s="77">
        <f t="shared" si="9"/>
        <v>6.4164599999999998</v>
      </c>
      <c r="G33" s="77">
        <f t="shared" si="5"/>
        <v>0.1116</v>
      </c>
      <c r="H33" s="77">
        <f t="shared" si="5"/>
        <v>2.76E-2</v>
      </c>
      <c r="I33" s="77">
        <f t="shared" si="5"/>
        <v>1.4999999999999999E-2</v>
      </c>
      <c r="J33" s="77">
        <f t="shared" si="5"/>
        <v>3.0000000000000003E-4</v>
      </c>
      <c r="K33" s="77">
        <f t="shared" si="5"/>
        <v>1.5E-3</v>
      </c>
      <c r="L33" s="77">
        <f t="shared" si="5"/>
        <v>6.0000000000000001E-3</v>
      </c>
      <c r="M33" s="77">
        <f t="shared" si="5"/>
        <v>7.8000000000000014E-3</v>
      </c>
      <c r="N33" s="77">
        <f t="shared" si="5"/>
        <v>0</v>
      </c>
      <c r="O33" s="77">
        <f t="shared" si="5"/>
        <v>0</v>
      </c>
      <c r="P33" s="77">
        <f t="shared" si="5"/>
        <v>27.36</v>
      </c>
      <c r="Q33" s="77">
        <f t="shared" si="10"/>
        <v>7.65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v>30</v>
      </c>
      <c r="C37" s="77">
        <f t="shared" si="6"/>
        <v>30</v>
      </c>
      <c r="D37" s="77">
        <f t="shared" si="7"/>
        <v>30.035009999999996</v>
      </c>
      <c r="E37" s="77">
        <f t="shared" si="8"/>
        <v>28.956150000000004</v>
      </c>
      <c r="F37" s="77">
        <f t="shared" si="9"/>
        <v>6.4164599999999998</v>
      </c>
      <c r="G37" s="77">
        <f t="shared" si="5"/>
        <v>0.1116</v>
      </c>
      <c r="H37" s="77">
        <f t="shared" si="5"/>
        <v>2.76E-2</v>
      </c>
      <c r="I37" s="77">
        <f t="shared" si="5"/>
        <v>1.4999999999999999E-2</v>
      </c>
      <c r="J37" s="77">
        <f t="shared" si="5"/>
        <v>3.0000000000000003E-4</v>
      </c>
      <c r="K37" s="77">
        <f t="shared" si="5"/>
        <v>1.5E-3</v>
      </c>
      <c r="L37" s="77">
        <f t="shared" si="5"/>
        <v>6.0000000000000001E-3</v>
      </c>
      <c r="M37" s="77">
        <f t="shared" si="5"/>
        <v>7.8000000000000014E-3</v>
      </c>
      <c r="N37" s="77">
        <f t="shared" si="5"/>
        <v>0</v>
      </c>
      <c r="O37" s="77">
        <f t="shared" si="5"/>
        <v>0</v>
      </c>
      <c r="P37" s="77">
        <f t="shared" si="5"/>
        <v>27.36</v>
      </c>
      <c r="Q37" s="77">
        <f t="shared" si="10"/>
        <v>7.65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Grass</v>
      </c>
      <c r="I58" s="13" t="str">
        <f>J16&amp;" I "&amp;(VLOOKUP(J14,Table245[],6,FALSE))</f>
        <v>Medium/Clay I Arable</v>
      </c>
      <c r="J58" s="13" t="str">
        <f>K16&amp;" I "&amp;(VLOOKUP(K14,Table245[],6,FALSE))</f>
        <v>Medium/Clay I Arable</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6.2</v>
      </c>
      <c r="E59" s="76">
        <f>VLOOKUP(F$14,Table245[],5,FALSE)</f>
        <v>6.7</v>
      </c>
      <c r="F59" s="76">
        <f>VLOOKUP(G$14,Table245[],5,FALSE)</f>
        <v>6.7</v>
      </c>
      <c r="G59" s="76">
        <f>VLOOKUP(H$14,Table245[],5,FALSE)</f>
        <v>6.7</v>
      </c>
      <c r="H59" s="76">
        <f>VLOOKUP(I$14,Table245[],5,FALSE)</f>
        <v>6.2</v>
      </c>
      <c r="I59" s="76">
        <f>VLOOKUP(J$14,Table245[],5,FALSE)</f>
        <v>6.7</v>
      </c>
      <c r="J59" s="76">
        <f>VLOOKUP(K$14,Table245[],5,FALSE)</f>
        <v>6.7</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30</v>
      </c>
      <c r="D62" s="77">
        <f>B33</f>
        <v>30</v>
      </c>
      <c r="E62" s="77">
        <f>B34</f>
        <v>0</v>
      </c>
      <c r="F62" s="77">
        <f>B35</f>
        <v>0</v>
      </c>
      <c r="G62" s="77">
        <f>B36</f>
        <v>0</v>
      </c>
      <c r="H62" s="77">
        <f>B37</f>
        <v>30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E1"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v>5.43</v>
      </c>
      <c r="J1" s="127" t="s">
        <v>153</v>
      </c>
      <c r="K1" s="127"/>
      <c r="L1" s="97">
        <v>91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175</v>
      </c>
      <c r="G2" s="125" t="s">
        <v>110</v>
      </c>
      <c r="H2" s="126"/>
      <c r="I2" s="118"/>
      <c r="J2" s="127" t="s">
        <v>158</v>
      </c>
      <c r="K2" s="127"/>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14060</v>
      </c>
      <c r="J3" s="123" t="s">
        <v>154</v>
      </c>
      <c r="K3" s="124"/>
      <c r="L3" s="97">
        <f>(L1/(L2*10000))*100</f>
        <v>4.7894736842105257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63.087267000000004</v>
      </c>
      <c r="D18" s="16">
        <f>$D32</f>
        <v>59.320863000000003</v>
      </c>
      <c r="E18" s="16">
        <f>$D33</f>
        <v>59.320863000000003</v>
      </c>
      <c r="F18" s="16">
        <f>$D34</f>
        <v>63.087267000000004</v>
      </c>
      <c r="G18" s="16">
        <f>$D35</f>
        <v>63.087267000000004</v>
      </c>
      <c r="H18" s="16">
        <f>$D36</f>
        <v>63.087267000000004</v>
      </c>
      <c r="I18" s="16">
        <f>$D37</f>
        <v>59.320863000000003</v>
      </c>
      <c r="J18" s="16">
        <f>$D38</f>
        <v>94.1601</v>
      </c>
      <c r="K18" s="16">
        <f>$D39</f>
        <v>94.1601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-0.6627329999999958</v>
      </c>
      <c r="D19" s="16">
        <f t="shared" ref="D19:V19" si="1">D18-D17</f>
        <v>-0.17913699999999722</v>
      </c>
      <c r="E19" s="16">
        <f t="shared" si="1"/>
        <v>-0.17913699999999722</v>
      </c>
      <c r="F19" s="16">
        <f t="shared" si="1"/>
        <v>-0.6627329999999958</v>
      </c>
      <c r="G19" s="16">
        <f t="shared" si="1"/>
        <v>-0.6627329999999958</v>
      </c>
      <c r="H19" s="16">
        <f t="shared" si="1"/>
        <v>-0.6627329999999958</v>
      </c>
      <c r="I19" s="16">
        <f t="shared" si="1"/>
        <v>-0.17913699999999722</v>
      </c>
      <c r="J19" s="16">
        <f t="shared" si="1"/>
        <v>30.4101</v>
      </c>
      <c r="K19" s="16">
        <f t="shared" si="1"/>
        <v>30.4101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(VLOOKUP(D$14,$AI2:$AK24,3,FALSE))*D$15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18.084640000000004</v>
      </c>
      <c r="D22" s="16">
        <f>$E32</f>
        <v>17.004960000000001</v>
      </c>
      <c r="E22" s="16">
        <f>$E33</f>
        <v>17.004960000000001</v>
      </c>
      <c r="F22" s="16">
        <f>$E34</f>
        <v>18.084640000000004</v>
      </c>
      <c r="G22" s="16">
        <f>$E35</f>
        <v>18.084640000000004</v>
      </c>
      <c r="H22" s="16">
        <f>$E36</f>
        <v>18.084640000000004</v>
      </c>
      <c r="I22" s="16">
        <f>$E37</f>
        <v>17.004960000000001</v>
      </c>
      <c r="J22" s="16">
        <f>$E38</f>
        <v>26.992000000000004</v>
      </c>
      <c r="K22" s="16">
        <f>$E39</f>
        <v>26.992000000000004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-60.665359999999993</v>
      </c>
      <c r="D23" s="16">
        <f t="shared" ref="D23:V23" si="3">D22-D21</f>
        <v>-192.99503999999999</v>
      </c>
      <c r="E23" s="16">
        <f t="shared" si="3"/>
        <v>-192.99503999999999</v>
      </c>
      <c r="F23" s="16">
        <f t="shared" si="3"/>
        <v>-60.665359999999993</v>
      </c>
      <c r="G23" s="16">
        <f t="shared" si="3"/>
        <v>-60.665359999999993</v>
      </c>
      <c r="H23" s="16">
        <f t="shared" si="3"/>
        <v>-60.665359999999993</v>
      </c>
      <c r="I23" s="16">
        <f t="shared" si="3"/>
        <v>-192.99503999999999</v>
      </c>
      <c r="J23" s="16">
        <f t="shared" si="3"/>
        <v>-51.757999999999996</v>
      </c>
      <c r="K23" s="16">
        <f t="shared" si="3"/>
        <v>-51.757999999999996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67</v>
      </c>
      <c r="C31" s="77">
        <f>IF(C$27="%w/w SAR",((C$28*10)*$B31),IF(C$27="%w/w DM",(((C$28*10)*($B$28/100))*$B31),IF(C$27="kg/t SAR",(C$28*$B31),IF(C$27="kg/t DM",((C$28*($B$28/100))*$B31),IF(C$27="mg/kg SAR",((C$28*0.001)*$B31),IF(C$27="mg/kg DM",(((C$28*0.001)*($B$28/100))*$B31),0))))))</f>
        <v>127.3</v>
      </c>
      <c r="D31" s="77">
        <f>(IF(D$27="%w/w SAR",((D$28*10)*$B31),IF(D$27="%w/w DM",(((D$28*10)*($B$28/100))*$B31),IF(D$27="kg/t SAR",(D$28*$B31),IF(D$27="kg/t DM",((D$28*($B$28/100))*$B31),IF(D$27="mg/kg SAR",((D$28*0.001)*$B31),IF(D$27="mg/kg DM",(((D$28*0.001)*($B$28/100))*$B31),"0")))))))*2.291</f>
        <v>63.087267000000004</v>
      </c>
      <c r="E31" s="77">
        <f>(IF(E$27="%w/w SAR",((E$28*10)*$B31),IF(E$27="%w/w DM",(((E$28*10)*($B$28/100))*$B31),IF(E$27="kg/t SAR",(E$28*$B31),IF(E$27="kg/t DM",((E$28*($B$28/100))*$B31),IF(E$27="mg/kg SAR",((E$28*0.001)*$B31),IF(E$27="mg/kg DM",(((E$28*0.001)*($B$28/100))*$B31),"0")))))))*1.205</f>
        <v>18.084640000000004</v>
      </c>
      <c r="F31" s="77">
        <f>(IF(F$27="%w/w SAR",((F$28*10)*$B31),IF(F$27="%w/w DM",(((F$28*10)*($B$28/100))*$B31),IF(F$27="kg/t SAR",(F$28*$B31),IF(F$27="kg/t DM",((F$28*($B$28/100))*$B31),IF(F$27="mg/kg SAR",((F$28*0.001)*$B31),IF(F$27="mg/kg DM",(((F$28*0.001)*($B$28/100))*$B31),"0")))))))*1.658</f>
        <v>4.5434174000000001</v>
      </c>
      <c r="G31" s="77">
        <f t="shared" ref="G31:P46" si="5">IF(G$27="%w/w SAR",((G$28*10)*$B31),IF(G$27="%w/w DM",(((G$28*10)*($B$28/100))*$B31),IF(G$27="kg/t SAR",(G$28*$B31),IF(G$27="kg/t DM",((G$28*($B$28/100))*$B31),IF(G$27="mg/kg SAR",((G$28*0.001)*$B31),IF(G$27="mg/kg DM",(((G$28*0.001)*($B$28/100))*$B31),0))))))</f>
        <v>1.34E-2</v>
      </c>
      <c r="H31" s="77">
        <f t="shared" si="5"/>
        <v>8.8440000000000005E-2</v>
      </c>
      <c r="I31" s="77">
        <f t="shared" si="5"/>
        <v>3.3500000000000002E-2</v>
      </c>
      <c r="J31" s="77">
        <f t="shared" si="5"/>
        <v>6.7000000000000002E-4</v>
      </c>
      <c r="K31" s="77">
        <f t="shared" si="5"/>
        <v>3.3500000000000001E-3</v>
      </c>
      <c r="L31" s="77">
        <f t="shared" si="5"/>
        <v>1.34E-2</v>
      </c>
      <c r="M31" s="77">
        <f t="shared" si="5"/>
        <v>2.01E-2</v>
      </c>
      <c r="N31" s="77">
        <f t="shared" si="5"/>
        <v>0</v>
      </c>
      <c r="O31" s="77">
        <f t="shared" si="5"/>
        <v>0</v>
      </c>
      <c r="P31" s="77">
        <f t="shared" si="5"/>
        <v>22.713000000000001</v>
      </c>
      <c r="Q31" s="77">
        <f>(IF(Q$27="%w/w SAR",((Q$28*10)*$B31),IF(Q$27="%w/w DM",(((Q$28*10)*($B$28/100))*$B31),IF(Q$27="kg/t SAR",(Q$28*$B31),IF(Q$27="kg/t DM",((Q$28*($B$28/100))*$B31),IF(Q$27="mg/kg SAR",((Q$28*0.001)*$B31),IF(Q$27="mg/kg DM",(((Q$28*0.001)*($B$28/100))*$B31),0)))))))*2.5</f>
        <v>24.79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63</v>
      </c>
      <c r="C32" s="77">
        <f t="shared" ref="C32:C50" si="6">IF(C$27="%w/w SAR",((C$28*10)*$B32),IF(C$27="%w/w DM",(((C$28*10)*($B$28/100))*$B32),IF(C$27="kg/t SAR",(C$28*$B32),IF(C$27="kg/t DM",((C$28*($B$28/100))*$B32),IF(C$27="mg/kg SAR",((C$28*0.001)*$B32),IF(C$27="mg/kg DM",(((C$28*0.001)*($B$28/100))*$B32),0))))))</f>
        <v>119.69999999999999</v>
      </c>
      <c r="D32" s="77">
        <f t="shared" ref="D32:D50" si="7">(IF(D$27="%w/w SAR",((D$28*10)*$B32),IF(D$27="%w/w DM",(((D$28*10)*($B$28/100))*$B32),IF(D$27="kg/t SAR",(D$28*$B32),IF(D$27="kg/t DM",((D$28*($B$28/100))*$B32),IF(D$27="mg/kg SAR",((D$28*0.001)*$B32),IF(D$27="mg/kg DM",(((D$28*0.001)*($B$28/100))*$B32),"0")))))))*2.291</f>
        <v>59.320863000000003</v>
      </c>
      <c r="E32" s="77">
        <f t="shared" ref="E32:E50" si="8">(IF(E$27="%w/w SAR",((E$28*10)*$B32),IF(E$27="%w/w DM",(((E$28*10)*($B$28/100))*$B32),IF(E$27="kg/t SAR",(E$28*$B32),IF(E$27="kg/t DM",((E$28*($B$28/100))*$B32),IF(E$27="mg/kg SAR",((E$28*0.001)*$B32),IF(E$27="mg/kg DM",(((E$28*0.001)*($B$28/100))*$B32),"0")))))))*1.205</f>
        <v>17.004960000000001</v>
      </c>
      <c r="F32" s="77">
        <f t="shared" ref="F32:F50" si="9">(IF(F$27="%w/w SAR",((F$28*10)*$B32),IF(F$27="%w/w DM",(((F$28*10)*($B$28/100))*$B32),IF(F$27="kg/t SAR",(F$28*$B32),IF(F$27="kg/t DM",((F$28*($B$28/100))*$B32),IF(F$27="mg/kg SAR",((F$28*0.001)*$B32),IF(F$27="mg/kg DM",(((F$28*0.001)*($B$28/100))*$B32),"0")))))))*1.658</f>
        <v>4.2721685999999996</v>
      </c>
      <c r="G32" s="77">
        <f t="shared" si="5"/>
        <v>1.26E-2</v>
      </c>
      <c r="H32" s="77">
        <f t="shared" si="5"/>
        <v>8.3159999999999998E-2</v>
      </c>
      <c r="I32" s="77">
        <f t="shared" si="5"/>
        <v>3.15E-2</v>
      </c>
      <c r="J32" s="77">
        <f t="shared" si="5"/>
        <v>6.3000000000000003E-4</v>
      </c>
      <c r="K32" s="77">
        <f t="shared" si="5"/>
        <v>3.15E-3</v>
      </c>
      <c r="L32" s="77">
        <f t="shared" si="5"/>
        <v>1.26E-2</v>
      </c>
      <c r="M32" s="77">
        <f t="shared" si="5"/>
        <v>1.8899999999999997E-2</v>
      </c>
      <c r="N32" s="77">
        <f t="shared" si="5"/>
        <v>0</v>
      </c>
      <c r="O32" s="77">
        <f t="shared" si="5"/>
        <v>0</v>
      </c>
      <c r="P32" s="77">
        <f t="shared" si="5"/>
        <v>21.357000000000003</v>
      </c>
      <c r="Q32" s="77">
        <f t="shared" ref="Q32:Q50" si="10">(IF(Q$27="%w/w SAR",((Q$28*10)*$B32),IF(Q$27="%w/w DM",(((Q$28*10)*($B$28/100))*$B32),IF(Q$27="kg/t SAR",(Q$28*$B32),IF(Q$27="kg/t DM",((Q$28*($B$28/100))*$B32),IF(Q$27="mg/kg SAR",((Q$28*0.001)*$B32),IF(Q$27="mg/kg DM",(((Q$28*0.001)*($B$28/100))*$B32),0)))))))*2.5</f>
        <v>23.31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v>63</v>
      </c>
      <c r="C33" s="77">
        <f t="shared" si="6"/>
        <v>119.69999999999999</v>
      </c>
      <c r="D33" s="77">
        <f t="shared" si="7"/>
        <v>59.320863000000003</v>
      </c>
      <c r="E33" s="77">
        <f t="shared" si="8"/>
        <v>17.004960000000001</v>
      </c>
      <c r="F33" s="77">
        <f t="shared" si="9"/>
        <v>4.2721685999999996</v>
      </c>
      <c r="G33" s="77">
        <f t="shared" si="5"/>
        <v>1.26E-2</v>
      </c>
      <c r="H33" s="77">
        <f t="shared" si="5"/>
        <v>8.3159999999999998E-2</v>
      </c>
      <c r="I33" s="77">
        <f t="shared" si="5"/>
        <v>3.15E-2</v>
      </c>
      <c r="J33" s="77">
        <f t="shared" si="5"/>
        <v>6.3000000000000003E-4</v>
      </c>
      <c r="K33" s="77">
        <f t="shared" si="5"/>
        <v>3.15E-3</v>
      </c>
      <c r="L33" s="77">
        <f t="shared" si="5"/>
        <v>1.26E-2</v>
      </c>
      <c r="M33" s="77">
        <f t="shared" si="5"/>
        <v>1.8899999999999997E-2</v>
      </c>
      <c r="N33" s="77">
        <f t="shared" si="5"/>
        <v>0</v>
      </c>
      <c r="O33" s="77">
        <f t="shared" si="5"/>
        <v>0</v>
      </c>
      <c r="P33" s="77">
        <f t="shared" si="5"/>
        <v>21.357000000000003</v>
      </c>
      <c r="Q33" s="77">
        <f t="shared" si="10"/>
        <v>23.31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v>67</v>
      </c>
      <c r="C34" s="77">
        <f t="shared" si="6"/>
        <v>127.3</v>
      </c>
      <c r="D34" s="77">
        <f t="shared" si="7"/>
        <v>63.087267000000004</v>
      </c>
      <c r="E34" s="77">
        <f t="shared" si="8"/>
        <v>18.084640000000004</v>
      </c>
      <c r="F34" s="77">
        <f t="shared" si="9"/>
        <v>4.5434174000000001</v>
      </c>
      <c r="G34" s="77">
        <f t="shared" si="5"/>
        <v>1.34E-2</v>
      </c>
      <c r="H34" s="77">
        <f t="shared" si="5"/>
        <v>8.8440000000000005E-2</v>
      </c>
      <c r="I34" s="77">
        <f t="shared" si="5"/>
        <v>3.3500000000000002E-2</v>
      </c>
      <c r="J34" s="77">
        <f t="shared" si="5"/>
        <v>6.7000000000000002E-4</v>
      </c>
      <c r="K34" s="77">
        <f t="shared" si="5"/>
        <v>3.3500000000000001E-3</v>
      </c>
      <c r="L34" s="77">
        <f t="shared" si="5"/>
        <v>1.34E-2</v>
      </c>
      <c r="M34" s="77">
        <f t="shared" si="5"/>
        <v>2.01E-2</v>
      </c>
      <c r="N34" s="77">
        <f t="shared" si="5"/>
        <v>0</v>
      </c>
      <c r="O34" s="77">
        <f t="shared" si="5"/>
        <v>0</v>
      </c>
      <c r="P34" s="77">
        <f t="shared" si="5"/>
        <v>22.713000000000001</v>
      </c>
      <c r="Q34" s="77">
        <f t="shared" si="10"/>
        <v>24.79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v>67</v>
      </c>
      <c r="C35" s="77">
        <f t="shared" si="6"/>
        <v>127.3</v>
      </c>
      <c r="D35" s="77">
        <f t="shared" si="7"/>
        <v>63.087267000000004</v>
      </c>
      <c r="E35" s="77">
        <f t="shared" si="8"/>
        <v>18.084640000000004</v>
      </c>
      <c r="F35" s="77">
        <f t="shared" si="9"/>
        <v>4.5434174000000001</v>
      </c>
      <c r="G35" s="77">
        <f t="shared" si="5"/>
        <v>1.34E-2</v>
      </c>
      <c r="H35" s="77">
        <f t="shared" si="5"/>
        <v>8.8440000000000005E-2</v>
      </c>
      <c r="I35" s="77">
        <f t="shared" si="5"/>
        <v>3.3500000000000002E-2</v>
      </c>
      <c r="J35" s="77">
        <f t="shared" si="5"/>
        <v>6.7000000000000002E-4</v>
      </c>
      <c r="K35" s="77">
        <f t="shared" si="5"/>
        <v>3.3500000000000001E-3</v>
      </c>
      <c r="L35" s="77">
        <f t="shared" si="5"/>
        <v>1.34E-2</v>
      </c>
      <c r="M35" s="77">
        <f t="shared" si="5"/>
        <v>2.01E-2</v>
      </c>
      <c r="N35" s="77">
        <f t="shared" si="5"/>
        <v>0</v>
      </c>
      <c r="O35" s="77">
        <f t="shared" si="5"/>
        <v>0</v>
      </c>
      <c r="P35" s="77">
        <f t="shared" si="5"/>
        <v>22.713000000000001</v>
      </c>
      <c r="Q35" s="77">
        <f t="shared" si="10"/>
        <v>24.79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v>67</v>
      </c>
      <c r="C36" s="77">
        <f t="shared" si="6"/>
        <v>127.3</v>
      </c>
      <c r="D36" s="77">
        <f t="shared" si="7"/>
        <v>63.087267000000004</v>
      </c>
      <c r="E36" s="77">
        <f t="shared" si="8"/>
        <v>18.084640000000004</v>
      </c>
      <c r="F36" s="77">
        <f t="shared" si="9"/>
        <v>4.5434174000000001</v>
      </c>
      <c r="G36" s="77">
        <f t="shared" si="5"/>
        <v>1.34E-2</v>
      </c>
      <c r="H36" s="77">
        <f t="shared" si="5"/>
        <v>8.8440000000000005E-2</v>
      </c>
      <c r="I36" s="77">
        <f t="shared" si="5"/>
        <v>3.3500000000000002E-2</v>
      </c>
      <c r="J36" s="77">
        <f t="shared" si="5"/>
        <v>6.7000000000000002E-4</v>
      </c>
      <c r="K36" s="77">
        <f t="shared" si="5"/>
        <v>3.3500000000000001E-3</v>
      </c>
      <c r="L36" s="77">
        <f t="shared" si="5"/>
        <v>1.34E-2</v>
      </c>
      <c r="M36" s="77">
        <f t="shared" si="5"/>
        <v>2.01E-2</v>
      </c>
      <c r="N36" s="77">
        <f t="shared" si="5"/>
        <v>0</v>
      </c>
      <c r="O36" s="77">
        <f t="shared" si="5"/>
        <v>0</v>
      </c>
      <c r="P36" s="77">
        <f t="shared" si="5"/>
        <v>22.713000000000001</v>
      </c>
      <c r="Q36" s="77">
        <f t="shared" si="10"/>
        <v>24.79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v>63</v>
      </c>
      <c r="C37" s="77">
        <f t="shared" si="6"/>
        <v>119.69999999999999</v>
      </c>
      <c r="D37" s="77">
        <f t="shared" si="7"/>
        <v>59.320863000000003</v>
      </c>
      <c r="E37" s="77">
        <f t="shared" si="8"/>
        <v>17.004960000000001</v>
      </c>
      <c r="F37" s="77">
        <f t="shared" si="9"/>
        <v>4.2721685999999996</v>
      </c>
      <c r="G37" s="77">
        <f t="shared" si="5"/>
        <v>1.26E-2</v>
      </c>
      <c r="H37" s="77">
        <f t="shared" si="5"/>
        <v>8.3159999999999998E-2</v>
      </c>
      <c r="I37" s="77">
        <f t="shared" si="5"/>
        <v>3.15E-2</v>
      </c>
      <c r="J37" s="77">
        <f t="shared" si="5"/>
        <v>6.3000000000000003E-4</v>
      </c>
      <c r="K37" s="77">
        <f t="shared" si="5"/>
        <v>3.15E-3</v>
      </c>
      <c r="L37" s="77">
        <f t="shared" si="5"/>
        <v>1.26E-2</v>
      </c>
      <c r="M37" s="77">
        <f t="shared" si="5"/>
        <v>1.8899999999999997E-2</v>
      </c>
      <c r="N37" s="77">
        <f t="shared" si="5"/>
        <v>0</v>
      </c>
      <c r="O37" s="77">
        <f t="shared" si="5"/>
        <v>0</v>
      </c>
      <c r="P37" s="77">
        <f t="shared" si="5"/>
        <v>21.357000000000003</v>
      </c>
      <c r="Q37" s="77">
        <f t="shared" si="10"/>
        <v>23.31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v>100</v>
      </c>
      <c r="C38" s="77">
        <f t="shared" si="6"/>
        <v>190</v>
      </c>
      <c r="D38" s="77">
        <f t="shared" si="7"/>
        <v>94.1601</v>
      </c>
      <c r="E38" s="77">
        <f t="shared" si="8"/>
        <v>26.992000000000004</v>
      </c>
      <c r="F38" s="77">
        <f t="shared" si="9"/>
        <v>6.7812199999999994</v>
      </c>
      <c r="G38" s="77">
        <f t="shared" si="5"/>
        <v>0.02</v>
      </c>
      <c r="H38" s="77">
        <f t="shared" si="5"/>
        <v>0.13200000000000001</v>
      </c>
      <c r="I38" s="77">
        <f t="shared" si="5"/>
        <v>0.05</v>
      </c>
      <c r="J38" s="77">
        <f t="shared" si="5"/>
        <v>1E-3</v>
      </c>
      <c r="K38" s="77">
        <f t="shared" si="5"/>
        <v>5.0000000000000001E-3</v>
      </c>
      <c r="L38" s="77">
        <f t="shared" si="5"/>
        <v>0.02</v>
      </c>
      <c r="M38" s="77">
        <f t="shared" si="5"/>
        <v>0.03</v>
      </c>
      <c r="N38" s="77">
        <f t="shared" si="5"/>
        <v>0</v>
      </c>
      <c r="O38" s="77">
        <f t="shared" si="5"/>
        <v>0</v>
      </c>
      <c r="P38" s="77">
        <f t="shared" si="5"/>
        <v>33.900000000000006</v>
      </c>
      <c r="Q38" s="77">
        <f t="shared" si="10"/>
        <v>37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v>100</v>
      </c>
      <c r="C39" s="77">
        <f t="shared" si="6"/>
        <v>190</v>
      </c>
      <c r="D39" s="77">
        <f t="shared" si="7"/>
        <v>94.1601</v>
      </c>
      <c r="E39" s="77">
        <f t="shared" si="8"/>
        <v>26.992000000000004</v>
      </c>
      <c r="F39" s="77">
        <f t="shared" si="9"/>
        <v>6.7812199999999994</v>
      </c>
      <c r="G39" s="77">
        <f t="shared" si="5"/>
        <v>0.02</v>
      </c>
      <c r="H39" s="77">
        <f t="shared" si="5"/>
        <v>0.13200000000000001</v>
      </c>
      <c r="I39" s="77">
        <f t="shared" si="5"/>
        <v>0.05</v>
      </c>
      <c r="J39" s="77">
        <f t="shared" si="5"/>
        <v>1E-3</v>
      </c>
      <c r="K39" s="77">
        <f t="shared" si="5"/>
        <v>5.0000000000000001E-3</v>
      </c>
      <c r="L39" s="77">
        <f t="shared" si="5"/>
        <v>0.02</v>
      </c>
      <c r="M39" s="77">
        <f t="shared" si="5"/>
        <v>0.03</v>
      </c>
      <c r="N39" s="77">
        <f t="shared" si="5"/>
        <v>0</v>
      </c>
      <c r="O39" s="77">
        <f t="shared" si="5"/>
        <v>0</v>
      </c>
      <c r="P39" s="77">
        <f t="shared" si="5"/>
        <v>33.900000000000006</v>
      </c>
      <c r="Q39" s="77">
        <f t="shared" si="10"/>
        <v>37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Grass</v>
      </c>
      <c r="I58" s="13" t="str">
        <f>J16&amp;" I "&amp;(VLOOKUP(J14,Table245811[],6,FALSE))</f>
        <v>Medium/Clay I Arable</v>
      </c>
      <c r="J58" s="13" t="str">
        <f>K16&amp;" I "&amp;(VLOOKUP(K14,Table245811[],6,FALSE))</f>
        <v>Medium/Clay I Arable</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6.2</v>
      </c>
      <c r="E59" s="76">
        <f>VLOOKUP(F$14,Table245811[],5,FALSE)</f>
        <v>6.7</v>
      </c>
      <c r="F59" s="76">
        <f>VLOOKUP(G$14,Table245811[],5,FALSE)</f>
        <v>6.7</v>
      </c>
      <c r="G59" s="76">
        <f>VLOOKUP(H$14,Table245811[],5,FALSE)</f>
        <v>6.7</v>
      </c>
      <c r="H59" s="76">
        <f>VLOOKUP(I$14,Table245811[],5,FALSE)</f>
        <v>6.2</v>
      </c>
      <c r="I59" s="76">
        <f>VLOOKUP(J$14,Table245811[],5,FALSE)</f>
        <v>6.7</v>
      </c>
      <c r="J59" s="76">
        <f>VLOOKUP(K$14,Table245811[],5,FALSE)</f>
        <v>6.7</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67</v>
      </c>
      <c r="C62" s="77">
        <f>B32</f>
        <v>63</v>
      </c>
      <c r="D62" s="77">
        <f>B33</f>
        <v>63</v>
      </c>
      <c r="E62" s="77">
        <f>B34</f>
        <v>67</v>
      </c>
      <c r="F62" s="77">
        <f>B35</f>
        <v>67</v>
      </c>
      <c r="G62" s="77">
        <f>B36</f>
        <v>67</v>
      </c>
      <c r="H62" s="77">
        <f>B37</f>
        <v>63</v>
      </c>
      <c r="I62" s="77">
        <f>B38</f>
        <v>100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Grass</v>
      </c>
      <c r="I58" s="13" t="str">
        <f>J16&amp;" I "&amp;(VLOOKUP(J14,Table24581112[],6,FALSE))</f>
        <v>Medium/Clay I Arable</v>
      </c>
      <c r="J58" s="13" t="str">
        <f>K16&amp;" I "&amp;(VLOOKUP(K14,Table24581112[],6,FALSE))</f>
        <v>Medium/Clay I Arable</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6.2</v>
      </c>
      <c r="D59" s="76">
        <f>VLOOKUP(E$14,Table24581112[],5,FALSE)</f>
        <v>6.2</v>
      </c>
      <c r="E59" s="76">
        <f>VLOOKUP(F$14,Table24581112[],5,FALSE)</f>
        <v>6.7</v>
      </c>
      <c r="F59" s="76">
        <f>VLOOKUP(G$14,Table24581112[],5,FALSE)</f>
        <v>6.7</v>
      </c>
      <c r="G59" s="76">
        <f>VLOOKUP(H$14,Table24581112[],5,FALSE)</f>
        <v>6.7</v>
      </c>
      <c r="H59" s="76">
        <f>VLOOKUP(I$14,Table24581112[],5,FALSE)</f>
        <v>6.2</v>
      </c>
      <c r="I59" s="76">
        <f>VLOOKUP(J$14,Table24581112[],5,FALSE)</f>
        <v>6.7</v>
      </c>
      <c r="J59" s="76">
        <f>VLOOKUP(K$14,Table24581112[],5,FALSE)</f>
        <v>6.7</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Grass</v>
      </c>
      <c r="I58" s="13" t="str">
        <f>J16&amp;" I "&amp;(VLOOKUP(J14,Table24581114[],6,FALSE))</f>
        <v>Medium/Clay I Arable</v>
      </c>
      <c r="J58" s="13" t="str">
        <f>K16&amp;" I "&amp;(VLOOKUP(K14,Table24581114[],6,FALSE))</f>
        <v>Medium/Clay I Arable</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6.2</v>
      </c>
      <c r="D59" s="76">
        <f>VLOOKUP(E$14,Table24581114[],5,FALSE)</f>
        <v>6.2</v>
      </c>
      <c r="E59" s="76">
        <f>VLOOKUP(F$14,Table24581114[],5,FALSE)</f>
        <v>6.7</v>
      </c>
      <c r="F59" s="76">
        <f>VLOOKUP(G$14,Table24581114[],5,FALSE)</f>
        <v>6.7</v>
      </c>
      <c r="G59" s="76">
        <f>VLOOKUP(H$14,Table24581114[],5,FALSE)</f>
        <v>6.7</v>
      </c>
      <c r="H59" s="76">
        <f>VLOOKUP(I$14,Table24581114[],5,FALSE)</f>
        <v>6.2</v>
      </c>
      <c r="I59" s="76">
        <f>VLOOKUP(J$14,Table24581114[],5,FALSE)</f>
        <v>6.7</v>
      </c>
      <c r="J59" s="76">
        <f>VLOOKUP(K$14,Table24581114[],5,FALSE)</f>
        <v>6.7</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Grass</v>
      </c>
      <c r="D58" s="13" t="str">
        <f>E16&amp;" I "&amp;(VLOOKUP(E14,Table245810[],6,FALSE))</f>
        <v>Medium/Clay I Grass</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Grass</v>
      </c>
      <c r="I58" s="13" t="str">
        <f>J16&amp;" I "&amp;(VLOOKUP(J14,Table245810[],6,FALSE))</f>
        <v>Medium/Clay I Arable</v>
      </c>
      <c r="J58" s="13" t="str">
        <f>K16&amp;" I "&amp;(VLOOKUP(K14,Table245810[],6,FALSE))</f>
        <v>Medium/Clay I Arable</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6.2</v>
      </c>
      <c r="D59" s="76">
        <f>VLOOKUP(E$14,Table245810[],5,FALSE)</f>
        <v>6.2</v>
      </c>
      <c r="E59" s="76">
        <f>VLOOKUP(F$14,Table245810[],5,FALSE)</f>
        <v>6.7</v>
      </c>
      <c r="F59" s="76">
        <f>VLOOKUP(G$14,Table245810[],5,FALSE)</f>
        <v>6.7</v>
      </c>
      <c r="G59" s="76">
        <f>VLOOKUP(H$14,Table245810[],5,FALSE)</f>
        <v>6.7</v>
      </c>
      <c r="H59" s="76">
        <f>VLOOKUP(I$14,Table245810[],5,FALSE)</f>
        <v>6.2</v>
      </c>
      <c r="I59" s="76">
        <f>VLOOKUP(J$14,Table245810[],5,FALSE)</f>
        <v>6.7</v>
      </c>
      <c r="J59" s="76">
        <f>VLOOKUP(K$14,Table245810[],5,FALSE)</f>
        <v>6.7</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Grass</v>
      </c>
      <c r="D58" s="13" t="str">
        <f>E16&amp;" I "&amp;(VLOOKUP(E14,Table2458[],6,FALSE))</f>
        <v>Medium/Clay I Grass</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Grass</v>
      </c>
      <c r="I58" s="13" t="str">
        <f>J16&amp;" I "&amp;(VLOOKUP(J14,Table2458[],6,FALSE))</f>
        <v>Medium/Clay I Arable</v>
      </c>
      <c r="J58" s="13" t="str">
        <f>K16&amp;" I "&amp;(VLOOKUP(K14,Table2458[],6,FALSE))</f>
        <v>Medium/Clay I Arable</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6.2</v>
      </c>
      <c r="D59" s="76">
        <f>VLOOKUP(E$14,Table2458[],5,FALSE)</f>
        <v>6.2</v>
      </c>
      <c r="E59" s="76">
        <f>VLOOKUP(F$14,Table2458[],5,FALSE)</f>
        <v>6.7</v>
      </c>
      <c r="F59" s="76">
        <f>VLOOKUP(G$14,Table2458[],5,FALSE)</f>
        <v>6.7</v>
      </c>
      <c r="G59" s="76">
        <f>VLOOKUP(H$14,Table2458[],5,FALSE)</f>
        <v>6.7</v>
      </c>
      <c r="H59" s="76">
        <f>VLOOKUP(I$14,Table2458[],5,FALSE)</f>
        <v>6.2</v>
      </c>
      <c r="I59" s="76">
        <f>VLOOKUP(J$14,Table2458[],5,FALSE)</f>
        <v>6.7</v>
      </c>
      <c r="J59" s="76">
        <f>VLOOKUP(K$14,Table2458[],5,FALSE)</f>
        <v>6.7</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Grass</v>
      </c>
      <c r="I58" s="13" t="str">
        <f>J16&amp;" I "&amp;(VLOOKUP(J14,Table24581113[],6,FALSE))</f>
        <v>Medium/Clay I Arable</v>
      </c>
      <c r="J58" s="13" t="str">
        <f>K16&amp;" I "&amp;(VLOOKUP(K14,Table24581113[],6,FALSE))</f>
        <v>Medium/Clay I Arable</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6.2</v>
      </c>
      <c r="D59" s="76">
        <f>VLOOKUP(E$14,Table24581113[],5,FALSE)</f>
        <v>6.2</v>
      </c>
      <c r="E59" s="76">
        <f>VLOOKUP(F$14,Table24581113[],5,FALSE)</f>
        <v>6.7</v>
      </c>
      <c r="F59" s="76">
        <f>VLOOKUP(G$14,Table24581113[],5,FALSE)</f>
        <v>6.7</v>
      </c>
      <c r="G59" s="76">
        <f>VLOOKUP(H$14,Table24581113[],5,FALSE)</f>
        <v>6.7</v>
      </c>
      <c r="H59" s="76">
        <f>VLOOKUP(I$14,Table24581113[],5,FALSE)</f>
        <v>6.2</v>
      </c>
      <c r="I59" s="76">
        <f>VLOOKUP(J$14,Table24581113[],5,FALSE)</f>
        <v>6.7</v>
      </c>
      <c r="J59" s="76">
        <f>VLOOKUP(K$14,Table24581113[],5,FALSE)</f>
        <v>6.7</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Grass</v>
      </c>
      <c r="D58" s="13" t="str">
        <f>E16&amp;" I "&amp;(VLOOKUP(E14,Table24567[],6,FALSE))</f>
        <v>Medium/Clay I Grass</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Grass</v>
      </c>
      <c r="I58" s="13" t="str">
        <f>J16&amp;" I "&amp;(VLOOKUP(J14,Table24567[],6,FALSE))</f>
        <v>Medium/Clay I Arable</v>
      </c>
      <c r="J58" s="13" t="str">
        <f>K16&amp;" I "&amp;(VLOOKUP(K14,Table24567[],6,FALSE))</f>
        <v>Medium/Clay I Arable</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6.2</v>
      </c>
      <c r="D59" s="76">
        <f>VLOOKUP(E$14,Table24567[],5,FALSE)</f>
        <v>6.2</v>
      </c>
      <c r="E59" s="76">
        <f>VLOOKUP(F$14,Table24567[],5,FALSE)</f>
        <v>6.7</v>
      </c>
      <c r="F59" s="76">
        <f>VLOOKUP(G$14,Table24567[],5,FALSE)</f>
        <v>6.7</v>
      </c>
      <c r="G59" s="76">
        <f>VLOOKUP(H$14,Table24567[],5,FALSE)</f>
        <v>6.7</v>
      </c>
      <c r="H59" s="76">
        <f>VLOOKUP(I$14,Table24567[],5,FALSE)</f>
        <v>6.2</v>
      </c>
      <c r="I59" s="76">
        <f>VLOOKUP(J$14,Table24567[],5,FALSE)</f>
        <v>6.7</v>
      </c>
      <c r="J59" s="76">
        <f>VLOOKUP(K$14,Table24567[],5,FALSE)</f>
        <v>6.7</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Grass</v>
      </c>
      <c r="D58" s="13" t="str">
        <f>E16&amp;" I "&amp;(VLOOKUP(E14,Table2456[],6,FALSE))</f>
        <v>Medium/Clay I Grass</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Grass</v>
      </c>
      <c r="I58" s="13" t="str">
        <f>J16&amp;" I "&amp;(VLOOKUP(J14,Table2456[],6,FALSE))</f>
        <v>Medium/Clay I Arable</v>
      </c>
      <c r="J58" s="13" t="str">
        <f>K16&amp;" I "&amp;(VLOOKUP(K14,Table2456[],6,FALSE))</f>
        <v>Medium/Clay I Arable</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6.2</v>
      </c>
      <c r="D59" s="76">
        <f>VLOOKUP(E$14,Table2456[],5,FALSE)</f>
        <v>6.2</v>
      </c>
      <c r="E59" s="76">
        <f>VLOOKUP(F$14,Table2456[],5,FALSE)</f>
        <v>6.7</v>
      </c>
      <c r="F59" s="76">
        <f>VLOOKUP(G$14,Table2456[],5,FALSE)</f>
        <v>6.7</v>
      </c>
      <c r="G59" s="76">
        <f>VLOOKUP(H$14,Table2456[],5,FALSE)</f>
        <v>6.7</v>
      </c>
      <c r="H59" s="76">
        <f>VLOOKUP(I$14,Table2456[],5,FALSE)</f>
        <v>6.2</v>
      </c>
      <c r="I59" s="76">
        <f>VLOOKUP(J$14,Table2456[],5,FALSE)</f>
        <v>6.7</v>
      </c>
      <c r="J59" s="76">
        <f>VLOOKUP(K$14,Table2456[],5,FALSE)</f>
        <v>6.7</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39</v>
      </c>
      <c r="C3" s="33">
        <f>'Field data and Waste 1'!C31</f>
        <v>27.300000000000004</v>
      </c>
      <c r="D3" s="33">
        <f>'Field data and Waste 1'!D31</f>
        <v>62.722998000000004</v>
      </c>
      <c r="E3" s="33">
        <f>'Field data and Waste 1'!E31</f>
        <v>38.676885000000006</v>
      </c>
      <c r="F3" s="33">
        <f>'Field data and Waste 1'!F31</f>
        <v>10.216595999999999</v>
      </c>
      <c r="G3" s="33">
        <f>'Field data and Waste 1'!G31</f>
        <v>2.886E-2</v>
      </c>
      <c r="H3" s="33">
        <f>'Field data and Waste 1'!H31</f>
        <v>5.6159999999999995E-2</v>
      </c>
      <c r="I3" s="33">
        <f>'Field data and Waste 1'!I31</f>
        <v>1.95E-2</v>
      </c>
      <c r="J3" s="33">
        <f>'Field data and Waste 1'!J31</f>
        <v>3.9000000000000005E-4</v>
      </c>
      <c r="K3" s="33">
        <f>'Field data and Waste 1'!K31</f>
        <v>1.9500000000000001E-3</v>
      </c>
      <c r="L3" s="33">
        <f>'Field data and Waste 1'!L31</f>
        <v>9.3600000000000003E-3</v>
      </c>
      <c r="M3" s="33">
        <f>'Field data and Waste 1'!M31</f>
        <v>7.8000000000000005E-3</v>
      </c>
      <c r="N3" s="33">
        <f>'Field data and Waste 1'!N31</f>
        <v>0</v>
      </c>
      <c r="O3" s="33">
        <f>'Field data and Waste 1'!O31</f>
        <v>0</v>
      </c>
      <c r="P3" s="33">
        <f>'Field data and Waste 1'!P31</f>
        <v>18.914999999999999</v>
      </c>
      <c r="Q3" s="33">
        <f>'Field data and Waste 1'!Q31</f>
        <v>15.307500000000001</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67</v>
      </c>
      <c r="C5" s="33">
        <f>'Waste 3'!C31</f>
        <v>127.3</v>
      </c>
      <c r="D5" s="33">
        <f>'Waste 3'!D31</f>
        <v>63.087267000000004</v>
      </c>
      <c r="E5" s="33">
        <f>'Waste 3'!E31</f>
        <v>18.084640000000004</v>
      </c>
      <c r="F5" s="33">
        <f>'Waste 3'!F31</f>
        <v>4.5434174000000001</v>
      </c>
      <c r="G5" s="33">
        <f>'Waste 3'!G31</f>
        <v>1.34E-2</v>
      </c>
      <c r="H5" s="33">
        <f>'Waste 3'!H31</f>
        <v>8.8440000000000005E-2</v>
      </c>
      <c r="I5" s="33">
        <f>'Waste 3'!I31</f>
        <v>3.3500000000000002E-2</v>
      </c>
      <c r="J5" s="33">
        <f>'Waste 3'!J31</f>
        <v>6.7000000000000002E-4</v>
      </c>
      <c r="K5" s="33">
        <f>'Waste 3'!K31</f>
        <v>3.3500000000000001E-3</v>
      </c>
      <c r="L5" s="33">
        <f>'Waste 3'!L31</f>
        <v>1.34E-2</v>
      </c>
      <c r="M5" s="33">
        <f>'Waste 3'!M31</f>
        <v>2.01E-2</v>
      </c>
      <c r="N5" s="33">
        <f>'Waste 3'!N31</f>
        <v>0</v>
      </c>
      <c r="O5" s="33">
        <f>'Waste 3'!O31</f>
        <v>0</v>
      </c>
      <c r="P5" s="33">
        <f>'Waste 3'!P31</f>
        <v>22.713000000000001</v>
      </c>
      <c r="Q5" s="33">
        <f>'Waste 3'!Q31</f>
        <v>24.79</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106</v>
      </c>
      <c r="C13" s="81">
        <f t="shared" ref="C13:U13" si="0">SUM(C3:C12)</f>
        <v>154.6</v>
      </c>
      <c r="D13" s="81">
        <f t="shared" si="0"/>
        <v>125.81026500000002</v>
      </c>
      <c r="E13" s="81">
        <f t="shared" si="0"/>
        <v>56.761525000000006</v>
      </c>
      <c r="F13" s="81">
        <f t="shared" si="0"/>
        <v>14.760013399999998</v>
      </c>
      <c r="G13" s="81">
        <f t="shared" si="0"/>
        <v>4.2259999999999999E-2</v>
      </c>
      <c r="H13" s="81">
        <f t="shared" si="0"/>
        <v>0.14460000000000001</v>
      </c>
      <c r="I13" s="81">
        <f t="shared" si="0"/>
        <v>5.3000000000000005E-2</v>
      </c>
      <c r="J13" s="81">
        <f t="shared" si="0"/>
        <v>1.0600000000000002E-3</v>
      </c>
      <c r="K13" s="81">
        <f t="shared" si="0"/>
        <v>5.3E-3</v>
      </c>
      <c r="L13" s="81">
        <f t="shared" si="0"/>
        <v>2.2760000000000002E-2</v>
      </c>
      <c r="M13" s="81">
        <f t="shared" si="0"/>
        <v>2.7900000000000001E-2</v>
      </c>
      <c r="N13" s="81">
        <f t="shared" si="0"/>
        <v>0</v>
      </c>
      <c r="O13" s="81">
        <f t="shared" si="0"/>
        <v>0</v>
      </c>
      <c r="P13" s="81">
        <f t="shared" si="0"/>
        <v>41.628</v>
      </c>
      <c r="Q13" s="81">
        <f t="shared" si="0"/>
        <v>40.097499999999997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39</v>
      </c>
      <c r="D3" s="33">
        <f>'Field data and Waste 1'!C31</f>
        <v>27.300000000000004</v>
      </c>
      <c r="E3" s="33">
        <f>'Field data and Waste 1'!D31</f>
        <v>62.722998000000004</v>
      </c>
      <c r="F3" s="33">
        <f>'Field data and Waste 1'!E31</f>
        <v>38.676885000000006</v>
      </c>
      <c r="G3" s="33">
        <f>'Field data and Waste 1'!F31</f>
        <v>10.216595999999999</v>
      </c>
      <c r="H3" s="33">
        <f>'Field data and Waste 1'!G31</f>
        <v>2.886E-2</v>
      </c>
      <c r="I3" s="33">
        <f>'Field data and Waste 1'!H31</f>
        <v>5.6159999999999995E-2</v>
      </c>
      <c r="J3" s="33">
        <f>'Field data and Waste 1'!I31</f>
        <v>1.95E-2</v>
      </c>
      <c r="K3" s="33">
        <f>'Field data and Waste 1'!J31</f>
        <v>3.9000000000000005E-4</v>
      </c>
      <c r="L3" s="33">
        <f>'Field data and Waste 1'!K31</f>
        <v>1.9500000000000001E-3</v>
      </c>
      <c r="M3" s="33">
        <f>'Field data and Waste 1'!L31</f>
        <v>9.3600000000000003E-3</v>
      </c>
      <c r="N3" s="33">
        <f>'Field data and Waste 1'!M31</f>
        <v>7.8000000000000005E-3</v>
      </c>
      <c r="O3" s="33">
        <f>'Field data and Waste 1'!N31</f>
        <v>0</v>
      </c>
      <c r="P3" s="33">
        <f>'Field data and Waste 1'!O31</f>
        <v>0</v>
      </c>
      <c r="Q3" s="33">
        <f>'Field data and Waste 1'!P31</f>
        <v>18.914999999999999</v>
      </c>
      <c r="R3" s="33">
        <f>'Field data and Waste 1'!Q31</f>
        <v>15.307500000000001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67</v>
      </c>
      <c r="D5" s="33">
        <f>'Waste 3'!C31</f>
        <v>127.3</v>
      </c>
      <c r="E5" s="33">
        <f>'Waste 3'!D31</f>
        <v>63.087267000000004</v>
      </c>
      <c r="F5" s="33">
        <f>'Waste 3'!E31</f>
        <v>18.084640000000004</v>
      </c>
      <c r="G5" s="33">
        <f>'Waste 3'!F31</f>
        <v>4.5434174000000001</v>
      </c>
      <c r="H5" s="33">
        <f>'Waste 3'!G31</f>
        <v>1.34E-2</v>
      </c>
      <c r="I5" s="33">
        <f>'Waste 3'!H31</f>
        <v>8.8440000000000005E-2</v>
      </c>
      <c r="J5" s="33">
        <f>'Waste 3'!I31</f>
        <v>3.3500000000000002E-2</v>
      </c>
      <c r="K5" s="33">
        <f>'Waste 3'!J31</f>
        <v>6.7000000000000002E-4</v>
      </c>
      <c r="L5" s="33">
        <f>'Waste 3'!K31</f>
        <v>3.3500000000000001E-3</v>
      </c>
      <c r="M5" s="33">
        <f>'Waste 3'!L31</f>
        <v>1.34E-2</v>
      </c>
      <c r="N5" s="33">
        <f>'Waste 3'!M31</f>
        <v>2.01E-2</v>
      </c>
      <c r="O5" s="33">
        <f>'Waste 3'!N31</f>
        <v>0</v>
      </c>
      <c r="P5" s="33">
        <f>'Waste 3'!O31</f>
        <v>0</v>
      </c>
      <c r="Q5" s="33">
        <f>'Waste 3'!P31</f>
        <v>22.713000000000001</v>
      </c>
      <c r="R5" s="33">
        <f>'Waste 3'!Q31</f>
        <v>24.79</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67</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REGU-195-6515089</_dlc_DocId>
    <_dlc_DocIdUrl xmlns="9be56660-2c31-41ef-bc00-23e72f632f2a">
      <Url>https://cyfoethnaturiolcymru.sharepoint.com/teams/Regulatory/Permitting/_layouts/15/DocIdRedir.aspx?ID=REGU-195-6515089</Url>
      <Description>REGU-195-6515089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2023-09-11T23:00:00+00:00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0" ma:contentTypeDescription="Permitting &amp; Compliance Word Document" ma:contentTypeScope="" ma:versionID="588907a9c9f32b144f5d2faceca0d3d4">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e3d4343b3495d57220cb70c0b3091d5"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7C59BF3A-951B-43A7-AD7B-B9897B686A43}"/>
</file>

<file path=customXml/itemProps4.xml><?xml version="1.0" encoding="utf-8"?>
<ds:datastoreItem xmlns:ds="http://schemas.openxmlformats.org/officeDocument/2006/customXml" ds:itemID="{256F821E-2DE4-4824-9342-175B01816DD0}"/>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PAN-022503 NRW Nutrient Calculator</dc:title>
  <dc:creator>Louise Bailey</dc:creator>
  <cp:keywords>NRW Nutrient Calculator</cp:keywords>
  <cp:lastModifiedBy>Banfield, Ethan</cp:lastModifiedBy>
  <dcterms:created xsi:type="dcterms:W3CDTF">2016-09-26T10:07:59Z</dcterms:created>
  <dcterms:modified xsi:type="dcterms:W3CDTF">2023-08-25T15:45:45Z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200c1147-fea1-4c32-8a2a-34011bb95dd9</vt:lpwstr>
  </property>
  <property fmtid="{D5CDD505-2E9C-101B-9397-08002B2CF9AE}" pid="4" name="Order">
    <vt:r8>11053000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