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Ethan PAN-022539/"/>
    </mc:Choice>
  </mc:AlternateContent>
  <xr:revisionPtr revIDLastSave="0" documentId="8_{8470125F-C9EC-4B9A-AF7A-B2A355918A7C}" xr6:coauthVersionLast="47" xr6:coauthVersionMax="47" xr10:uidLastSave="{00000000-0000-0000-0000-000000000000}"/>
  <bookViews>
    <workbookView xWindow="2868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L65" i="21"/>
  <c r="M65" i="21"/>
  <c r="N65" i="21"/>
  <c r="O65" i="21"/>
  <c r="P65" i="21"/>
  <c r="Q65" i="21"/>
  <c r="R65" i="21"/>
  <c r="S65" i="21"/>
  <c r="T65" i="21"/>
  <c r="U65" i="21"/>
  <c r="M65" i="27"/>
  <c r="N65" i="27"/>
  <c r="O65" i="27"/>
  <c r="P65" i="27"/>
  <c r="Q65" i="27"/>
  <c r="R65" i="27"/>
  <c r="S65" i="27"/>
  <c r="T65" i="27"/>
  <c r="U65" i="27"/>
  <c r="L65" i="28"/>
  <c r="M65" i="28"/>
  <c r="N65" i="28"/>
  <c r="O65" i="28"/>
  <c r="P65" i="28"/>
  <c r="Q65" i="28"/>
  <c r="R65" i="28"/>
  <c r="S65" i="28"/>
  <c r="T65" i="28"/>
  <c r="U65" i="28"/>
  <c r="L65" i="30"/>
  <c r="M65" i="30"/>
  <c r="N65" i="30"/>
  <c r="O65" i="30"/>
  <c r="P65" i="30"/>
  <c r="Q65" i="30"/>
  <c r="R65" i="30"/>
  <c r="S65" i="30"/>
  <c r="T65" i="30"/>
  <c r="U65" i="30"/>
  <c r="L65" i="26"/>
  <c r="M65" i="26"/>
  <c r="N65" i="26"/>
  <c r="O65" i="26"/>
  <c r="P65" i="26"/>
  <c r="Q65" i="26"/>
  <c r="R65" i="26"/>
  <c r="S65" i="26"/>
  <c r="T65" i="26"/>
  <c r="U65" i="26"/>
  <c r="L65" i="24"/>
  <c r="M65" i="24"/>
  <c r="N65" i="24"/>
  <c r="O65" i="24"/>
  <c r="P65" i="24"/>
  <c r="Q65" i="24"/>
  <c r="R65" i="24"/>
  <c r="S65" i="24"/>
  <c r="T65" i="24"/>
  <c r="U65" i="24"/>
  <c r="L65" i="29"/>
  <c r="M65" i="29"/>
  <c r="N65" i="29"/>
  <c r="O65" i="29"/>
  <c r="P65" i="29"/>
  <c r="Q65" i="29"/>
  <c r="R65" i="29"/>
  <c r="S65" i="29"/>
  <c r="T65" i="29"/>
  <c r="U65" i="29"/>
  <c r="L65" i="23"/>
  <c r="M65" i="23"/>
  <c r="N65" i="23"/>
  <c r="O65" i="23"/>
  <c r="P65" i="23"/>
  <c r="Q65" i="23"/>
  <c r="R65" i="23"/>
  <c r="S65" i="23"/>
  <c r="T65" i="23"/>
  <c r="U65" i="23"/>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M22" i="28"/>
  <c r="V20" i="28"/>
  <c r="U20" i="28"/>
  <c r="T20" i="28"/>
  <c r="S20" i="28"/>
  <c r="R20" i="28"/>
  <c r="Q20" i="28"/>
  <c r="P20" i="28"/>
  <c r="O20" i="28"/>
  <c r="N20" i="28"/>
  <c r="M20" i="28"/>
  <c r="U18" i="28"/>
  <c r="P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Q22" i="27"/>
  <c r="O22" i="27"/>
  <c r="I22" i="27"/>
  <c r="V20" i="27"/>
  <c r="U20" i="27"/>
  <c r="T20" i="27"/>
  <c r="S20" i="27"/>
  <c r="R20" i="27"/>
  <c r="Q20" i="27"/>
  <c r="P20" i="27"/>
  <c r="O20" i="27"/>
  <c r="N20" i="27"/>
  <c r="U18" i="27"/>
  <c r="T18" i="27"/>
  <c r="S18" i="27"/>
  <c r="L18" i="27"/>
  <c r="K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23" i="29" s="1"/>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23" i="22" s="1"/>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1" i="23"/>
  <c r="E23" i="23" s="1"/>
  <c r="L59" i="23"/>
  <c r="M17" i="23"/>
  <c r="M21" i="23"/>
  <c r="T59" i="23"/>
  <c r="U17" i="23"/>
  <c r="U19" i="23" s="1"/>
  <c r="U21" i="23"/>
  <c r="U23" i="23" s="1"/>
  <c r="H21" i="24"/>
  <c r="H17" i="24"/>
  <c r="H19" i="24" s="1"/>
  <c r="P17" i="24"/>
  <c r="P21" i="24"/>
  <c r="C59" i="26"/>
  <c r="D21" i="26"/>
  <c r="D23" i="26" s="1"/>
  <c r="D17" i="26"/>
  <c r="D19" i="26" s="1"/>
  <c r="K59" i="26"/>
  <c r="L21" i="26"/>
  <c r="L23" i="26" s="1"/>
  <c r="L17" i="26"/>
  <c r="L19" i="26" s="1"/>
  <c r="S59" i="26"/>
  <c r="T21" i="26"/>
  <c r="T17" i="26"/>
  <c r="N63" i="26"/>
  <c r="J59" i="27"/>
  <c r="K17" i="27"/>
  <c r="K19" i="27" s="1"/>
  <c r="K20" i="27" s="1"/>
  <c r="R59" i="27"/>
  <c r="S17" i="27"/>
  <c r="S19" i="27" s="1"/>
  <c r="J59" i="28"/>
  <c r="K17" i="28"/>
  <c r="K19" i="28" s="1"/>
  <c r="K20" i="28" s="1"/>
  <c r="K21" i="28"/>
  <c r="R59" i="28"/>
  <c r="S17" i="28"/>
  <c r="S21" i="28"/>
  <c r="S23" i="28" s="1"/>
  <c r="S24" i="28" s="1"/>
  <c r="I59" i="29"/>
  <c r="J17" i="29"/>
  <c r="J19" i="29" s="1"/>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L19" i="27" s="1"/>
  <c r="L20" i="27" s="1"/>
  <c r="S59" i="27"/>
  <c r="T17" i="27"/>
  <c r="T19" i="27" s="1"/>
  <c r="C59" i="28"/>
  <c r="D21" i="28"/>
  <c r="D23" i="28" s="1"/>
  <c r="D24" i="28" s="1"/>
  <c r="D17" i="28"/>
  <c r="K59" i="28"/>
  <c r="L21" i="28"/>
  <c r="L17" i="28"/>
  <c r="L19" i="28" s="1"/>
  <c r="L20" i="28" s="1"/>
  <c r="S59" i="28"/>
  <c r="T21" i="28"/>
  <c r="T17" i="28"/>
  <c r="T19" i="28" s="1"/>
  <c r="J59" i="29"/>
  <c r="K17" i="29"/>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17" i="24"/>
  <c r="R59" i="24"/>
  <c r="S21" i="24"/>
  <c r="S23" i="24" s="1"/>
  <c r="S17" i="24"/>
  <c r="G21" i="26"/>
  <c r="G23" i="26" s="1"/>
  <c r="G17" i="26"/>
  <c r="G19" i="26" s="1"/>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20" i="21" s="1"/>
  <c r="G17" i="22"/>
  <c r="G19" i="22" s="1"/>
  <c r="G21" i="22"/>
  <c r="G23" i="22" s="1"/>
  <c r="O17" i="22"/>
  <c r="O19" i="22" s="1"/>
  <c r="O21" i="22"/>
  <c r="O23" i="22" s="1"/>
  <c r="H59" i="23"/>
  <c r="I21" i="23"/>
  <c r="I23" i="23" s="1"/>
  <c r="I17" i="23"/>
  <c r="I19" i="23" s="1"/>
  <c r="P59" i="23"/>
  <c r="Q17" i="23"/>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0" i="28" s="1"/>
  <c r="G21" i="28"/>
  <c r="G23" i="28" s="1"/>
  <c r="G24" i="28" s="1"/>
  <c r="N59" i="28"/>
  <c r="O17" i="28"/>
  <c r="O19" i="28" s="1"/>
  <c r="O21" i="28"/>
  <c r="E59" i="29"/>
  <c r="F17" i="29"/>
  <c r="F19" i="29" s="1"/>
  <c r="F21" i="29"/>
  <c r="F23" i="29" s="1"/>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H19" i="28" s="1"/>
  <c r="H20" i="28" s="1"/>
  <c r="P21" i="28"/>
  <c r="P17" i="28"/>
  <c r="P19" i="28" s="1"/>
  <c r="G17" i="29"/>
  <c r="G19" i="29" s="1"/>
  <c r="G21" i="29"/>
  <c r="G23" i="29" s="1"/>
  <c r="O17" i="29"/>
  <c r="O21" i="29"/>
  <c r="E59" i="30"/>
  <c r="F21" i="30"/>
  <c r="F23" i="30" s="1"/>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H19" i="29" s="1"/>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R19" i="24"/>
  <c r="I21" i="27"/>
  <c r="I23" i="27" s="1"/>
  <c r="I24" i="27" s="1"/>
  <c r="Q21" i="27"/>
  <c r="R58" i="21"/>
  <c r="R61" i="21" s="1"/>
  <c r="R64" i="21" s="1"/>
  <c r="O57" i="21"/>
  <c r="A43" i="21"/>
  <c r="J58" i="21"/>
  <c r="J61" i="21" s="1"/>
  <c r="D58" i="29"/>
  <c r="D61" i="29" s="1"/>
  <c r="P23" i="26"/>
  <c r="G21" i="27"/>
  <c r="G23" i="27" s="1"/>
  <c r="G24" i="27" s="1"/>
  <c r="O21" i="27"/>
  <c r="O23" i="27" s="1"/>
  <c r="D58" i="30"/>
  <c r="D61" i="30" s="1"/>
  <c r="D64" i="30" s="1"/>
  <c r="D65"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Q23" i="30"/>
  <c r="E23" i="30"/>
  <c r="U23" i="30"/>
  <c r="J58" i="28"/>
  <c r="J61" i="28" s="1"/>
  <c r="J64" i="28" s="1"/>
  <c r="R58" i="22"/>
  <c r="R61" i="22" s="1"/>
  <c r="R64" i="22" s="1"/>
  <c r="J58" i="23"/>
  <c r="J61" i="23" s="1"/>
  <c r="J64" i="23" s="1"/>
  <c r="J65" i="23" s="1"/>
  <c r="J58" i="24"/>
  <c r="J61" i="24" s="1"/>
  <c r="R58" i="24"/>
  <c r="R61" i="24" s="1"/>
  <c r="F57" i="24"/>
  <c r="T58" i="30"/>
  <c r="T61" i="30" s="1"/>
  <c r="T64" i="30" s="1"/>
  <c r="C58" i="23"/>
  <c r="C61" i="23" s="1"/>
  <c r="C64" i="23" s="1"/>
  <c r="C65" i="23" s="1"/>
  <c r="K58" i="23"/>
  <c r="K61" i="23" s="1"/>
  <c r="S58" i="23"/>
  <c r="S61" i="23" s="1"/>
  <c r="F58" i="26"/>
  <c r="F61" i="26" s="1"/>
  <c r="D58" i="27"/>
  <c r="D61" i="27" s="1"/>
  <c r="L58" i="27"/>
  <c r="L61" i="27" s="1"/>
  <c r="T58" i="27"/>
  <c r="T61" i="27" s="1"/>
  <c r="T64" i="27" s="1"/>
  <c r="J58" i="30"/>
  <c r="J61" i="30" s="1"/>
  <c r="J64" i="30" s="1"/>
  <c r="J65" i="30" s="1"/>
  <c r="R58" i="30"/>
  <c r="R61" i="30" s="1"/>
  <c r="R64" i="30" s="1"/>
  <c r="P57" i="30"/>
  <c r="J57" i="21"/>
  <c r="H59" i="21"/>
  <c r="Q23" i="22"/>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C58" i="22"/>
  <c r="C61" i="22" s="1"/>
  <c r="C64" i="22" s="1"/>
  <c r="C65" i="22" s="1"/>
  <c r="K58" i="22"/>
  <c r="K61" i="22" s="1"/>
  <c r="K64" i="22" s="1"/>
  <c r="K65" i="22" s="1"/>
  <c r="S58" i="22"/>
  <c r="S61" i="22" s="1"/>
  <c r="S64" i="22" s="1"/>
  <c r="F57" i="23"/>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T23" i="29"/>
  <c r="G58" i="29"/>
  <c r="G61" i="29" s="1"/>
  <c r="O58" i="29"/>
  <c r="O61" i="29" s="1"/>
  <c r="P59" i="29"/>
  <c r="I57" i="30"/>
  <c r="M19" i="21"/>
  <c r="G57" i="21"/>
  <c r="J19" i="22"/>
  <c r="E58" i="22"/>
  <c r="E61"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N19" i="30"/>
  <c r="V19"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K19" i="29"/>
  <c r="S19" i="29"/>
  <c r="S23" i="29"/>
  <c r="A31" i="29"/>
  <c r="A33" i="29"/>
  <c r="A39" i="29"/>
  <c r="A41" i="29"/>
  <c r="A47" i="29"/>
  <c r="A49" i="29"/>
  <c r="G57" i="29"/>
  <c r="O57" i="29"/>
  <c r="G59" i="29"/>
  <c r="O59" i="29"/>
  <c r="G63" i="29"/>
  <c r="O63" i="29"/>
  <c r="E19" i="29"/>
  <c r="M19" i="29"/>
  <c r="U19" i="29"/>
  <c r="M23" i="29"/>
  <c r="U23" i="29"/>
  <c r="I57" i="29"/>
  <c r="Q57" i="29"/>
  <c r="I63" i="29"/>
  <c r="Q63" i="29"/>
  <c r="N19" i="29"/>
  <c r="V19" i="29"/>
  <c r="N23" i="29"/>
  <c r="B63" i="29"/>
  <c r="J63" i="29"/>
  <c r="R63" i="29"/>
  <c r="L19" i="29"/>
  <c r="O19" i="29"/>
  <c r="A32" i="29"/>
  <c r="A34" i="29"/>
  <c r="A40" i="29"/>
  <c r="A42" i="29"/>
  <c r="A48" i="29"/>
  <c r="A50" i="29"/>
  <c r="C63" i="29"/>
  <c r="K63" i="29"/>
  <c r="S63" i="29"/>
  <c r="P19" i="29"/>
  <c r="D63" i="29"/>
  <c r="L63" i="29"/>
  <c r="T63" i="29"/>
  <c r="E63" i="29"/>
  <c r="M63" i="29"/>
  <c r="S19" i="28"/>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H19" i="27"/>
  <c r="H20" i="27" s="1"/>
  <c r="D63" i="27"/>
  <c r="L63" i="27"/>
  <c r="L65" i="27" s="1"/>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T19" i="26"/>
  <c r="T23" i="26"/>
  <c r="H63" i="26"/>
  <c r="P63" i="26"/>
  <c r="M19" i="26"/>
  <c r="E23" i="26"/>
  <c r="M23" i="26"/>
  <c r="I57" i="26"/>
  <c r="Q57" i="26"/>
  <c r="I59" i="26"/>
  <c r="I64" i="26" s="1"/>
  <c r="I65" i="26" s="1"/>
  <c r="Q59" i="26"/>
  <c r="Q64" i="26" s="1"/>
  <c r="I63" i="26"/>
  <c r="Q63" i="26"/>
  <c r="N19" i="26"/>
  <c r="N23" i="26"/>
  <c r="V23" i="26"/>
  <c r="B63" i="26"/>
  <c r="J63" i="26"/>
  <c r="R63" i="26"/>
  <c r="O19" i="26"/>
  <c r="A32" i="26"/>
  <c r="A34" i="26"/>
  <c r="A40" i="26"/>
  <c r="A42" i="26"/>
  <c r="A48" i="26"/>
  <c r="A50" i="26"/>
  <c r="C63" i="26"/>
  <c r="K63" i="26"/>
  <c r="S63"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M19" i="23"/>
  <c r="M23" i="23"/>
  <c r="I57" i="23"/>
  <c r="Q57" i="23"/>
  <c r="N23"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U23" i="22"/>
  <c r="I57" i="22"/>
  <c r="Q57" i="22"/>
  <c r="K19" i="22"/>
  <c r="A39" i="22"/>
  <c r="A49" i="22"/>
  <c r="N19" i="22"/>
  <c r="V19" i="22"/>
  <c r="V23" i="22"/>
  <c r="A32" i="22"/>
  <c r="A34" i="22"/>
  <c r="A40" i="22"/>
  <c r="A42" i="22"/>
  <c r="A48" i="22"/>
  <c r="A50" i="22"/>
  <c r="P19" i="22"/>
  <c r="P64" i="21"/>
  <c r="H23" i="21"/>
  <c r="H24" i="21" s="1"/>
  <c r="F23" i="21"/>
  <c r="F24" i="21" s="1"/>
  <c r="N23" i="21"/>
  <c r="N24" i="21" s="1"/>
  <c r="A33" i="21"/>
  <c r="A37" i="21"/>
  <c r="A41" i="21"/>
  <c r="A45" i="21"/>
  <c r="A49" i="21"/>
  <c r="E58" i="21"/>
  <c r="E61" i="21" s="1"/>
  <c r="M58" i="21"/>
  <c r="M61" i="21" s="1"/>
  <c r="U58" i="21"/>
  <c r="U61" i="21" s="1"/>
  <c r="U64" i="21" s="1"/>
  <c r="U66" i="21" s="1"/>
  <c r="S19" i="21"/>
  <c r="M23" i="21"/>
  <c r="M24" i="21" s="1"/>
  <c r="C57" i="21"/>
  <c r="K57" i="21"/>
  <c r="S57" i="21"/>
  <c r="Q19" i="21"/>
  <c r="J23" i="21"/>
  <c r="J24" i="21" s="1"/>
  <c r="R23" i="21"/>
  <c r="R24"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J65" i="27"/>
  <c r="J65" i="28"/>
  <c r="I65" i="28"/>
  <c r="D65" i="28"/>
  <c r="C23" i="21"/>
  <c r="C24" i="21" s="1"/>
  <c r="J64" i="24"/>
  <c r="J65" i="24" s="1"/>
  <c r="K64" i="21"/>
  <c r="K65" i="21" s="1"/>
  <c r="H64" i="30"/>
  <c r="H65" i="30" s="1"/>
  <c r="H64" i="26"/>
  <c r="H65" i="26" s="1"/>
  <c r="F64" i="26"/>
  <c r="F66" i="26" s="1"/>
  <c r="E64" i="22"/>
  <c r="E65" i="22" s="1"/>
  <c r="E64" i="27"/>
  <c r="E65" i="27" s="1"/>
  <c r="D64" i="24"/>
  <c r="D65" i="24" s="1"/>
  <c r="D64" i="27"/>
  <c r="D65" i="27" s="1"/>
  <c r="C64" i="21"/>
  <c r="C65" i="21" s="1"/>
  <c r="C64" i="27"/>
  <c r="C65" i="27" s="1"/>
  <c r="B64" i="30"/>
  <c r="B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G64" i="24"/>
  <c r="H64" i="24"/>
  <c r="D64" i="23"/>
  <c r="D65" i="23" s="1"/>
  <c r="K64" i="24"/>
  <c r="K65" i="24" s="1"/>
  <c r="P64" i="24"/>
  <c r="U64" i="29"/>
  <c r="U66" i="29" s="1"/>
  <c r="O66" i="21"/>
  <c r="M64" i="30"/>
  <c r="M66" i="30" s="1"/>
  <c r="K64" i="26"/>
  <c r="C64" i="28"/>
  <c r="C64" i="24"/>
  <c r="L64" i="27"/>
  <c r="L66" i="27" s="1"/>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T66" i="23"/>
  <c r="Q66" i="21"/>
  <c r="P66" i="21"/>
  <c r="K66" i="27"/>
  <c r="G64" i="23"/>
  <c r="Q66" i="24"/>
  <c r="R66" i="27"/>
  <c r="H66" i="23"/>
  <c r="J66" i="27"/>
  <c r="G64" i="27"/>
  <c r="G66" i="30"/>
  <c r="J66" i="30"/>
  <c r="F64" i="27"/>
  <c r="T66" i="27"/>
  <c r="L66" i="29"/>
  <c r="Q66" i="22"/>
  <c r="J66" i="26"/>
  <c r="C66" i="22"/>
  <c r="T66" i="21"/>
  <c r="S66" i="23"/>
  <c r="E66" i="30"/>
  <c r="S66" i="24"/>
  <c r="L66" i="21"/>
  <c r="S66" i="26"/>
  <c r="L66" i="28"/>
  <c r="L66" i="26"/>
  <c r="T66" i="30"/>
  <c r="C66" i="29"/>
  <c r="H66" i="22"/>
  <c r="R66" i="28"/>
  <c r="N64" i="26"/>
  <c r="N66" i="26" s="1"/>
  <c r="O64" i="29"/>
  <c r="O66" i="29" s="1"/>
  <c r="P64" i="29"/>
  <c r="P66" i="29" s="1"/>
  <c r="S64" i="1"/>
  <c r="R66" i="26"/>
  <c r="N64" i="29"/>
  <c r="N66" i="29" s="1"/>
  <c r="R66" i="30"/>
  <c r="L66" i="23"/>
  <c r="O66" i="22"/>
  <c r="R64" i="1"/>
  <c r="J66" i="23"/>
  <c r="Q64" i="1"/>
  <c r="U64" i="1"/>
  <c r="P64" i="1"/>
  <c r="J66" i="24"/>
  <c r="Q66" i="29"/>
  <c r="F64" i="29"/>
  <c r="O64" i="23"/>
  <c r="O66" i="23" s="1"/>
  <c r="O64" i="30"/>
  <c r="O66" i="30" s="1"/>
  <c r="N64" i="24"/>
  <c r="N66" i="24" s="1"/>
  <c r="B66" i="24"/>
  <c r="K66" i="30"/>
  <c r="C66" i="30"/>
  <c r="I66" i="30"/>
  <c r="R66" i="29"/>
  <c r="M66" i="29"/>
  <c r="I66" i="29"/>
  <c r="S66" i="29"/>
  <c r="T66" i="28"/>
  <c r="D66" i="28"/>
  <c r="M66" i="28"/>
  <c r="Q66" i="28"/>
  <c r="I66" i="28"/>
  <c r="S66" i="28"/>
  <c r="K66" i="28"/>
  <c r="Q66" i="27"/>
  <c r="I66" i="27"/>
  <c r="P66" i="27"/>
  <c r="Q66" i="26"/>
  <c r="P66" i="26"/>
  <c r="C66" i="26"/>
  <c r="I66" i="26"/>
  <c r="L66" i="24"/>
  <c r="P66" i="24"/>
  <c r="K66" i="24"/>
  <c r="M66" i="24"/>
  <c r="I66" i="23"/>
  <c r="N66" i="23"/>
  <c r="E66" i="23"/>
  <c r="I66" i="22"/>
  <c r="M66" i="22"/>
  <c r="S66" i="22"/>
  <c r="K66" i="22"/>
  <c r="T66" i="22"/>
  <c r="M66" i="21"/>
  <c r="K66" i="21"/>
  <c r="C66" i="21"/>
  <c r="D66" i="21"/>
  <c r="R66" i="21"/>
  <c r="N64" i="1"/>
  <c r="M64" i="1"/>
  <c r="T64" i="1"/>
  <c r="L64" i="1"/>
  <c r="J64" i="1"/>
  <c r="K64" i="1"/>
  <c r="O64" i="1"/>
  <c r="C64" i="1"/>
  <c r="I64" i="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F65" i="26" l="1"/>
  <c r="C66" i="27"/>
  <c r="D66" i="27"/>
  <c r="H66" i="30"/>
  <c r="I66" i="24"/>
  <c r="K65" i="1"/>
  <c r="J65" i="1"/>
  <c r="I65" i="1"/>
  <c r="H65" i="1"/>
  <c r="E65" i="1"/>
  <c r="D65" i="1"/>
  <c r="C65" i="1"/>
  <c r="B65" i="1"/>
  <c r="H66" i="26"/>
  <c r="E66" i="22"/>
  <c r="E66" i="27"/>
  <c r="D66" i="24"/>
  <c r="B66" i="30"/>
  <c r="K66" i="23"/>
  <c r="K65" i="23"/>
  <c r="K66" i="29"/>
  <c r="K65" i="29"/>
  <c r="K66" i="26"/>
  <c r="K65" i="26"/>
  <c r="J66" i="29"/>
  <c r="J65" i="29"/>
  <c r="J66" i="22"/>
  <c r="J65" i="22"/>
  <c r="J66" i="21"/>
  <c r="J65" i="21"/>
  <c r="I66" i="21"/>
  <c r="I65" i="21"/>
  <c r="H66" i="27"/>
  <c r="H65" i="27"/>
  <c r="H66" i="28"/>
  <c r="H65" i="28"/>
  <c r="H66" i="29"/>
  <c r="H65" i="29"/>
  <c r="H66" i="21"/>
  <c r="H66" i="24"/>
  <c r="H65" i="24"/>
  <c r="G66" i="22"/>
  <c r="G65" i="22"/>
  <c r="G66" i="28"/>
  <c r="G65" i="28"/>
  <c r="G66" i="27"/>
  <c r="G65" i="27"/>
  <c r="G66" i="29"/>
  <c r="G65" i="29"/>
  <c r="G66" i="21"/>
  <c r="G65" i="21"/>
  <c r="G66" i="24"/>
  <c r="G65" i="24"/>
  <c r="G66" i="23"/>
  <c r="G65" i="23"/>
  <c r="G66" i="26"/>
  <c r="G65" i="26"/>
  <c r="F66" i="21"/>
  <c r="F65" i="21"/>
  <c r="F66" i="23"/>
  <c r="F65" i="23"/>
  <c r="F66" i="22"/>
  <c r="F65" i="22"/>
  <c r="F66" i="27"/>
  <c r="F65" i="27"/>
  <c r="F66" i="30"/>
  <c r="F65" i="30"/>
  <c r="F66" i="28"/>
  <c r="F65" i="28"/>
  <c r="F66" i="24"/>
  <c r="F65" i="24"/>
  <c r="F66" i="29"/>
  <c r="F65" i="29"/>
  <c r="E66" i="28"/>
  <c r="E65" i="28"/>
  <c r="E66" i="29"/>
  <c r="E65" i="29"/>
  <c r="E66" i="26"/>
  <c r="E65" i="26"/>
  <c r="E66" i="24"/>
  <c r="E65" i="24"/>
  <c r="E66" i="21"/>
  <c r="E65" i="21"/>
  <c r="D66" i="23"/>
  <c r="D66" i="22"/>
  <c r="D66" i="26"/>
  <c r="D66" i="29"/>
  <c r="C66" i="24"/>
  <c r="C65" i="24"/>
  <c r="C66" i="28"/>
  <c r="C65" i="28"/>
  <c r="B66" i="28"/>
  <c r="B65" i="28"/>
  <c r="B66" i="26"/>
  <c r="B65" i="26"/>
  <c r="B66" i="29"/>
  <c r="B65" i="29"/>
  <c r="B66" i="22"/>
  <c r="B65" i="22"/>
  <c r="B66" i="27"/>
  <c r="B65" i="27"/>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<sst xmlns="http://schemas.openxmlformats.org/spreadsheetml/2006/main" count="2161" uniqueCount="185">
  <si>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</si>
  <si>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</si>
  <si>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</si>
  <si>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</si>
  <si>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</si>
  <si>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</si>
  <si>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</si>
  <si>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</si>
  <si>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</si>
  <si>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</si>
  <si>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</si>
  <si>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</si>
  <si>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</si>
  <si>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</si>
  <si>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</si>
  <si>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</si>
  <si>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</si>
  <si>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</si>
  <si>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</si>
  <si>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</si>
  <si>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</si>
  <si>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</si>
  <si>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</si>
  <si>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</si>
  <si>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</si>
  <si>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</si>
  <si>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</si>
  <si>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</si>
  <si>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</si>
  <si>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</si>
  <si>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</si>
  <si>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</si>
  <si>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</si>
  <si>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</si>
  <si>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</si>
  <si>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</si>
  <si>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</si>
  <si>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</si>
  <si>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</si>
  <si>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</si>
  <si>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</si>
  <si>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</si>
  <si>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</si>
  <si>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</si>
  <si>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</si>
  <si>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</si>
  <si>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</si>
  <si>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</si>
  <si>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</si>
  <si>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</si>
  <si>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</si>
  <si>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</si>
  <si>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</si>
  <si>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</si>
  <si>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</si>
  <si>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</si>
  <si>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</si>
  <si>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</si>
  <si>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</si>
  <si>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</si>
  <si>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</si>
  <si>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</si>
  <si>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</si>
  <si>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</si>
  <si>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</si>
  <si>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</si>
  <si>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</si>
  <si>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</si>
  <si>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</si>
  <si>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</si>
  <si>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</si>
  <si>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</si>
  <si>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</si>
  <si>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</si>
  <si>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</si>
  <si>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</si>
  <si>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</si>
  <si>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</si>
  <si>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</si>
  <si>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</si>
  <si>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</si>
  <si>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</si>
  <si>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</si>
  <si>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</si>
  <si>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</si>
  <si>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</si>
  <si>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</si>
  <si>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</si>
  <si>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</si>
  <si>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</si>
  <si>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</si>
  <si>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</si>
  <si>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</si>
  <si>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</si>
  <si>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</si>
  <si>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</si>
  <si>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</si>
  <si>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</si>
  <si>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</si>
  <si>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</si>
  <si>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</si>
  <si>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</si>
  <si>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</si>
  <si>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</si>
  <si>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</si>
  <si>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</si>
  <si>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</si>
  <si>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</si>
  <si>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</si>
  <si>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</si>
  <si>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</si>
  <si>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</si>
  <si>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</si>
  <si>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</si>
  <si>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</si>
  <si>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</si>
  <si>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</si>
  <si>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</si>
  <si>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</si>
  <si>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</si>
  <si>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</si>
  <si>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</si>
  <si>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</si>
  <si>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</si>
  <si>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</si>
  <si>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</si>
  <si>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</si>
  <si>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</si>
  <si>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</si>
  <si>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</si>
  <si>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</si>
  <si>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</si>
  <si>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</si>
  <si>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</si>
  <si>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</si>
  <si>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</si>
  <si>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</si>
  <si>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</si>
  <si>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</si>
  <si>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</si>
  <si>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</si>
  <si>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</si>
  <si>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</si>
  <si>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</si>
  <si>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</si>
  <si>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</si>
  <si>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</si>
  <si>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</si>
  <si>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</si>
  <si>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</si>
  <si>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</si>
  <si>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</si>
  <si>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</si>
  <si>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</si>
  <si>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</si>
  <si>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</si>
  <si>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</si>
  <si>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</si>
  <si>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</si>
  <si>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</si>
  <si>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EPR/AB3891CX</t>
  </si>
  <si>
    <t>Stepside</t>
  </si>
  <si>
    <t>Castell Malgwyn Farm, Llechryd, Cardigan, Ceredigion, SA43 2QB</t>
  </si>
  <si>
    <t>Ethan Banfield</t>
  </si>
  <si>
    <t>Cm1</t>
  </si>
  <si>
    <t xml:space="preserve">Cm2 </t>
  </si>
  <si>
    <t>CM3</t>
  </si>
  <si>
    <t>CM4</t>
  </si>
  <si>
    <t>CM10</t>
  </si>
  <si>
    <t>CM20</t>
  </si>
  <si>
    <t>CM8440</t>
  </si>
  <si>
    <t>CM8087</t>
  </si>
  <si>
    <t>CM8019</t>
  </si>
  <si>
    <t>Cm7886</t>
  </si>
  <si>
    <t>low</t>
  </si>
  <si>
    <t>Moderate</t>
  </si>
  <si>
    <t>moderate</t>
  </si>
  <si>
    <t>Volac</t>
  </si>
  <si>
    <t>02 05 02</t>
  </si>
  <si>
    <t>02 07 02</t>
  </si>
  <si>
    <t xml:space="preserve">Penderyn </t>
  </si>
  <si>
    <t>Dairy Partners</t>
  </si>
  <si>
    <t xml:space="preserve">02 05 02 </t>
  </si>
  <si>
    <t>First Milk</t>
  </si>
  <si>
    <t>PAN-022539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</si>
</sst>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G23" sqref="G2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184</v>
      </c>
      <c r="D1" s="136"/>
      <c r="E1" s="93" t="s">
        <v>45</v>
      </c>
      <c r="F1" s="96">
        <v>49.9</v>
      </c>
      <c r="G1" s="120" t="s">
        <v>43</v>
      </c>
      <c r="H1" s="121"/>
      <c r="I1" s="96">
        <v>7.1</v>
      </c>
      <c r="J1" s="119" t="s">
        <v>153</v>
      </c>
      <c r="K1" s="119"/>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160</v>
      </c>
      <c r="D2" s="134"/>
      <c r="E2" s="93" t="s">
        <v>109</v>
      </c>
      <c r="F2" s="96" t="s">
        <v>178</v>
      </c>
      <c r="G2" s="138" t="s">
        <v>110</v>
      </c>
      <c r="H2" s="139"/>
      <c r="I2" s="96">
        <v>830</v>
      </c>
      <c r="J2" s="119" t="s">
        <v>158</v>
      </c>
      <c r="K2" s="119"/>
      <c r="L2" s="96">
        <v>7.0000000000000007E-2</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161</v>
      </c>
      <c r="D3" s="134"/>
      <c r="E3" s="93" t="s">
        <v>108</v>
      </c>
      <c r="F3" s="31" t="s">
        <v>78</v>
      </c>
      <c r="G3" s="119" t="s">
        <v>159</v>
      </c>
      <c r="H3" s="119"/>
      <c r="I3" s="96">
        <v>200</v>
      </c>
      <c r="J3" s="120" t="s">
        <v>154</v>
      </c>
      <c r="K3" s="121"/>
      <c r="L3" s="96">
        <f>(L1/(L2*10000))*100</f>
        <v>14.428571428571427</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162</v>
      </c>
      <c r="D4" s="136"/>
      <c r="E4" s="94" t="s">
        <v>1</v>
      </c>
      <c r="F4" s="95" t="s">
        <v>177</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163</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164</v>
      </c>
      <c r="D8" s="15" t="s">
        <v>165</v>
      </c>
      <c r="E8" s="15" t="s">
        <v>166</v>
      </c>
      <c r="F8" s="15" t="s">
        <v>167</v>
      </c>
      <c r="G8" s="15" t="s">
        <v>168</v>
      </c>
      <c r="H8" s="15" t="s">
        <v>169</v>
      </c>
      <c r="I8" s="15" t="s">
        <v>170</v>
      </c>
      <c r="J8" s="15" t="s">
        <v>171</v>
      </c>
      <c r="K8" s="15" t="s">
        <v>172</v>
      </c>
      <c r="L8" s="15" t="s">
        <v>173</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174</v>
      </c>
      <c r="D9" s="15">
        <v>1</v>
      </c>
      <c r="E9" s="15" t="s">
        <v>175</v>
      </c>
      <c r="F9" s="15" t="s">
        <v>175</v>
      </c>
      <c r="G9" s="15">
        <v>1</v>
      </c>
      <c r="H9" s="15" t="s">
        <v>175</v>
      </c>
      <c r="I9" s="15" t="s">
        <v>176</v>
      </c>
      <c r="J9" s="15" t="s">
        <v>175</v>
      </c>
      <c r="K9" s="15" t="s">
        <v>176</v>
      </c>
      <c r="L9" s="15" t="s">
        <v>174</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7.1</v>
      </c>
      <c r="D10" s="15">
        <v>7</v>
      </c>
      <c r="E10" s="15">
        <v>6.4</v>
      </c>
      <c r="F10" s="15">
        <v>6.1</v>
      </c>
      <c r="G10" s="15">
        <v>6.7</v>
      </c>
      <c r="H10" s="15">
        <v>6.3</v>
      </c>
      <c r="I10" s="15">
        <v>5.6</v>
      </c>
      <c r="J10" s="15">
        <v>6.2</v>
      </c>
      <c r="K10" s="15">
        <v>6.4</v>
      </c>
      <c r="L10" s="15">
        <v>6.6</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3</v>
      </c>
      <c r="D11" s="15">
        <v>2</v>
      </c>
      <c r="E11" s="15">
        <v>2</v>
      </c>
      <c r="F11" s="15">
        <v>2</v>
      </c>
      <c r="G11" s="15">
        <v>3</v>
      </c>
      <c r="H11" s="15">
        <v>3</v>
      </c>
      <c r="I11" s="15">
        <v>1</v>
      </c>
      <c r="J11" s="15">
        <v>0</v>
      </c>
      <c r="K11" s="15">
        <v>0</v>
      </c>
      <c r="L11" s="15">
        <v>0</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2</v>
      </c>
      <c r="D12" s="15">
        <v>2</v>
      </c>
      <c r="E12" s="15">
        <v>2</v>
      </c>
      <c r="F12" s="15">
        <v>1</v>
      </c>
      <c r="G12" s="15">
        <v>2</v>
      </c>
      <c r="H12" s="15">
        <v>2</v>
      </c>
      <c r="I12" s="15">
        <v>2</v>
      </c>
      <c r="J12" s="15">
        <v>0</v>
      </c>
      <c r="K12" s="15">
        <v>0</v>
      </c>
      <c r="L12" s="15">
        <v>0</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2</v>
      </c>
      <c r="E13" s="15">
        <v>3</v>
      </c>
      <c r="F13" s="15">
        <v>3</v>
      </c>
      <c r="G13" s="15">
        <v>3</v>
      </c>
      <c r="H13" s="15">
        <v>2</v>
      </c>
      <c r="I13" s="15">
        <v>2</v>
      </c>
      <c r="J13" s="15">
        <v>3</v>
      </c>
      <c r="K13" s="15">
        <v>3</v>
      </c>
      <c r="L13" s="15">
        <v>3</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96</v>
      </c>
      <c r="E14" s="100" t="s">
        <v>113</v>
      </c>
      <c r="F14" s="100" t="s">
        <v>113</v>
      </c>
      <c r="G14" s="100" t="s">
        <v>103</v>
      </c>
      <c r="H14" s="100" t="s">
        <v>113</v>
      </c>
      <c r="I14" s="100" t="s">
        <v>113</v>
      </c>
      <c r="J14" s="100" t="s">
        <v>113</v>
      </c>
      <c r="K14" s="100" t="s">
        <v>113</v>
      </c>
      <c r="L14" s="100" t="s">
        <v>113</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35</v>
      </c>
      <c r="D15" s="15">
        <v>7.5</v>
      </c>
      <c r="E15" s="15">
        <v>38</v>
      </c>
      <c r="F15" s="15">
        <v>38</v>
      </c>
      <c r="G15" s="15">
        <v>6</v>
      </c>
      <c r="H15" s="15">
        <v>38</v>
      </c>
      <c r="I15" s="15">
        <v>35</v>
      </c>
      <c r="J15" s="15">
        <v>38</v>
      </c>
      <c r="K15" s="15">
        <v>38</v>
      </c>
      <c r="L15" s="15">
        <v>38</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59.506434000000006</v>
      </c>
      <c r="D18" s="16">
        <f>$D32</f>
        <v>62.722998000000004</v>
      </c>
      <c r="E18" s="16">
        <f>$D33</f>
        <v>62.722998000000004</v>
      </c>
      <c r="F18" s="16">
        <f>$D34</f>
        <v>62.722998000000004</v>
      </c>
      <c r="G18" s="16">
        <f>$D35</f>
        <v>78.805818000000002</v>
      </c>
      <c r="H18" s="16">
        <f>$D36</f>
        <v>62.722998000000004</v>
      </c>
      <c r="I18" s="16">
        <f>$D37</f>
        <v>131.87912400000002</v>
      </c>
      <c r="J18" s="16">
        <f>$D38</f>
        <v>207.468378</v>
      </c>
      <c r="K18" s="16">
        <f>$D39</f>
        <v>207.468378</v>
      </c>
      <c r="L18" s="16">
        <f>$D40</f>
        <v>207.468378</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6.4340000000058239E-3</v>
      </c>
      <c r="D19" s="16">
        <f t="shared" ref="D19:V19" si="1">D18-D17</f>
        <v>-1.027001999999996</v>
      </c>
      <c r="E19" s="16">
        <f t="shared" si="1"/>
        <v>-1.8770019999999903</v>
      </c>
      <c r="F19" s="16">
        <f t="shared" si="1"/>
        <v>-1.8770019999999903</v>
      </c>
      <c r="G19" s="16">
        <f t="shared" si="1"/>
        <v>74.605817999999999</v>
      </c>
      <c r="H19" s="16">
        <f t="shared" si="1"/>
        <v>-1.8770019999999903</v>
      </c>
      <c r="I19" s="16">
        <f t="shared" si="1"/>
        <v>72.379124000000019</v>
      </c>
      <c r="J19" s="16">
        <f t="shared" si="1"/>
        <v>142.86837800000001</v>
      </c>
      <c r="K19" s="16">
        <f t="shared" si="1"/>
        <v>142.86837800000001</v>
      </c>
      <c r="L19" s="16">
        <f t="shared" si="1"/>
        <v>142.86837800000001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36.693455000000007</v>
      </c>
      <c r="D22" s="16">
        <f>$E32</f>
        <v>38.676885000000006</v>
      </c>
      <c r="E22" s="16">
        <f>$E33</f>
        <v>38.676885000000006</v>
      </c>
      <c r="F22" s="16">
        <f>$E34</f>
        <v>38.676885000000006</v>
      </c>
      <c r="G22" s="16">
        <f>$E35</f>
        <v>48.594035000000012</v>
      </c>
      <c r="H22" s="16">
        <f>$E36</f>
        <v>38.676885000000006</v>
      </c>
      <c r="I22" s="16">
        <f>$E37</f>
        <v>81.320630000000008</v>
      </c>
      <c r="J22" s="16">
        <f>$E38</f>
        <v>127.93123500000002</v>
      </c>
      <c r="K22" s="16">
        <f>$E39</f>
        <v>127.93123500000002</v>
      </c>
      <c r="L22" s="16">
        <f>$E40</f>
        <v>127.93123500000002</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-173.306545</v>
      </c>
      <c r="D23" s="16">
        <f t="shared" ref="D23:V23" si="3">D22-D21</f>
        <v>-40.073114999999994</v>
      </c>
      <c r="E23" s="16">
        <f t="shared" si="3"/>
        <v>-189.323115</v>
      </c>
      <c r="F23" s="16">
        <f t="shared" si="3"/>
        <v>-189.323115</v>
      </c>
      <c r="G23" s="16">
        <f t="shared" si="3"/>
        <v>24.594035000000012</v>
      </c>
      <c r="H23" s="16">
        <f t="shared" si="3"/>
        <v>-189.323115</v>
      </c>
      <c r="I23" s="16">
        <f t="shared" si="3"/>
        <v>-128.67937000000001</v>
      </c>
      <c r="J23" s="16">
        <f t="shared" si="3"/>
        <v>-100.06876499999998</v>
      </c>
      <c r="K23" s="16">
        <f t="shared" si="3"/>
        <v>-100.06876499999998</v>
      </c>
      <c r="L23" s="16">
        <f t="shared" si="3"/>
        <v>-100.06876499999998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INCREASE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7.0000000000000007E-2</v>
      </c>
      <c r="D28" s="15">
        <v>702</v>
      </c>
      <c r="E28" s="15">
        <v>823</v>
      </c>
      <c r="F28" s="15">
        <v>158</v>
      </c>
      <c r="G28" s="15">
        <v>0.74</v>
      </c>
      <c r="H28" s="15">
        <v>1.44</v>
      </c>
      <c r="I28" s="15">
        <v>0.5</v>
      </c>
      <c r="J28" s="15">
        <v>0.01</v>
      </c>
      <c r="K28" s="23">
        <v>0.05</v>
      </c>
      <c r="L28" s="15">
        <v>0.24</v>
      </c>
      <c r="M28" s="15">
        <v>0.2</v>
      </c>
      <c r="N28" s="15"/>
      <c r="O28" s="15"/>
      <c r="P28" s="15">
        <v>485</v>
      </c>
      <c r="Q28" s="15">
        <v>157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v>37</v>
      </c>
      <c r="C31" s="77">
        <f>IF(C$27="%w/w SAR",((C$28*10)*$B31),IF(C$27="%w/w DM",(((C$28*10)*($B$28/100))*$B31),IF(C$27="kg/t SAR",(C$28*$B31),IF(C$27="kg/t DM",((C$28*($B$28/100))*$B31),IF(C$27="mg/kg SAR",((C$28*0.001)*$B31),IF(C$27="mg/kg DM",(((C$28*0.001)*($B$28/100))*$B31),0))))))</f>
        <v>25.900000000000002</v>
      </c>
      <c r="D31" s="77">
        <f>(IF(D$27="%w/w SAR",((D$28*10)*$B31),IF(D$27="%w/w DM",(((D$28*10)*($B$28/100))*$B31),IF(D$27="kg/t SAR",(D$28*$B31),IF(D$27="kg/t DM",((D$28*($B$28/100))*$B31),IF(D$27="mg/kg SAR",((D$28*0.001)*$B31),IF(D$27="mg/kg DM",(((D$28*0.001)*($B$28/100))*$B31),"0")))))))*2.291</f>
        <v>59.506434000000006</v>
      </c>
      <c r="E31" s="77">
        <f>(IF(E$27="%w/w SAR",((E$28*10)*$B31),IF(E$27="%w/w DM",(((E$28*10)*($B$28/100))*$B31),IF(E$27="kg/t SAR",(E$28*$B31),IF(E$27="kg/t DM",((E$28*($B$28/100))*$B31),IF(E$27="mg/kg SAR",((E$28*0.001)*$B31),IF(E$27="mg/kg DM",(((E$28*0.001)*($B$28/100))*$B31),"0")))))))*1.205</f>
        <v>36.693455000000007</v>
      </c>
      <c r="F31" s="77">
        <f>(IF(F$27="%w/w SAR",((F$28*10)*$B31),IF(F$27="%w/w DM",(((F$28*10)*($B$28/100))*$B31),IF(F$27="kg/t SAR",(F$28*$B31),IF(F$27="kg/t DM",((F$28*($B$28/100))*$B31),IF(F$27="mg/kg SAR",((F$28*0.001)*$B31),IF(F$27="mg/kg DM",(((F$28*0.001)*($B$28/100))*$B31),"0")))))))*1.658</f>
        <v>9.6926679999999994</v>
      </c>
      <c r="G31" s="77">
        <f t="shared" ref="G31:P31" si="5">IF(G$27="%w/w SAR",((G$28*10)*$B31),IF(G$27="%w/w DM",(((G$28*10)*($B$28/100))*$B31),IF(G$27="kg/t SAR",(G$28*$B31),IF(G$27="kg/t DM",((G$28*($B$28/100))*$B31),IF(G$27="mg/kg SAR",((G$28*0.001)*$B31),IF(G$27="mg/kg DM",(((G$28*0.001)*($B$28/100))*$B31),0))))))</f>
        <v>2.7379999999999998E-2</v>
      </c>
      <c r="H31" s="77">
        <f t="shared" si="5"/>
        <v>5.3279999999999994E-2</v>
      </c>
      <c r="I31" s="77">
        <f t="shared" si="5"/>
        <v>1.8499999999999999E-2</v>
      </c>
      <c r="J31" s="77">
        <f t="shared" si="5"/>
        <v>3.7000000000000005E-4</v>
      </c>
      <c r="K31" s="77">
        <f t="shared" si="5"/>
        <v>1.8500000000000001E-3</v>
      </c>
      <c r="L31" s="77">
        <f t="shared" si="5"/>
        <v>8.8800000000000007E-3</v>
      </c>
      <c r="M31" s="77">
        <f t="shared" si="5"/>
        <v>7.4000000000000003E-3</v>
      </c>
      <c r="N31" s="77">
        <f t="shared" si="5"/>
        <v>0</v>
      </c>
      <c r="O31" s="77">
        <f t="shared" si="5"/>
        <v>0</v>
      </c>
      <c r="P31" s="77">
        <f t="shared" si="5"/>
        <v>17.945</v>
      </c>
      <c r="Q31" s="77">
        <f>(IF(Q$27="%w/w SAR",((Q$28*10)*$B31),IF(Q$27="%w/w DM",(((Q$28*10)*($B$28/100))*$B31),IF(Q$27="kg/t SAR",(Q$28*$B31),IF(Q$27="kg/t DM",((Q$28*($B$28/100))*$B31),IF(Q$27="mg/kg SAR",((Q$28*0.001)*$B31),IF(Q$27="mg/kg DM",(((Q$28*0.001)*($B$28/100))*$B31),0)))))))*2.5</f>
        <v>14.522500000000001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v>39</v>
      </c>
      <c r="C32" s="77">
        <f t="shared" ref="C32:C50" si="6">IF(C$27="%w/w SAR",((C$28*10)*$B32),IF(C$27="%w/w DM",(((C$28*10)*($B$28/100))*$B32),IF(C$27="kg/t SAR",(C$28*$B32),IF(C$27="kg/t DM",((C$28*($B$28/100))*$B32),IF(C$27="mg/kg SAR",((C$28*0.001)*$B32),IF(C$27="mg/kg DM",(((C$28*0.001)*($B$28/100))*$B32),0))))))</f>
        <v>27.300000000000004</v>
      </c>
      <c r="D32" s="77">
        <f t="shared" ref="D32:D50" si="7">(IF(D$27="%w/w SAR",((D$28*10)*$B32),IF(D$27="%w/w DM",(((D$28*10)*($B$28/100))*$B32),IF(D$27="kg/t SAR",(D$28*$B32),IF(D$27="kg/t DM",((D$28*($B$28/100))*$B32),IF(D$27="mg/kg SAR",((D$28*0.001)*$B32),IF(D$27="mg/kg DM",(((D$28*0.001)*($B$28/100))*$B32),"0")))))))*2.291</f>
        <v>62.722998000000004</v>
      </c>
      <c r="E32" s="77">
        <f t="shared" ref="E32:E50" si="8">(IF(E$27="%w/w SAR",((E$28*10)*$B32),IF(E$27="%w/w DM",(((E$28*10)*($B$28/100))*$B32),IF(E$27="kg/t SAR",(E$28*$B32),IF(E$27="kg/t DM",((E$28*($B$28/100))*$B32),IF(E$27="mg/kg SAR",((E$28*0.001)*$B32),IF(E$27="mg/kg DM",(((E$28*0.001)*($B$28/100))*$B32),"0")))))))*1.205</f>
        <v>38.676885000000006</v>
      </c>
      <c r="F32" s="77">
        <f t="shared" ref="F32:F50" si="9">(IF(F$27="%w/w SAR",((F$28*10)*$B32),IF(F$27="%w/w DM",(((F$28*10)*($B$28/100))*$B32),IF(F$27="kg/t SAR",(F$28*$B32),IF(F$27="kg/t DM",((F$28*($B$28/100))*$B32),IF(F$27="mg/kg SAR",((F$28*0.001)*$B32),IF(F$27="mg/kg DM",(((F$28*0.001)*($B$28/100))*$B32),"0")))))))*1.658</f>
        <v>10.216595999999999</v>
      </c>
      <c r="G32" s="77">
        <f t="shared" ref="G32:P50" si="10">IF(G$27="%w/w SAR",((G$28*10)*$B32),IF(G$27="%w/w DM",(((G$28*10)*($B$28/100))*$B32),IF(G$27="kg/t SAR",(G$28*$B32),IF(G$27="kg/t DM",((G$28*($B$28/100))*$B32),IF(G$27="mg/kg SAR",((G$28*0.001)*$B32),IF(G$27="mg/kg DM",(((G$28*0.001)*($B$28/100))*$B32),0))))))</f>
        <v>2.886E-2</v>
      </c>
      <c r="H32" s="77">
        <f t="shared" si="10"/>
        <v>5.6159999999999995E-2</v>
      </c>
      <c r="I32" s="77">
        <f t="shared" si="10"/>
        <v>1.95E-2</v>
      </c>
      <c r="J32" s="77">
        <f t="shared" si="10"/>
        <v>3.9000000000000005E-4</v>
      </c>
      <c r="K32" s="77">
        <f t="shared" si="10"/>
        <v>1.9500000000000001E-3</v>
      </c>
      <c r="L32" s="77">
        <f t="shared" si="10"/>
        <v>9.3600000000000003E-3</v>
      </c>
      <c r="M32" s="77">
        <f t="shared" si="10"/>
        <v>7.8000000000000005E-3</v>
      </c>
      <c r="N32" s="77">
        <f t="shared" si="10"/>
        <v>0</v>
      </c>
      <c r="O32" s="77">
        <f t="shared" si="10"/>
        <v>0</v>
      </c>
      <c r="P32" s="77">
        <f t="shared" si="10"/>
        <v>18.914999999999999</v>
      </c>
      <c r="Q32" s="77">
        <f t="shared" ref="Q32:Q50" si="11">(IF(Q$27="%w/w SAR",((Q$28*10)*$B32),IF(Q$27="%w/w DM",(((Q$28*10)*($B$28/100))*$B32),IF(Q$27="kg/t SAR",(Q$28*$B32),IF(Q$27="kg/t DM",((Q$28*($B$28/100))*$B32),IF(Q$27="mg/kg SAR",((Q$28*0.001)*$B32),IF(Q$27="mg/kg DM",(((Q$28*0.001)*($B$28/100))*$B32),0)))))))*2.5</f>
        <v>15.307500000000001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CM3</v>
      </c>
      <c r="B33" s="15">
        <v>39</v>
      </c>
      <c r="C33" s="77">
        <f t="shared" si="6"/>
        <v>27.300000000000004</v>
      </c>
      <c r="D33" s="77">
        <f t="shared" si="7"/>
        <v>62.722998000000004</v>
      </c>
      <c r="E33" s="77">
        <f t="shared" si="8"/>
        <v>38.676885000000006</v>
      </c>
      <c r="F33" s="77">
        <f t="shared" si="9"/>
        <v>10.216595999999999</v>
      </c>
      <c r="G33" s="77">
        <f t="shared" si="10"/>
        <v>2.886E-2</v>
      </c>
      <c r="H33" s="77">
        <f t="shared" si="10"/>
        <v>5.6159999999999995E-2</v>
      </c>
      <c r="I33" s="77">
        <f t="shared" si="10"/>
        <v>1.95E-2</v>
      </c>
      <c r="J33" s="77">
        <f t="shared" si="10"/>
        <v>3.9000000000000005E-4</v>
      </c>
      <c r="K33" s="77">
        <f t="shared" si="10"/>
        <v>1.9500000000000001E-3</v>
      </c>
      <c r="L33" s="77">
        <f t="shared" si="10"/>
        <v>9.3600000000000003E-3</v>
      </c>
      <c r="M33" s="77">
        <f t="shared" si="10"/>
        <v>7.8000000000000005E-3</v>
      </c>
      <c r="N33" s="77">
        <f t="shared" si="10"/>
        <v>0</v>
      </c>
      <c r="O33" s="77">
        <f t="shared" si="10"/>
        <v>0</v>
      </c>
      <c r="P33" s="77">
        <f t="shared" si="10"/>
        <v>18.914999999999999</v>
      </c>
      <c r="Q33" s="77">
        <f t="shared" si="11"/>
        <v>15.307500000000001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CM4</v>
      </c>
      <c r="B34" s="15">
        <v>39</v>
      </c>
      <c r="C34" s="77">
        <f t="shared" si="6"/>
        <v>27.300000000000004</v>
      </c>
      <c r="D34" s="77">
        <f t="shared" si="7"/>
        <v>62.722998000000004</v>
      </c>
      <c r="E34" s="77">
        <f t="shared" si="8"/>
        <v>38.676885000000006</v>
      </c>
      <c r="F34" s="77">
        <f t="shared" si="9"/>
        <v>10.216595999999999</v>
      </c>
      <c r="G34" s="77">
        <f t="shared" si="10"/>
        <v>2.886E-2</v>
      </c>
      <c r="H34" s="77">
        <f t="shared" si="10"/>
        <v>5.6159999999999995E-2</v>
      </c>
      <c r="I34" s="77">
        <f t="shared" si="10"/>
        <v>1.95E-2</v>
      </c>
      <c r="J34" s="77">
        <f t="shared" si="10"/>
        <v>3.9000000000000005E-4</v>
      </c>
      <c r="K34" s="77">
        <f t="shared" si="10"/>
        <v>1.9500000000000001E-3</v>
      </c>
      <c r="L34" s="77">
        <f t="shared" si="10"/>
        <v>9.3600000000000003E-3</v>
      </c>
      <c r="M34" s="77">
        <f t="shared" si="10"/>
        <v>7.8000000000000005E-3</v>
      </c>
      <c r="N34" s="77">
        <f t="shared" si="10"/>
        <v>0</v>
      </c>
      <c r="O34" s="77">
        <f t="shared" si="10"/>
        <v>0</v>
      </c>
      <c r="P34" s="77">
        <f t="shared" si="10"/>
        <v>18.914999999999999</v>
      </c>
      <c r="Q34" s="77">
        <f t="shared" si="11"/>
        <v>15.307500000000001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CM10</v>
      </c>
      <c r="B35" s="15">
        <v>49</v>
      </c>
      <c r="C35" s="77">
        <f t="shared" si="6"/>
        <v>34.300000000000004</v>
      </c>
      <c r="D35" s="77">
        <f t="shared" si="7"/>
        <v>78.805818000000002</v>
      </c>
      <c r="E35" s="77">
        <f t="shared" si="8"/>
        <v>48.594035000000012</v>
      </c>
      <c r="F35" s="77">
        <f t="shared" si="9"/>
        <v>12.836236</v>
      </c>
      <c r="G35" s="77">
        <f t="shared" si="10"/>
        <v>3.6260000000000001E-2</v>
      </c>
      <c r="H35" s="77">
        <f t="shared" si="10"/>
        <v>7.0559999999999998E-2</v>
      </c>
      <c r="I35" s="77">
        <f t="shared" si="10"/>
        <v>2.4500000000000001E-2</v>
      </c>
      <c r="J35" s="77">
        <f t="shared" si="10"/>
        <v>4.9000000000000009E-4</v>
      </c>
      <c r="K35" s="77">
        <f t="shared" si="10"/>
        <v>2.4499999999999999E-3</v>
      </c>
      <c r="L35" s="77">
        <f t="shared" si="10"/>
        <v>1.176E-2</v>
      </c>
      <c r="M35" s="77">
        <f t="shared" si="10"/>
        <v>9.7999999999999997E-3</v>
      </c>
      <c r="N35" s="77">
        <f t="shared" si="10"/>
        <v>0</v>
      </c>
      <c r="O35" s="77">
        <f t="shared" si="10"/>
        <v>0</v>
      </c>
      <c r="P35" s="77">
        <f t="shared" si="10"/>
        <v>23.765000000000001</v>
      </c>
      <c r="Q35" s="77">
        <f t="shared" si="11"/>
        <v>19.232499999999998</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CM20</v>
      </c>
      <c r="B36" s="15">
        <v>39</v>
      </c>
      <c r="C36" s="77">
        <f t="shared" si="6"/>
        <v>27.300000000000004</v>
      </c>
      <c r="D36" s="77">
        <f t="shared" si="7"/>
        <v>62.722998000000004</v>
      </c>
      <c r="E36" s="77">
        <f t="shared" si="8"/>
        <v>38.676885000000006</v>
      </c>
      <c r="F36" s="77">
        <f t="shared" si="9"/>
        <v>10.216595999999999</v>
      </c>
      <c r="G36" s="77">
        <f t="shared" si="10"/>
        <v>2.886E-2</v>
      </c>
      <c r="H36" s="77">
        <f t="shared" si="10"/>
        <v>5.6159999999999995E-2</v>
      </c>
      <c r="I36" s="77">
        <f t="shared" si="10"/>
        <v>1.95E-2</v>
      </c>
      <c r="J36" s="77">
        <f t="shared" si="10"/>
        <v>3.9000000000000005E-4</v>
      </c>
      <c r="K36" s="77">
        <f t="shared" si="10"/>
        <v>1.9500000000000001E-3</v>
      </c>
      <c r="L36" s="77">
        <f t="shared" si="10"/>
        <v>9.3600000000000003E-3</v>
      </c>
      <c r="M36" s="77">
        <f t="shared" si="10"/>
        <v>7.8000000000000005E-3</v>
      </c>
      <c r="N36" s="77">
        <f t="shared" si="10"/>
        <v>0</v>
      </c>
      <c r="O36" s="77">
        <f t="shared" si="10"/>
        <v>0</v>
      </c>
      <c r="P36" s="77">
        <f t="shared" si="10"/>
        <v>18.914999999999999</v>
      </c>
      <c r="Q36" s="77">
        <f t="shared" si="11"/>
        <v>15.307500000000001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CM8440</v>
      </c>
      <c r="B37" s="15">
        <v>82</v>
      </c>
      <c r="C37" s="77">
        <f t="shared" si="6"/>
        <v>57.400000000000006</v>
      </c>
      <c r="D37" s="77">
        <f t="shared" si="7"/>
        <v>131.87912400000002</v>
      </c>
      <c r="E37" s="77">
        <f t="shared" si="8"/>
        <v>81.320630000000008</v>
      </c>
      <c r="F37" s="77">
        <f t="shared" si="9"/>
        <v>21.481047999999998</v>
      </c>
      <c r="G37" s="77">
        <f t="shared" si="10"/>
        <v>6.0679999999999998E-2</v>
      </c>
      <c r="H37" s="77">
        <f t="shared" si="10"/>
        <v>0.11807999999999999</v>
      </c>
      <c r="I37" s="77">
        <f t="shared" si="10"/>
        <v>4.1000000000000002E-2</v>
      </c>
      <c r="J37" s="77">
        <f t="shared" si="10"/>
        <v>8.2000000000000009E-4</v>
      </c>
      <c r="K37" s="77">
        <f t="shared" si="10"/>
        <v>4.1000000000000003E-3</v>
      </c>
      <c r="L37" s="77">
        <f t="shared" si="10"/>
        <v>1.968E-2</v>
      </c>
      <c r="M37" s="77">
        <f t="shared" si="10"/>
        <v>1.6400000000000001E-2</v>
      </c>
      <c r="N37" s="77">
        <f t="shared" si="10"/>
        <v>0</v>
      </c>
      <c r="O37" s="77">
        <f t="shared" si="10"/>
        <v>0</v>
      </c>
      <c r="P37" s="77">
        <f t="shared" si="10"/>
        <v>39.769999999999996</v>
      </c>
      <c r="Q37" s="77">
        <f t="shared" si="11"/>
        <v>32.185000000000002</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CM8087</v>
      </c>
      <c r="B38" s="15">
        <v>129</v>
      </c>
      <c r="C38" s="77">
        <f t="shared" si="6"/>
        <v>90.300000000000011</v>
      </c>
      <c r="D38" s="77">
        <f t="shared" si="7"/>
        <v>207.468378</v>
      </c>
      <c r="E38" s="77">
        <f t="shared" si="8"/>
        <v>127.93123500000002</v>
      </c>
      <c r="F38" s="77">
        <f t="shared" si="9"/>
        <v>33.793356000000003</v>
      </c>
      <c r="G38" s="77">
        <f t="shared" si="10"/>
        <v>9.5460000000000003E-2</v>
      </c>
      <c r="H38" s="77">
        <f t="shared" si="10"/>
        <v>0.18575999999999998</v>
      </c>
      <c r="I38" s="77">
        <f t="shared" si="10"/>
        <v>6.4500000000000002E-2</v>
      </c>
      <c r="J38" s="77">
        <f t="shared" si="10"/>
        <v>1.2900000000000001E-3</v>
      </c>
      <c r="K38" s="77">
        <f t="shared" si="10"/>
        <v>6.45E-3</v>
      </c>
      <c r="L38" s="77">
        <f t="shared" si="10"/>
        <v>3.0960000000000001E-2</v>
      </c>
      <c r="M38" s="77">
        <f t="shared" si="10"/>
        <v>2.58E-2</v>
      </c>
      <c r="N38" s="77">
        <f t="shared" si="10"/>
        <v>0</v>
      </c>
      <c r="O38" s="77">
        <f t="shared" si="10"/>
        <v>0</v>
      </c>
      <c r="P38" s="77">
        <f t="shared" si="10"/>
        <v>62.564999999999998</v>
      </c>
      <c r="Q38" s="77">
        <f t="shared" si="11"/>
        <v>50.6325</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CM8019</v>
      </c>
      <c r="B39" s="15">
        <v>129</v>
      </c>
      <c r="C39" s="77">
        <f t="shared" si="6"/>
        <v>90.300000000000011</v>
      </c>
      <c r="D39" s="77">
        <f t="shared" si="7"/>
        <v>207.468378</v>
      </c>
      <c r="E39" s="77">
        <f t="shared" si="8"/>
        <v>127.93123500000002</v>
      </c>
      <c r="F39" s="77">
        <f t="shared" si="9"/>
        <v>33.793356000000003</v>
      </c>
      <c r="G39" s="77">
        <f t="shared" si="10"/>
        <v>9.5460000000000003E-2</v>
      </c>
      <c r="H39" s="77">
        <f t="shared" si="10"/>
        <v>0.18575999999999998</v>
      </c>
      <c r="I39" s="77">
        <f t="shared" si="10"/>
        <v>6.4500000000000002E-2</v>
      </c>
      <c r="J39" s="77">
        <f t="shared" si="10"/>
        <v>1.2900000000000001E-3</v>
      </c>
      <c r="K39" s="77">
        <f t="shared" si="10"/>
        <v>6.45E-3</v>
      </c>
      <c r="L39" s="77">
        <f t="shared" si="10"/>
        <v>3.0960000000000001E-2</v>
      </c>
      <c r="M39" s="77">
        <f t="shared" si="10"/>
        <v>2.58E-2</v>
      </c>
      <c r="N39" s="77">
        <f t="shared" si="10"/>
        <v>0</v>
      </c>
      <c r="O39" s="77">
        <f t="shared" si="10"/>
        <v>0</v>
      </c>
      <c r="P39" s="77">
        <f t="shared" si="10"/>
        <v>62.564999999999998</v>
      </c>
      <c r="Q39" s="77">
        <f t="shared" si="11"/>
        <v>50.6325</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t="str">
        <f>L8</f>
        <v>Cm7886</v>
      </c>
      <c r="B40" s="15">
        <v>129</v>
      </c>
      <c r="C40" s="77">
        <f t="shared" si="6"/>
        <v>90.300000000000011</v>
      </c>
      <c r="D40" s="77">
        <f t="shared" si="7"/>
        <v>207.468378</v>
      </c>
      <c r="E40" s="77">
        <f t="shared" si="8"/>
        <v>127.93123500000002</v>
      </c>
      <c r="F40" s="77">
        <f t="shared" si="9"/>
        <v>33.793356000000003</v>
      </c>
      <c r="G40" s="77">
        <f t="shared" si="10"/>
        <v>9.5460000000000003E-2</v>
      </c>
      <c r="H40" s="77">
        <f t="shared" si="10"/>
        <v>0.18575999999999998</v>
      </c>
      <c r="I40" s="77">
        <f t="shared" si="10"/>
        <v>6.4500000000000002E-2</v>
      </c>
      <c r="J40" s="77">
        <f t="shared" si="10"/>
        <v>1.2900000000000001E-3</v>
      </c>
      <c r="K40" s="77">
        <f t="shared" si="10"/>
        <v>6.45E-3</v>
      </c>
      <c r="L40" s="77">
        <f t="shared" si="10"/>
        <v>3.0960000000000001E-2</v>
      </c>
      <c r="M40" s="77">
        <f t="shared" si="10"/>
        <v>2.58E-2</v>
      </c>
      <c r="N40" s="77">
        <f t="shared" si="10"/>
        <v>0</v>
      </c>
      <c r="O40" s="77">
        <f t="shared" si="10"/>
        <v>0</v>
      </c>
      <c r="P40" s="77">
        <f t="shared" si="10"/>
        <v>62.564999999999998</v>
      </c>
      <c r="Q40" s="77">
        <f t="shared" si="11"/>
        <v>50.6325</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Arable</v>
      </c>
      <c r="D58" s="13" t="str">
        <f>E16&amp;" I "&amp;(VLOOKUP(E14,Table24[],6,FALSE))</f>
        <v>Medium/Clay I Grass</v>
      </c>
      <c r="E58" s="13" t="str">
        <f>F16&amp;" I "&amp;(VLOOKUP(F14,Table24[],6,FALSE))</f>
        <v>Medium/Clay I Grass</v>
      </c>
      <c r="F58" s="13" t="str">
        <f>G16&amp;" I "&amp;(VLOOKUP(G14,Table24[],6,FALSE))</f>
        <v>Medium/Clay I Arable</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6.7</v>
      </c>
      <c r="D59" s="76">
        <f>VLOOKUP(E$14,Table24[],5,FALSE)</f>
        <v>6.2</v>
      </c>
      <c r="E59" s="76">
        <f>VLOOKUP(F$14,Table24[],5,FALSE)</f>
        <v>6.2</v>
      </c>
      <c r="F59" s="76">
        <f>VLOOKUP(G$14,Table24[],5,FALSE)</f>
        <v>6.7</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37</v>
      </c>
      <c r="C62" s="77">
        <f>B32</f>
        <v>39</v>
      </c>
      <c r="D62" s="77">
        <f>B33</f>
        <v>39</v>
      </c>
      <c r="E62" s="77">
        <f>B34</f>
        <v>39</v>
      </c>
      <c r="F62" s="77">
        <f>B35</f>
        <v>49</v>
      </c>
      <c r="G62" s="77">
        <f>B36</f>
        <v>39</v>
      </c>
      <c r="H62" s="77">
        <f>B37</f>
        <v>82</v>
      </c>
      <c r="I62" s="77">
        <f>B38</f>
        <v>129</v>
      </c>
      <c r="J62" s="77">
        <f>B39</f>
        <v>129</v>
      </c>
      <c r="K62" s="77">
        <f>B40</f>
        <v>129</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C40" sqref="C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v>4.16</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t="s">
        <v>179</v>
      </c>
      <c r="G2" s="138" t="s">
        <v>110</v>
      </c>
      <c r="H2" s="139"/>
      <c r="I2" s="118">
        <v>1114</v>
      </c>
      <c r="J2" s="119" t="s">
        <v>158</v>
      </c>
      <c r="K2" s="119"/>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t="s">
        <v>78</v>
      </c>
      <c r="G3" s="119" t="s">
        <v>159</v>
      </c>
      <c r="H3" s="119"/>
      <c r="I3" s="118"/>
      <c r="J3" s="120" t="s">
        <v>154</v>
      </c>
      <c r="K3" s="121"/>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t="s">
        <v>180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60.070019999999992</v>
      </c>
      <c r="D18" s="16">
        <f>$D32</f>
        <v>0</v>
      </c>
      <c r="E18" s="16">
        <f>$D33</f>
        <v>65.075855000000004</v>
      </c>
      <c r="F18" s="16">
        <f>$D34</f>
        <v>65.075855000000004</v>
      </c>
      <c r="G18" s="16">
        <f>$D35</f>
        <v>80.093360000000004</v>
      </c>
      <c r="H18" s="16">
        <f>$D36</f>
        <v>65.075855000000004</v>
      </c>
      <c r="I18" s="16">
        <f>$D37</f>
        <v>100.11670000000001</v>
      </c>
      <c r="J18" s="16">
        <f>$D38</f>
        <v>100.11670000000001</v>
      </c>
      <c r="K18" s="16">
        <f>$D39</f>
        <v>100.11670000000001</v>
      </c>
      <c r="L18" s="16">
        <f>$D40</f>
        <v>100.11670000000001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0.57001999999999242</v>
      </c>
      <c r="D19" s="16">
        <f t="shared" ref="D19:V19" si="1">D18-D17</f>
        <v>-63.75</v>
      </c>
      <c r="E19" s="16">
        <f t="shared" si="1"/>
        <v>0.47585500000000991</v>
      </c>
      <c r="F19" s="16">
        <f t="shared" si="1"/>
        <v>0.47585500000000991</v>
      </c>
      <c r="G19" s="16">
        <f t="shared" si="1"/>
        <v>75.893360000000001</v>
      </c>
      <c r="H19" s="16">
        <f t="shared" si="1"/>
        <v>0.47585500000000991</v>
      </c>
      <c r="I19" s="16">
        <f t="shared" si="1"/>
        <v>40.616700000000009</v>
      </c>
      <c r="J19" s="16">
        <f t="shared" si="1"/>
        <v>35.516700000000014</v>
      </c>
      <c r="K19" s="16">
        <f t="shared" si="1"/>
        <v>35.516700000000014</v>
      </c>
      <c r="L19" s="16">
        <f t="shared" si="1"/>
        <v>35.516700000000014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INCREASE</v>
      </c>
      <c r="D20" s="26" t="str">
        <f>IF($B32="","",IF(D$19&gt;=0,"INCREASE","DECREASE"))</f>
        <v>DECREASE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57.912300000000009</v>
      </c>
      <c r="D22" s="16">
        <f>$E32</f>
        <v>0</v>
      </c>
      <c r="E22" s="16">
        <f>$E33</f>
        <v>62.73832500000001</v>
      </c>
      <c r="F22" s="16">
        <f>$E34</f>
        <v>62.73832500000001</v>
      </c>
      <c r="G22" s="16">
        <f>$E35</f>
        <v>77.216400000000007</v>
      </c>
      <c r="H22" s="16">
        <f>$E36</f>
        <v>62.73832500000001</v>
      </c>
      <c r="I22" s="16">
        <f>$E37</f>
        <v>96.520500000000013</v>
      </c>
      <c r="J22" s="16">
        <f>$E38</f>
        <v>96.520500000000013</v>
      </c>
      <c r="K22" s="16">
        <f>$E39</f>
        <v>96.520500000000013</v>
      </c>
      <c r="L22" s="16">
        <f>$E40</f>
        <v>96.520500000000013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-152.08769999999998</v>
      </c>
      <c r="D23" s="16">
        <f t="shared" ref="D23:V23" si="3">D22-D21</f>
        <v>-78.75</v>
      </c>
      <c r="E23" s="16">
        <f t="shared" si="3"/>
        <v>-165.261675</v>
      </c>
      <c r="F23" s="16">
        <f t="shared" si="3"/>
        <v>-165.261675</v>
      </c>
      <c r="G23" s="16">
        <f t="shared" si="3"/>
        <v>53.216400000000007</v>
      </c>
      <c r="H23" s="16">
        <f t="shared" si="3"/>
        <v>-165.261675</v>
      </c>
      <c r="I23" s="16">
        <f t="shared" si="3"/>
        <v>-113.47949999999999</v>
      </c>
      <c r="J23" s="16">
        <f t="shared" si="3"/>
        <v>-131.47949999999997</v>
      </c>
      <c r="K23" s="16">
        <f t="shared" si="3"/>
        <v>-131.47949999999997</v>
      </c>
      <c r="L23" s="16">
        <f t="shared" si="3"/>
        <v>-131.47949999999997</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INCREASE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0.1</v>
      </c>
      <c r="D28" s="15">
        <v>437</v>
      </c>
      <c r="E28" s="15">
        <v>801</v>
      </c>
      <c r="F28" s="15">
        <v>129</v>
      </c>
      <c r="G28" s="15">
        <v>3.72</v>
      </c>
      <c r="H28" s="15">
        <v>0.92</v>
      </c>
      <c r="I28" s="15">
        <v>0.5</v>
      </c>
      <c r="J28" s="15">
        <v>0.01</v>
      </c>
      <c r="K28" s="23">
        <v>0.05</v>
      </c>
      <c r="L28" s="15">
        <v>0.2</v>
      </c>
      <c r="M28" s="15">
        <v>0.26</v>
      </c>
      <c r="N28" s="15"/>
      <c r="O28" s="15"/>
      <c r="P28" s="15">
        <v>912</v>
      </c>
      <c r="Q28" s="15">
        <v>102</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v>60</v>
      </c>
      <c r="C31" s="77">
        <f>IF(C$27="%w/w SAR",((C$28*10)*$B31),IF(C$27="%w/w DM",(((C$28*10)*($B$28/100))*$B31),IF(C$27="kg/t SAR",(C$28*$B31),IF(C$27="kg/t DM",((C$28*($B$28/100))*$B31),IF(C$27="mg/kg SAR",((C$28*0.001)*$B31),IF(C$27="mg/kg DM",(((C$28*0.001)*($B$28/100))*$B31),0))))))</f>
        <v>60</v>
      </c>
      <c r="D31" s="77">
        <f>(IF(D$27="%w/w SAR",((D$28*10)*$B31),IF(D$27="%w/w DM",(((D$28*10)*($B$28/100))*$B31),IF(D$27="kg/t SAR",(D$28*$B31),IF(D$27="kg/t DM",((D$28*($B$28/100))*$B31),IF(D$27="mg/kg SAR",((D$28*0.001)*$B31),IF(D$27="mg/kg DM",(((D$28*0.001)*($B$28/100))*$B31),"0")))))))*2.291</f>
        <v>60.070019999999992</v>
      </c>
      <c r="E31" s="77">
        <f>(IF(E$27="%w/w SAR",((E$28*10)*$B31),IF(E$27="%w/w DM",(((E$28*10)*($B$28/100))*$B31),IF(E$27="kg/t SAR",(E$28*$B31),IF(E$27="kg/t DM",((E$28*($B$28/100))*$B31),IF(E$27="mg/kg SAR",((E$28*0.001)*$B31),IF(E$27="mg/kg DM",(((E$28*0.001)*($B$28/100))*$B31),"0")))))))*1.205</f>
        <v>57.912300000000009</v>
      </c>
      <c r="F31" s="77">
        <f>(IF(F$27="%w/w SAR",((F$28*10)*$B31),IF(F$27="%w/w DM",(((F$28*10)*($B$28/100))*$B31),IF(F$27="kg/t SAR",(F$28*$B31),IF(F$27="kg/t DM",((F$28*($B$28/100))*$B31),IF(F$27="mg/kg SAR",((F$28*0.001)*$B31),IF(F$27="mg/kg DM",(((F$28*0.001)*($B$28/100))*$B31),"0")))))))*1.658</f>
        <v>12.83292</v>
      </c>
      <c r="G31" s="77">
        <f t="shared" ref="G31:P46" si="5">IF(G$27="%w/w SAR",((G$28*10)*$B31),IF(G$27="%w/w DM",(((G$28*10)*($B$28/100))*$B31),IF(G$27="kg/t SAR",(G$28*$B31),IF(G$27="kg/t DM",((G$28*($B$28/100))*$B31),IF(G$27="mg/kg SAR",((G$28*0.001)*$B31),IF(G$27="mg/kg DM",(((G$28*0.001)*($B$28/100))*$B31),0))))))</f>
        <v>0.22320000000000001</v>
      </c>
      <c r="H31" s="77">
        <f t="shared" si="5"/>
        <v>5.5199999999999999E-2</v>
      </c>
      <c r="I31" s="77">
        <f t="shared" si="5"/>
        <v>0.03</v>
      </c>
      <c r="J31" s="77">
        <f t="shared" si="5"/>
        <v>6.0000000000000006E-4</v>
      </c>
      <c r="K31" s="77">
        <f t="shared" si="5"/>
        <v>3.0000000000000001E-3</v>
      </c>
      <c r="L31" s="77">
        <f t="shared" si="5"/>
        <v>1.2E-2</v>
      </c>
      <c r="M31" s="77">
        <f t="shared" si="5"/>
        <v>1.5600000000000003E-2</v>
      </c>
      <c r="N31" s="77">
        <f t="shared" si="5"/>
        <v>0</v>
      </c>
      <c r="O31" s="77">
        <f t="shared" si="5"/>
        <v>0</v>
      </c>
      <c r="P31" s="77">
        <f t="shared" si="5"/>
        <v>54.72</v>
      </c>
      <c r="Q31" s="77">
        <f>(IF(Q$27="%w/w SAR",((Q$28*10)*$B31),IF(Q$27="%w/w DM",(((Q$28*10)*($B$28/100))*$B31),IF(Q$27="kg/t SAR",(Q$28*$B31),IF(Q$27="kg/t DM",((Q$28*($B$28/100))*$B31),IF(Q$27="mg/kg SAR",((Q$28*0.001)*$B31),IF(Q$27="mg/kg DM",(((Q$28*0.001)*($B$28/100))*$B31),0)))))))*2.5</f>
        <v>15.3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v>65</v>
      </c>
      <c r="C33" s="77">
        <f t="shared" si="6"/>
        <v>65</v>
      </c>
      <c r="D33" s="77">
        <f t="shared" si="7"/>
        <v>65.075855000000004</v>
      </c>
      <c r="E33" s="77">
        <f t="shared" si="8"/>
        <v>62.73832500000001</v>
      </c>
      <c r="F33" s="77">
        <f t="shared" si="9"/>
        <v>13.902329999999999</v>
      </c>
      <c r="G33" s="77">
        <f t="shared" si="5"/>
        <v>0.24180000000000001</v>
      </c>
      <c r="H33" s="77">
        <f t="shared" si="5"/>
        <v>5.9799999999999999E-2</v>
      </c>
      <c r="I33" s="77">
        <f t="shared" si="5"/>
        <v>3.2500000000000001E-2</v>
      </c>
      <c r="J33" s="77">
        <f t="shared" si="5"/>
        <v>6.5000000000000008E-4</v>
      </c>
      <c r="K33" s="77">
        <f t="shared" si="5"/>
        <v>3.2500000000000003E-3</v>
      </c>
      <c r="L33" s="77">
        <f t="shared" si="5"/>
        <v>1.3000000000000001E-2</v>
      </c>
      <c r="M33" s="77">
        <f t="shared" si="5"/>
        <v>1.6900000000000002E-2</v>
      </c>
      <c r="N33" s="77">
        <f t="shared" si="5"/>
        <v>0</v>
      </c>
      <c r="O33" s="77">
        <f t="shared" si="5"/>
        <v>0</v>
      </c>
      <c r="P33" s="77">
        <f t="shared" si="5"/>
        <v>59.28</v>
      </c>
      <c r="Q33" s="77">
        <f t="shared" si="10"/>
        <v>16.575000000000003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v>65</v>
      </c>
      <c r="C34" s="77">
        <f t="shared" si="6"/>
        <v>65</v>
      </c>
      <c r="D34" s="77">
        <f t="shared" si="7"/>
        <v>65.075855000000004</v>
      </c>
      <c r="E34" s="77">
        <f t="shared" si="8"/>
        <v>62.73832500000001</v>
      </c>
      <c r="F34" s="77">
        <f t="shared" si="9"/>
        <v>13.902329999999999</v>
      </c>
      <c r="G34" s="77">
        <f t="shared" si="5"/>
        <v>0.24180000000000001</v>
      </c>
      <c r="H34" s="77">
        <f t="shared" si="5"/>
        <v>5.9799999999999999E-2</v>
      </c>
      <c r="I34" s="77">
        <f t="shared" si="5"/>
        <v>3.2500000000000001E-2</v>
      </c>
      <c r="J34" s="77">
        <f t="shared" si="5"/>
        <v>6.5000000000000008E-4</v>
      </c>
      <c r="K34" s="77">
        <f t="shared" si="5"/>
        <v>3.2500000000000003E-3</v>
      </c>
      <c r="L34" s="77">
        <f t="shared" si="5"/>
        <v>1.3000000000000001E-2</v>
      </c>
      <c r="M34" s="77">
        <f t="shared" si="5"/>
        <v>1.6900000000000002E-2</v>
      </c>
      <c r="N34" s="77">
        <f t="shared" si="5"/>
        <v>0</v>
      </c>
      <c r="O34" s="77">
        <f t="shared" si="5"/>
        <v>0</v>
      </c>
      <c r="P34" s="77">
        <f t="shared" si="5"/>
        <v>59.28</v>
      </c>
      <c r="Q34" s="77">
        <f t="shared" si="10"/>
        <v>16.575000000000003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v>80</v>
      </c>
      <c r="C35" s="77">
        <f t="shared" si="6"/>
        <v>80</v>
      </c>
      <c r="D35" s="77">
        <f t="shared" si="7"/>
        <v>80.093360000000004</v>
      </c>
      <c r="E35" s="77">
        <f t="shared" si="8"/>
        <v>77.216400000000007</v>
      </c>
      <c r="F35" s="77">
        <f t="shared" si="9"/>
        <v>17.11056</v>
      </c>
      <c r="G35" s="77">
        <f t="shared" si="5"/>
        <v>0.29760000000000003</v>
      </c>
      <c r="H35" s="77">
        <f t="shared" si="5"/>
        <v>7.3599999999999999E-2</v>
      </c>
      <c r="I35" s="77">
        <f t="shared" si="5"/>
        <v>0.04</v>
      </c>
      <c r="J35" s="77">
        <f t="shared" si="5"/>
        <v>8.0000000000000004E-4</v>
      </c>
      <c r="K35" s="77">
        <f t="shared" si="5"/>
        <v>4.0000000000000001E-3</v>
      </c>
      <c r="L35" s="77">
        <f t="shared" si="5"/>
        <v>1.6E-2</v>
      </c>
      <c r="M35" s="77">
        <f t="shared" si="5"/>
        <v>2.0800000000000003E-2</v>
      </c>
      <c r="N35" s="77">
        <f t="shared" si="5"/>
        <v>0</v>
      </c>
      <c r="O35" s="77">
        <f t="shared" si="5"/>
        <v>0</v>
      </c>
      <c r="P35" s="77">
        <f t="shared" si="5"/>
        <v>72.960000000000008</v>
      </c>
      <c r="Q35" s="77">
        <f t="shared" si="10"/>
        <v>20.399999999999999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v>65</v>
      </c>
      <c r="C36" s="77">
        <f t="shared" si="6"/>
        <v>65</v>
      </c>
      <c r="D36" s="77">
        <f t="shared" si="7"/>
        <v>65.075855000000004</v>
      </c>
      <c r="E36" s="77">
        <f t="shared" si="8"/>
        <v>62.73832500000001</v>
      </c>
      <c r="F36" s="77">
        <f t="shared" si="9"/>
        <v>13.902329999999999</v>
      </c>
      <c r="G36" s="77">
        <f t="shared" si="5"/>
        <v>0.24180000000000001</v>
      </c>
      <c r="H36" s="77">
        <f t="shared" si="5"/>
        <v>5.9799999999999999E-2</v>
      </c>
      <c r="I36" s="77">
        <f t="shared" si="5"/>
        <v>3.2500000000000001E-2</v>
      </c>
      <c r="J36" s="77">
        <f t="shared" si="5"/>
        <v>6.5000000000000008E-4</v>
      </c>
      <c r="K36" s="77">
        <f t="shared" si="5"/>
        <v>3.2500000000000003E-3</v>
      </c>
      <c r="L36" s="77">
        <f t="shared" si="5"/>
        <v>1.3000000000000001E-2</v>
      </c>
      <c r="M36" s="77">
        <f t="shared" si="5"/>
        <v>1.6900000000000002E-2</v>
      </c>
      <c r="N36" s="77">
        <f t="shared" si="5"/>
        <v>0</v>
      </c>
      <c r="O36" s="77">
        <f t="shared" si="5"/>
        <v>0</v>
      </c>
      <c r="P36" s="77">
        <f t="shared" si="5"/>
        <v>59.28</v>
      </c>
      <c r="Q36" s="77">
        <f t="shared" si="10"/>
        <v>16.575000000000003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v>100</v>
      </c>
      <c r="C37" s="77">
        <f t="shared" si="6"/>
        <v>100</v>
      </c>
      <c r="D37" s="77">
        <f t="shared" si="7"/>
        <v>100.11670000000001</v>
      </c>
      <c r="E37" s="77">
        <f t="shared" si="8"/>
        <v>96.520500000000013</v>
      </c>
      <c r="F37" s="77">
        <f t="shared" si="9"/>
        <v>21.388200000000001</v>
      </c>
      <c r="G37" s="77">
        <f t="shared" si="5"/>
        <v>0.372</v>
      </c>
      <c r="H37" s="77">
        <f t="shared" si="5"/>
        <v>9.1999999999999998E-2</v>
      </c>
      <c r="I37" s="77">
        <f t="shared" si="5"/>
        <v>0.05</v>
      </c>
      <c r="J37" s="77">
        <f t="shared" si="5"/>
        <v>1E-3</v>
      </c>
      <c r="K37" s="77">
        <f t="shared" si="5"/>
        <v>5.0000000000000001E-3</v>
      </c>
      <c r="L37" s="77">
        <f t="shared" si="5"/>
        <v>0.02</v>
      </c>
      <c r="M37" s="77">
        <f t="shared" si="5"/>
        <v>2.6000000000000002E-2</v>
      </c>
      <c r="N37" s="77">
        <f t="shared" si="5"/>
        <v>0</v>
      </c>
      <c r="O37" s="77">
        <f t="shared" si="5"/>
        <v>0</v>
      </c>
      <c r="P37" s="77">
        <f t="shared" si="5"/>
        <v>91.2</v>
      </c>
      <c r="Q37" s="77">
        <f t="shared" si="10"/>
        <v>25.500000000000004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v>100</v>
      </c>
      <c r="C38" s="77">
        <f t="shared" si="6"/>
        <v>100</v>
      </c>
      <c r="D38" s="77">
        <f t="shared" si="7"/>
        <v>100.11670000000001</v>
      </c>
      <c r="E38" s="77">
        <f t="shared" si="8"/>
        <v>96.520500000000013</v>
      </c>
      <c r="F38" s="77">
        <f t="shared" si="9"/>
        <v>21.388200000000001</v>
      </c>
      <c r="G38" s="77">
        <f t="shared" si="5"/>
        <v>0.372</v>
      </c>
      <c r="H38" s="77">
        <f t="shared" si="5"/>
        <v>9.1999999999999998E-2</v>
      </c>
      <c r="I38" s="77">
        <f t="shared" si="5"/>
        <v>0.05</v>
      </c>
      <c r="J38" s="77">
        <f t="shared" si="5"/>
        <v>1E-3</v>
      </c>
      <c r="K38" s="77">
        <f t="shared" si="5"/>
        <v>5.0000000000000001E-3</v>
      </c>
      <c r="L38" s="77">
        <f t="shared" si="5"/>
        <v>0.02</v>
      </c>
      <c r="M38" s="77">
        <f t="shared" si="5"/>
        <v>2.6000000000000002E-2</v>
      </c>
      <c r="N38" s="77">
        <f t="shared" si="5"/>
        <v>0</v>
      </c>
      <c r="O38" s="77">
        <f t="shared" si="5"/>
        <v>0</v>
      </c>
      <c r="P38" s="77">
        <f t="shared" si="5"/>
        <v>91.2</v>
      </c>
      <c r="Q38" s="77">
        <f t="shared" si="10"/>
        <v>25.500000000000004</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v>100</v>
      </c>
      <c r="C39" s="77">
        <f t="shared" si="6"/>
        <v>100</v>
      </c>
      <c r="D39" s="77">
        <f t="shared" si="7"/>
        <v>100.11670000000001</v>
      </c>
      <c r="E39" s="77">
        <f t="shared" si="8"/>
        <v>96.520500000000013</v>
      </c>
      <c r="F39" s="77">
        <f t="shared" si="9"/>
        <v>21.388200000000001</v>
      </c>
      <c r="G39" s="77">
        <f t="shared" si="5"/>
        <v>0.372</v>
      </c>
      <c r="H39" s="77">
        <f t="shared" si="5"/>
        <v>9.1999999999999998E-2</v>
      </c>
      <c r="I39" s="77">
        <f t="shared" si="5"/>
        <v>0.05</v>
      </c>
      <c r="J39" s="77">
        <f t="shared" si="5"/>
        <v>1E-3</v>
      </c>
      <c r="K39" s="77">
        <f t="shared" si="5"/>
        <v>5.0000000000000001E-3</v>
      </c>
      <c r="L39" s="77">
        <f t="shared" si="5"/>
        <v>0.02</v>
      </c>
      <c r="M39" s="77">
        <f t="shared" si="5"/>
        <v>2.6000000000000002E-2</v>
      </c>
      <c r="N39" s="77">
        <f t="shared" si="5"/>
        <v>0</v>
      </c>
      <c r="O39" s="77">
        <f t="shared" si="5"/>
        <v>0</v>
      </c>
      <c r="P39" s="77">
        <f t="shared" si="5"/>
        <v>91.2</v>
      </c>
      <c r="Q39" s="77">
        <f t="shared" si="10"/>
        <v>25.500000000000004</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v>100</v>
      </c>
      <c r="C40" s="77">
        <f t="shared" si="6"/>
        <v>100</v>
      </c>
      <c r="D40" s="77">
        <f t="shared" si="7"/>
        <v>100.11670000000001</v>
      </c>
      <c r="E40" s="77">
        <f t="shared" si="8"/>
        <v>96.520500000000013</v>
      </c>
      <c r="F40" s="77">
        <f t="shared" si="9"/>
        <v>21.388200000000001</v>
      </c>
      <c r="G40" s="77">
        <f t="shared" si="5"/>
        <v>0.372</v>
      </c>
      <c r="H40" s="77">
        <f t="shared" si="5"/>
        <v>9.1999999999999998E-2</v>
      </c>
      <c r="I40" s="77">
        <f t="shared" si="5"/>
        <v>0.05</v>
      </c>
      <c r="J40" s="77">
        <f t="shared" si="5"/>
        <v>1E-3</v>
      </c>
      <c r="K40" s="77">
        <f t="shared" si="5"/>
        <v>5.0000000000000001E-3</v>
      </c>
      <c r="L40" s="77">
        <f t="shared" si="5"/>
        <v>0.02</v>
      </c>
      <c r="M40" s="77">
        <f t="shared" si="5"/>
        <v>2.6000000000000002E-2</v>
      </c>
      <c r="N40" s="77">
        <f t="shared" si="5"/>
        <v>0</v>
      </c>
      <c r="O40" s="77">
        <f t="shared" si="5"/>
        <v>0</v>
      </c>
      <c r="P40" s="77">
        <f t="shared" si="5"/>
        <v>91.2</v>
      </c>
      <c r="Q40" s="77">
        <f t="shared" si="10"/>
        <v>25.500000000000004</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Arable</v>
      </c>
      <c r="D58" s="13" t="str">
        <f>E16&amp;" I "&amp;(VLOOKUP(E14,Table245[],6,FALSE))</f>
        <v>Medium/Clay I Grass</v>
      </c>
      <c r="E58" s="13" t="str">
        <f>F16&amp;" I "&amp;(VLOOKUP(F14,Table245[],6,FALSE))</f>
        <v>Medium/Clay I Grass</v>
      </c>
      <c r="F58" s="13" t="str">
        <f>G16&amp;" I "&amp;(VLOOKUP(G14,Table245[],6,FALSE))</f>
        <v>Medium/Clay I Arable</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6.7</v>
      </c>
      <c r="D59" s="76">
        <f>VLOOKUP(E$14,Table245[],5,FALSE)</f>
        <v>6.2</v>
      </c>
      <c r="E59" s="76">
        <f>VLOOKUP(F$14,Table245[],5,FALSE)</f>
        <v>6.2</v>
      </c>
      <c r="F59" s="76">
        <f>VLOOKUP(G$14,Table245[],5,FALSE)</f>
        <v>6.7</v>
      </c>
      <c r="G59" s="76">
        <f>VLOOKUP(H$14,Table245[],5,FALSE)</f>
        <v>6.2</v>
      </c>
      <c r="H59" s="76">
        <f>VLOOKUP(I$14,Table245[],5,FALSE)</f>
        <v>6.2</v>
      </c>
      <c r="I59" s="76">
        <f>VLOOKUP(J$14,Table245[],5,FALSE)</f>
        <v>6.2</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60</v>
      </c>
      <c r="C62" s="77">
        <f>B32</f>
        <v>0</v>
      </c>
      <c r="D62" s="77">
        <f>B33</f>
        <v>65</v>
      </c>
      <c r="E62" s="77">
        <f>B34</f>
        <v>65</v>
      </c>
      <c r="F62" s="77">
        <f>B35</f>
        <v>80</v>
      </c>
      <c r="G62" s="77">
        <f>B36</f>
        <v>65</v>
      </c>
      <c r="H62" s="77">
        <f>B37</f>
        <v>100</v>
      </c>
      <c r="I62" s="77">
        <f>B38</f>
        <v>100</v>
      </c>
      <c r="J62" s="77">
        <f>B39</f>
        <v>100</v>
      </c>
      <c r="K62" s="77">
        <f>B40</f>
        <v>100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G14" sqref="G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v>5.41</v>
      </c>
      <c r="J1" s="119" t="s">
        <v>153</v>
      </c>
      <c r="K1" s="119"/>
      <c r="L1" s="97">
        <v>91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t="s">
        <v>182</v>
      </c>
      <c r="G2" s="138" t="s">
        <v>110</v>
      </c>
      <c r="H2" s="139"/>
      <c r="I2" s="118">
        <v>461</v>
      </c>
      <c r="J2" s="119" t="s">
        <v>158</v>
      </c>
      <c r="K2" s="119"/>
      <c r="L2" s="97">
        <v>0.19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t="s">
        <v>78</v>
      </c>
      <c r="G3" s="119" t="s">
        <v>159</v>
      </c>
      <c r="H3" s="119"/>
      <c r="I3" s="118">
        <v>14060</v>
      </c>
      <c r="J3" s="120" t="s">
        <v>154</v>
      </c>
      <c r="K3" s="121"/>
      <c r="L3" s="97">
        <f>(L1/(L2*10000))*100</f>
        <v>4.7894736842105257</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t="s">
        <v>181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59.320863000000003</v>
      </c>
      <c r="D18" s="16">
        <f>$D32</f>
        <v>63.087267000000004</v>
      </c>
      <c r="E18" s="16">
        <f>$D33</f>
        <v>63.087267000000004</v>
      </c>
      <c r="F18" s="16">
        <f>$D34</f>
        <v>63.087267000000004</v>
      </c>
      <c r="G18" s="16">
        <f>$D35</f>
        <v>80.036085</v>
      </c>
      <c r="H18" s="16">
        <f>$D36</f>
        <v>80.036085</v>
      </c>
      <c r="I18" s="16">
        <f>$D37</f>
        <v>122.40813000000001</v>
      </c>
      <c r="J18" s="16">
        <f>$D38</f>
        <v>122.40813000000001</v>
      </c>
      <c r="K18" s="16">
        <f>$D39</f>
        <v>122.40813000000001</v>
      </c>
      <c r="L18" s="16">
        <f>$D40</f>
        <v>122.40813000000001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-0.17913699999999722</v>
      </c>
      <c r="D19" s="16">
        <f t="shared" ref="D19:V19" si="1">D18-D17</f>
        <v>-0.6627329999999958</v>
      </c>
      <c r="E19" s="16">
        <f t="shared" si="1"/>
        <v>-1.5127329999999901</v>
      </c>
      <c r="F19" s="16">
        <f t="shared" si="1"/>
        <v>-1.5127329999999901</v>
      </c>
      <c r="G19" s="16">
        <f t="shared" si="1"/>
        <v>75.836084999999997</v>
      </c>
      <c r="H19" s="16">
        <f t="shared" si="1"/>
        <v>15.436085000000006</v>
      </c>
      <c r="I19" s="16">
        <f t="shared" si="1"/>
        <v>62.908130000000014</v>
      </c>
      <c r="J19" s="16">
        <f t="shared" si="1"/>
        <v>57.80813000000002</v>
      </c>
      <c r="K19" s="16">
        <f t="shared" si="1"/>
        <v>57.80813000000002</v>
      </c>
      <c r="L19" s="16">
        <f t="shared" si="1"/>
        <v>57.80813000000002</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(VLOOKUP(D$14,$AI2:$AK24,3,FALSE))*D$15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17.004960000000001</v>
      </c>
      <c r="D22" s="16">
        <f>$E32</f>
        <v>18.084640000000004</v>
      </c>
      <c r="E22" s="16">
        <f>$E33</f>
        <v>18.084640000000004</v>
      </c>
      <c r="F22" s="16">
        <f>$E34</f>
        <v>18.084640000000004</v>
      </c>
      <c r="G22" s="16">
        <f>$E35</f>
        <v>22.943200000000001</v>
      </c>
      <c r="H22" s="16">
        <f>$E36</f>
        <v>22.943200000000001</v>
      </c>
      <c r="I22" s="16">
        <f>$E37</f>
        <v>35.089600000000004</v>
      </c>
      <c r="J22" s="16">
        <f>$E38</f>
        <v>35.089600000000004</v>
      </c>
      <c r="K22" s="16">
        <f>$E39</f>
        <v>35.089600000000004</v>
      </c>
      <c r="L22" s="16">
        <f>$E40</f>
        <v>35.089600000000004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-192.99503999999999</v>
      </c>
      <c r="D23" s="16">
        <f t="shared" ref="D23:V23" si="3">D22-D21</f>
        <v>-60.665359999999993</v>
      </c>
      <c r="E23" s="16">
        <f t="shared" si="3"/>
        <v>-209.91535999999999</v>
      </c>
      <c r="F23" s="16">
        <f t="shared" si="3"/>
        <v>-209.91535999999999</v>
      </c>
      <c r="G23" s="16">
        <f t="shared" si="3"/>
        <v>-1.0567999999999991</v>
      </c>
      <c r="H23" s="16">
        <f t="shared" si="3"/>
        <v>-205.05680000000001</v>
      </c>
      <c r="I23" s="16">
        <f t="shared" si="3"/>
        <v>-174.91039999999998</v>
      </c>
      <c r="J23" s="16">
        <f t="shared" si="3"/>
        <v>-192.91039999999998</v>
      </c>
      <c r="K23" s="16">
        <f t="shared" si="3"/>
        <v>-192.91039999999998</v>
      </c>
      <c r="L23" s="16">
        <f t="shared" si="3"/>
        <v>-192.91039999999998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4.41</v>
      </c>
      <c r="C28" s="15">
        <v>0.19</v>
      </c>
      <c r="D28" s="15">
        <v>411</v>
      </c>
      <c r="E28" s="15">
        <v>224</v>
      </c>
      <c r="F28" s="15">
        <v>40.9</v>
      </c>
      <c r="G28" s="15">
        <v>0.2</v>
      </c>
      <c r="H28" s="15">
        <v>1.32</v>
      </c>
      <c r="I28" s="15">
        <v>0.5</v>
      </c>
      <c r="J28" s="15">
        <v>0.01</v>
      </c>
      <c r="K28" s="23">
        <v>0.05</v>
      </c>
      <c r="L28" s="15">
        <v>0.2</v>
      </c>
      <c r="M28" s="15">
        <v>0.3</v>
      </c>
      <c r="N28" s="15"/>
      <c r="O28" s="15"/>
      <c r="P28" s="15">
        <v>339</v>
      </c>
      <c r="Q28" s="15">
        <v>148</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v>63</v>
      </c>
      <c r="C31" s="77">
        <f>IF(C$27="%w/w SAR",((C$28*10)*$B31),IF(C$27="%w/w DM",(((C$28*10)*($B$28/100))*$B31),IF(C$27="kg/t SAR",(C$28*$B31),IF(C$27="kg/t DM",((C$28*($B$28/100))*$B31),IF(C$27="mg/kg SAR",((C$28*0.001)*$B31),IF(C$27="mg/kg DM",(((C$28*0.001)*($B$28/100))*$B31),0))))))</f>
        <v>119.69999999999999</v>
      </c>
      <c r="D31" s="77">
        <f>(IF(D$27="%w/w SAR",((D$28*10)*$B31),IF(D$27="%w/w DM",(((D$28*10)*($B$28/100))*$B31),IF(D$27="kg/t SAR",(D$28*$B31),IF(D$27="kg/t DM",((D$28*($B$28/100))*$B31),IF(D$27="mg/kg SAR",((D$28*0.001)*$B31),IF(D$27="mg/kg DM",(((D$28*0.001)*($B$28/100))*$B31),"0")))))))*2.291</f>
        <v>59.320863000000003</v>
      </c>
      <c r="E31" s="77">
        <f>(IF(E$27="%w/w SAR",((E$28*10)*$B31),IF(E$27="%w/w DM",(((E$28*10)*($B$28/100))*$B31),IF(E$27="kg/t SAR",(E$28*$B31),IF(E$27="kg/t DM",((E$28*($B$28/100))*$B31),IF(E$27="mg/kg SAR",((E$28*0.001)*$B31),IF(E$27="mg/kg DM",(((E$28*0.001)*($B$28/100))*$B31),"0")))))))*1.205</f>
        <v>17.004960000000001</v>
      </c>
      <c r="F31" s="77">
        <f>(IF(F$27="%w/w SAR",((F$28*10)*$B31),IF(F$27="%w/w DM",(((F$28*10)*($B$28/100))*$B31),IF(F$27="kg/t SAR",(F$28*$B31),IF(F$27="kg/t DM",((F$28*($B$28/100))*$B31),IF(F$27="mg/kg SAR",((F$28*0.001)*$B31),IF(F$27="mg/kg DM",(((F$28*0.001)*($B$28/100))*$B31),"0")))))))*1.658</f>
        <v>4.2721685999999996</v>
      </c>
      <c r="G31" s="77">
        <f t="shared" ref="G31:P46" si="5">IF(G$27="%w/w SAR",((G$28*10)*$B31),IF(G$27="%w/w DM",(((G$28*10)*($B$28/100))*$B31),IF(G$27="kg/t SAR",(G$28*$B31),IF(G$27="kg/t DM",((G$28*($B$28/100))*$B31),IF(G$27="mg/kg SAR",((G$28*0.001)*$B31),IF(G$27="mg/kg DM",(((G$28*0.001)*($B$28/100))*$B31),0))))))</f>
        <v>1.26E-2</v>
      </c>
      <c r="H31" s="77">
        <f t="shared" si="5"/>
        <v>8.3159999999999998E-2</v>
      </c>
      <c r="I31" s="77">
        <f t="shared" si="5"/>
        <v>3.15E-2</v>
      </c>
      <c r="J31" s="77">
        <f t="shared" si="5"/>
        <v>6.3000000000000003E-4</v>
      </c>
      <c r="K31" s="77">
        <f t="shared" si="5"/>
        <v>3.15E-3</v>
      </c>
      <c r="L31" s="77">
        <f t="shared" si="5"/>
        <v>1.26E-2</v>
      </c>
      <c r="M31" s="77">
        <f t="shared" si="5"/>
        <v>1.8899999999999997E-2</v>
      </c>
      <c r="N31" s="77">
        <f t="shared" si="5"/>
        <v>0</v>
      </c>
      <c r="O31" s="77">
        <f t="shared" si="5"/>
        <v>0</v>
      </c>
      <c r="P31" s="77">
        <f t="shared" si="5"/>
        <v>21.357000000000003</v>
      </c>
      <c r="Q31" s="77">
        <f>(IF(Q$27="%w/w SAR",((Q$28*10)*$B31),IF(Q$27="%w/w DM",(((Q$28*10)*($B$28/100))*$B31),IF(Q$27="kg/t SAR",(Q$28*$B31),IF(Q$27="kg/t DM",((Q$28*($B$28/100))*$B31),IF(Q$27="mg/kg SAR",((Q$28*0.001)*$B31),IF(Q$27="mg/kg DM",(((Q$28*0.001)*($B$28/100))*$B31),0)))))))*2.5</f>
        <v>23.31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v>67</v>
      </c>
      <c r="C32" s="77">
        <f t="shared" ref="C32:C50" si="6">IF(C$27="%w/w SAR",((C$28*10)*$B32),IF(C$27="%w/w DM",(((C$28*10)*($B$28/100))*$B32),IF(C$27="kg/t SAR",(C$28*$B32),IF(C$27="kg/t DM",((C$28*($B$28/100))*$B32),IF(C$27="mg/kg SAR",((C$28*0.001)*$B32),IF(C$27="mg/kg DM",(((C$28*0.001)*($B$28/100))*$B32),0))))))</f>
        <v>127.3</v>
      </c>
      <c r="D32" s="77">
        <f t="shared" ref="D32:D50" si="7">(IF(D$27="%w/w SAR",((D$28*10)*$B32),IF(D$27="%w/w DM",(((D$28*10)*($B$28/100))*$B32),IF(D$27="kg/t SAR",(D$28*$B32),IF(D$27="kg/t DM",((D$28*($B$28/100))*$B32),IF(D$27="mg/kg SAR",((D$28*0.001)*$B32),IF(D$27="mg/kg DM",(((D$28*0.001)*($B$28/100))*$B32),"0")))))))*2.291</f>
        <v>63.087267000000004</v>
      </c>
      <c r="E32" s="77">
        <f t="shared" ref="E32:E50" si="8">(IF(E$27="%w/w SAR",((E$28*10)*$B32),IF(E$27="%w/w DM",(((E$28*10)*($B$28/100))*$B32),IF(E$27="kg/t SAR",(E$28*$B32),IF(E$27="kg/t DM",((E$28*($B$28/100))*$B32),IF(E$27="mg/kg SAR",((E$28*0.001)*$B32),IF(E$27="mg/kg DM",(((E$28*0.001)*($B$28/100))*$B32),"0")))))))*1.205</f>
        <v>18.084640000000004</v>
      </c>
      <c r="F32" s="77">
        <f t="shared" ref="F32:F50" si="9">(IF(F$27="%w/w SAR",((F$28*10)*$B32),IF(F$27="%w/w DM",(((F$28*10)*($B$28/100))*$B32),IF(F$27="kg/t SAR",(F$28*$B32),IF(F$27="kg/t DM",((F$28*($B$28/100))*$B32),IF(F$27="mg/kg SAR",((F$28*0.001)*$B32),IF(F$27="mg/kg DM",(((F$28*0.001)*($B$28/100))*$B32),"0")))))))*1.658</f>
        <v>4.5434174000000001</v>
      </c>
      <c r="G32" s="77">
        <f t="shared" si="5"/>
        <v>1.34E-2</v>
      </c>
      <c r="H32" s="77">
        <f t="shared" si="5"/>
        <v>8.8440000000000005E-2</v>
      </c>
      <c r="I32" s="77">
        <f t="shared" si="5"/>
        <v>3.3500000000000002E-2</v>
      </c>
      <c r="J32" s="77">
        <f t="shared" si="5"/>
        <v>6.7000000000000002E-4</v>
      </c>
      <c r="K32" s="77">
        <f t="shared" si="5"/>
        <v>3.3500000000000001E-3</v>
      </c>
      <c r="L32" s="77">
        <f t="shared" si="5"/>
        <v>1.34E-2</v>
      </c>
      <c r="M32" s="77">
        <f t="shared" si="5"/>
        <v>2.01E-2</v>
      </c>
      <c r="N32" s="77">
        <f t="shared" si="5"/>
        <v>0</v>
      </c>
      <c r="O32" s="77">
        <f t="shared" si="5"/>
        <v>0</v>
      </c>
      <c r="P32" s="77">
        <f t="shared" si="5"/>
        <v>22.713000000000001</v>
      </c>
      <c r="Q32" s="77">
        <f t="shared" ref="Q32:Q50" si="10">(IF(Q$27="%w/w SAR",((Q$28*10)*$B32),IF(Q$27="%w/w DM",(((Q$28*10)*($B$28/100))*$B32),IF(Q$27="kg/t SAR",(Q$28*$B32),IF(Q$27="kg/t DM",((Q$28*($B$28/100))*$B32),IF(Q$27="mg/kg SAR",((Q$28*0.001)*$B32),IF(Q$27="mg/kg DM",(((Q$28*0.001)*($B$28/100))*$B32),0)))))))*2.5</f>
        <v>24.79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v>67</v>
      </c>
      <c r="C33" s="77">
        <f t="shared" si="6"/>
        <v>127.3</v>
      </c>
      <c r="D33" s="77">
        <f t="shared" si="7"/>
        <v>63.087267000000004</v>
      </c>
      <c r="E33" s="77">
        <f t="shared" si="8"/>
        <v>18.084640000000004</v>
      </c>
      <c r="F33" s="77">
        <f t="shared" si="9"/>
        <v>4.5434174000000001</v>
      </c>
      <c r="G33" s="77">
        <f t="shared" si="5"/>
        <v>1.34E-2</v>
      </c>
      <c r="H33" s="77">
        <f t="shared" si="5"/>
        <v>8.8440000000000005E-2</v>
      </c>
      <c r="I33" s="77">
        <f t="shared" si="5"/>
        <v>3.3500000000000002E-2</v>
      </c>
      <c r="J33" s="77">
        <f t="shared" si="5"/>
        <v>6.7000000000000002E-4</v>
      </c>
      <c r="K33" s="77">
        <f t="shared" si="5"/>
        <v>3.3500000000000001E-3</v>
      </c>
      <c r="L33" s="77">
        <f t="shared" si="5"/>
        <v>1.34E-2</v>
      </c>
      <c r="M33" s="77">
        <f t="shared" si="5"/>
        <v>2.01E-2</v>
      </c>
      <c r="N33" s="77">
        <f t="shared" si="5"/>
        <v>0</v>
      </c>
      <c r="O33" s="77">
        <f t="shared" si="5"/>
        <v>0</v>
      </c>
      <c r="P33" s="77">
        <f t="shared" si="5"/>
        <v>22.713000000000001</v>
      </c>
      <c r="Q33" s="77">
        <f t="shared" si="10"/>
        <v>24.79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v>67</v>
      </c>
      <c r="C34" s="77">
        <f t="shared" si="6"/>
        <v>127.3</v>
      </c>
      <c r="D34" s="77">
        <f t="shared" si="7"/>
        <v>63.087267000000004</v>
      </c>
      <c r="E34" s="77">
        <f t="shared" si="8"/>
        <v>18.084640000000004</v>
      </c>
      <c r="F34" s="77">
        <f t="shared" si="9"/>
        <v>4.5434174000000001</v>
      </c>
      <c r="G34" s="77">
        <f t="shared" si="5"/>
        <v>1.34E-2</v>
      </c>
      <c r="H34" s="77">
        <f t="shared" si="5"/>
        <v>8.8440000000000005E-2</v>
      </c>
      <c r="I34" s="77">
        <f t="shared" si="5"/>
        <v>3.3500000000000002E-2</v>
      </c>
      <c r="J34" s="77">
        <f t="shared" si="5"/>
        <v>6.7000000000000002E-4</v>
      </c>
      <c r="K34" s="77">
        <f t="shared" si="5"/>
        <v>3.3500000000000001E-3</v>
      </c>
      <c r="L34" s="77">
        <f t="shared" si="5"/>
        <v>1.34E-2</v>
      </c>
      <c r="M34" s="77">
        <f t="shared" si="5"/>
        <v>2.01E-2</v>
      </c>
      <c r="N34" s="77">
        <f t="shared" si="5"/>
        <v>0</v>
      </c>
      <c r="O34" s="77">
        <f t="shared" si="5"/>
        <v>0</v>
      </c>
      <c r="P34" s="77">
        <f t="shared" si="5"/>
        <v>22.713000000000001</v>
      </c>
      <c r="Q34" s="77">
        <f t="shared" si="10"/>
        <v>24.79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v>85</v>
      </c>
      <c r="C35" s="77">
        <f t="shared" si="6"/>
        <v>161.5</v>
      </c>
      <c r="D35" s="77">
        <f t="shared" si="7"/>
        <v>80.036085</v>
      </c>
      <c r="E35" s="77">
        <f t="shared" si="8"/>
        <v>22.943200000000001</v>
      </c>
      <c r="F35" s="77">
        <f t="shared" si="9"/>
        <v>5.7640369999999992</v>
      </c>
      <c r="G35" s="77">
        <f t="shared" si="5"/>
        <v>1.7000000000000001E-2</v>
      </c>
      <c r="H35" s="77">
        <f t="shared" si="5"/>
        <v>0.11219999999999999</v>
      </c>
      <c r="I35" s="77">
        <f t="shared" si="5"/>
        <v>4.2500000000000003E-2</v>
      </c>
      <c r="J35" s="77">
        <f t="shared" si="5"/>
        <v>8.5000000000000006E-4</v>
      </c>
      <c r="K35" s="77">
        <f t="shared" si="5"/>
        <v>4.2500000000000003E-3</v>
      </c>
      <c r="L35" s="77">
        <f t="shared" si="5"/>
        <v>1.7000000000000001E-2</v>
      </c>
      <c r="M35" s="77">
        <f t="shared" si="5"/>
        <v>2.5499999999999998E-2</v>
      </c>
      <c r="N35" s="77">
        <f t="shared" si="5"/>
        <v>0</v>
      </c>
      <c r="O35" s="77">
        <f t="shared" si="5"/>
        <v>0</v>
      </c>
      <c r="P35" s="77">
        <f t="shared" si="5"/>
        <v>28.815000000000001</v>
      </c>
      <c r="Q35" s="77">
        <f t="shared" si="10"/>
        <v>31.45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v>85</v>
      </c>
      <c r="C36" s="77">
        <f t="shared" si="6"/>
        <v>161.5</v>
      </c>
      <c r="D36" s="77">
        <f t="shared" si="7"/>
        <v>80.036085</v>
      </c>
      <c r="E36" s="77">
        <f t="shared" si="8"/>
        <v>22.943200000000001</v>
      </c>
      <c r="F36" s="77">
        <f t="shared" si="9"/>
        <v>5.7640369999999992</v>
      </c>
      <c r="G36" s="77">
        <f t="shared" si="5"/>
        <v>1.7000000000000001E-2</v>
      </c>
      <c r="H36" s="77">
        <f t="shared" si="5"/>
        <v>0.11219999999999999</v>
      </c>
      <c r="I36" s="77">
        <f t="shared" si="5"/>
        <v>4.2500000000000003E-2</v>
      </c>
      <c r="J36" s="77">
        <f t="shared" si="5"/>
        <v>8.5000000000000006E-4</v>
      </c>
      <c r="K36" s="77">
        <f t="shared" si="5"/>
        <v>4.2500000000000003E-3</v>
      </c>
      <c r="L36" s="77">
        <f t="shared" si="5"/>
        <v>1.7000000000000001E-2</v>
      </c>
      <c r="M36" s="77">
        <f t="shared" si="5"/>
        <v>2.5499999999999998E-2</v>
      </c>
      <c r="N36" s="77">
        <f t="shared" si="5"/>
        <v>0</v>
      </c>
      <c r="O36" s="77">
        <f t="shared" si="5"/>
        <v>0</v>
      </c>
      <c r="P36" s="77">
        <f t="shared" si="5"/>
        <v>28.815000000000001</v>
      </c>
      <c r="Q36" s="77">
        <f t="shared" si="10"/>
        <v>31.45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v>130</v>
      </c>
      <c r="C37" s="77">
        <f t="shared" si="6"/>
        <v>247</v>
      </c>
      <c r="D37" s="77">
        <f t="shared" si="7"/>
        <v>122.40813000000001</v>
      </c>
      <c r="E37" s="77">
        <f t="shared" si="8"/>
        <v>35.089600000000004</v>
      </c>
      <c r="F37" s="77">
        <f t="shared" si="9"/>
        <v>8.8155859999999997</v>
      </c>
      <c r="G37" s="77">
        <f t="shared" si="5"/>
        <v>2.6000000000000002E-2</v>
      </c>
      <c r="H37" s="77">
        <f t="shared" si="5"/>
        <v>0.1716</v>
      </c>
      <c r="I37" s="77">
        <f t="shared" si="5"/>
        <v>6.5000000000000002E-2</v>
      </c>
      <c r="J37" s="77">
        <f t="shared" si="5"/>
        <v>1.3000000000000002E-3</v>
      </c>
      <c r="K37" s="77">
        <f t="shared" si="5"/>
        <v>6.5000000000000006E-3</v>
      </c>
      <c r="L37" s="77">
        <f t="shared" si="5"/>
        <v>2.6000000000000002E-2</v>
      </c>
      <c r="M37" s="77">
        <f t="shared" si="5"/>
        <v>3.9E-2</v>
      </c>
      <c r="N37" s="77">
        <f t="shared" si="5"/>
        <v>0</v>
      </c>
      <c r="O37" s="77">
        <f t="shared" si="5"/>
        <v>0</v>
      </c>
      <c r="P37" s="77">
        <f t="shared" si="5"/>
        <v>44.07</v>
      </c>
      <c r="Q37" s="77">
        <f t="shared" si="10"/>
        <v>48.099999999999994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v>130</v>
      </c>
      <c r="C38" s="77">
        <f t="shared" si="6"/>
        <v>247</v>
      </c>
      <c r="D38" s="77">
        <f t="shared" si="7"/>
        <v>122.40813000000001</v>
      </c>
      <c r="E38" s="77">
        <f t="shared" si="8"/>
        <v>35.089600000000004</v>
      </c>
      <c r="F38" s="77">
        <f t="shared" si="9"/>
        <v>8.8155859999999997</v>
      </c>
      <c r="G38" s="77">
        <f t="shared" si="5"/>
        <v>2.6000000000000002E-2</v>
      </c>
      <c r="H38" s="77">
        <f t="shared" si="5"/>
        <v>0.1716</v>
      </c>
      <c r="I38" s="77">
        <f t="shared" si="5"/>
        <v>6.5000000000000002E-2</v>
      </c>
      <c r="J38" s="77">
        <f t="shared" si="5"/>
        <v>1.3000000000000002E-3</v>
      </c>
      <c r="K38" s="77">
        <f t="shared" si="5"/>
        <v>6.5000000000000006E-3</v>
      </c>
      <c r="L38" s="77">
        <f t="shared" si="5"/>
        <v>2.6000000000000002E-2</v>
      </c>
      <c r="M38" s="77">
        <f t="shared" si="5"/>
        <v>3.9E-2</v>
      </c>
      <c r="N38" s="77">
        <f t="shared" si="5"/>
        <v>0</v>
      </c>
      <c r="O38" s="77">
        <f t="shared" si="5"/>
        <v>0</v>
      </c>
      <c r="P38" s="77">
        <f t="shared" si="5"/>
        <v>44.07</v>
      </c>
      <c r="Q38" s="77">
        <f t="shared" si="10"/>
        <v>48.099999999999994</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v>130</v>
      </c>
      <c r="C39" s="77">
        <f t="shared" si="6"/>
        <v>247</v>
      </c>
      <c r="D39" s="77">
        <f t="shared" si="7"/>
        <v>122.40813000000001</v>
      </c>
      <c r="E39" s="77">
        <f t="shared" si="8"/>
        <v>35.089600000000004</v>
      </c>
      <c r="F39" s="77">
        <f t="shared" si="9"/>
        <v>8.8155859999999997</v>
      </c>
      <c r="G39" s="77">
        <f t="shared" si="5"/>
        <v>2.6000000000000002E-2</v>
      </c>
      <c r="H39" s="77">
        <f t="shared" si="5"/>
        <v>0.1716</v>
      </c>
      <c r="I39" s="77">
        <f t="shared" si="5"/>
        <v>6.5000000000000002E-2</v>
      </c>
      <c r="J39" s="77">
        <f t="shared" si="5"/>
        <v>1.3000000000000002E-3</v>
      </c>
      <c r="K39" s="77">
        <f t="shared" si="5"/>
        <v>6.5000000000000006E-3</v>
      </c>
      <c r="L39" s="77">
        <f t="shared" si="5"/>
        <v>2.6000000000000002E-2</v>
      </c>
      <c r="M39" s="77">
        <f t="shared" si="5"/>
        <v>3.9E-2</v>
      </c>
      <c r="N39" s="77">
        <f t="shared" si="5"/>
        <v>0</v>
      </c>
      <c r="O39" s="77">
        <f t="shared" si="5"/>
        <v>0</v>
      </c>
      <c r="P39" s="77">
        <f t="shared" si="5"/>
        <v>44.07</v>
      </c>
      <c r="Q39" s="77">
        <f t="shared" si="10"/>
        <v>48.099999999999994</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v>130</v>
      </c>
      <c r="C40" s="77">
        <f t="shared" si="6"/>
        <v>247</v>
      </c>
      <c r="D40" s="77">
        <f t="shared" si="7"/>
        <v>122.40813000000001</v>
      </c>
      <c r="E40" s="77">
        <f t="shared" si="8"/>
        <v>35.089600000000004</v>
      </c>
      <c r="F40" s="77">
        <f t="shared" si="9"/>
        <v>8.8155859999999997</v>
      </c>
      <c r="G40" s="77">
        <f t="shared" si="5"/>
        <v>2.6000000000000002E-2</v>
      </c>
      <c r="H40" s="77">
        <f t="shared" si="5"/>
        <v>0.1716</v>
      </c>
      <c r="I40" s="77">
        <f t="shared" si="5"/>
        <v>6.5000000000000002E-2</v>
      </c>
      <c r="J40" s="77">
        <f t="shared" si="5"/>
        <v>1.3000000000000002E-3</v>
      </c>
      <c r="K40" s="77">
        <f t="shared" si="5"/>
        <v>6.5000000000000006E-3</v>
      </c>
      <c r="L40" s="77">
        <f t="shared" si="5"/>
        <v>2.6000000000000002E-2</v>
      </c>
      <c r="M40" s="77">
        <f t="shared" si="5"/>
        <v>3.9E-2</v>
      </c>
      <c r="N40" s="77">
        <f t="shared" si="5"/>
        <v>0</v>
      </c>
      <c r="O40" s="77">
        <f t="shared" si="5"/>
        <v>0</v>
      </c>
      <c r="P40" s="77">
        <f t="shared" si="5"/>
        <v>44.07</v>
      </c>
      <c r="Q40" s="77">
        <f t="shared" si="10"/>
        <v>48.099999999999994</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Arable</v>
      </c>
      <c r="D58" s="13" t="str">
        <f>E16&amp;" I "&amp;(VLOOKUP(E14,Table245811[],6,FALSE))</f>
        <v>Medium/Clay I Grass</v>
      </c>
      <c r="E58" s="13" t="str">
        <f>F16&amp;" I "&amp;(VLOOKUP(F14,Table245811[],6,FALSE))</f>
        <v>Medium/Clay I Grass</v>
      </c>
      <c r="F58" s="13" t="str">
        <f>G16&amp;" I "&amp;(VLOOKUP(G14,Table245811[],6,FALSE))</f>
        <v>Medium/Clay I Arable</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6.7</v>
      </c>
      <c r="D59" s="76">
        <f>VLOOKUP(E$14,Table245811[],5,FALSE)</f>
        <v>6.2</v>
      </c>
      <c r="E59" s="76">
        <f>VLOOKUP(F$14,Table245811[],5,FALSE)</f>
        <v>6.2</v>
      </c>
      <c r="F59" s="76">
        <f>VLOOKUP(G$14,Table245811[],5,FALSE)</f>
        <v>6.7</v>
      </c>
      <c r="G59" s="76">
        <f>VLOOKUP(H$14,Table245811[],5,FALSE)</f>
        <v>6.2</v>
      </c>
      <c r="H59" s="76">
        <f>VLOOKUP(I$14,Table245811[],5,FALSE)</f>
        <v>6.2</v>
      </c>
      <c r="I59" s="76">
        <f>VLOOKUP(J$14,Table245811[],5,FALSE)</f>
        <v>6.2</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63</v>
      </c>
      <c r="C62" s="77">
        <f>B32</f>
        <v>67</v>
      </c>
      <c r="D62" s="77">
        <f>B33</f>
        <v>67</v>
      </c>
      <c r="E62" s="77">
        <f>B34</f>
        <v>67</v>
      </c>
      <c r="F62" s="77">
        <f>B35</f>
        <v>85</v>
      </c>
      <c r="G62" s="77">
        <f>B36</f>
        <v>85</v>
      </c>
      <c r="H62" s="77">
        <f>B37</f>
        <v>130</v>
      </c>
      <c r="I62" s="77">
        <f>B38</f>
        <v>130</v>
      </c>
      <c r="J62" s="77">
        <f>B39</f>
        <v>130</v>
      </c>
      <c r="K62" s="77">
        <f>B40</f>
        <v>130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v>5.54</v>
      </c>
      <c r="J1" s="119" t="s">
        <v>153</v>
      </c>
      <c r="K1" s="119"/>
      <c r="L1" s="97">
        <v>329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t="s">
        <v>178</v>
      </c>
      <c r="G2" s="138" t="s">
        <v>110</v>
      </c>
      <c r="H2" s="139"/>
      <c r="I2" s="118">
        <v>1349</v>
      </c>
      <c r="J2" s="119" t="s">
        <v>158</v>
      </c>
      <c r="K2" s="119"/>
      <c r="L2" s="97">
        <v>0.25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t="s">
        <v>78</v>
      </c>
      <c r="G3" s="119" t="s">
        <v>159</v>
      </c>
      <c r="H3" s="119"/>
      <c r="I3" s="118">
        <v>3460</v>
      </c>
      <c r="J3" s="120" t="s">
        <v>154</v>
      </c>
      <c r="K3" s="121"/>
      <c r="L3" s="97">
        <f>(L1/(L2*10000))*100</f>
        <v>13.16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t="s">
        <v>183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57.609485999999997</v>
      </c>
      <c r="D18" s="16">
        <f>$D32</f>
        <v>64.010540000000006</v>
      </c>
      <c r="E18" s="16">
        <f>$D33</f>
        <v>64.010540000000006</v>
      </c>
      <c r="F18" s="16">
        <f>$D34</f>
        <v>64.010540000000006</v>
      </c>
      <c r="G18" s="16">
        <f>$D35</f>
        <v>80.01317499999999</v>
      </c>
      <c r="H18" s="16">
        <f>$D36</f>
        <v>64.010540000000006</v>
      </c>
      <c r="I18" s="16">
        <f>$D37</f>
        <v>131.22160700000001</v>
      </c>
      <c r="J18" s="16">
        <f>$D38</f>
        <v>208.034255</v>
      </c>
      <c r="K18" s="16">
        <f>$D39</f>
        <v>208.034255</v>
      </c>
      <c r="L18" s="16">
        <f>$D40</f>
        <v>208.034255</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-1.8905140000000031</v>
      </c>
      <c r="D19" s="16">
        <f t="shared" ref="D19:V19" si="1">D18-D17</f>
        <v>0.26054000000000599</v>
      </c>
      <c r="E19" s="16">
        <f t="shared" si="1"/>
        <v>-0.58945999999998833</v>
      </c>
      <c r="F19" s="16">
        <f t="shared" si="1"/>
        <v>-0.58945999999998833</v>
      </c>
      <c r="G19" s="16">
        <f t="shared" si="1"/>
        <v>75.813174999999987</v>
      </c>
      <c r="H19" s="16">
        <f t="shared" si="1"/>
        <v>-0.58945999999998833</v>
      </c>
      <c r="I19" s="16">
        <f t="shared" si="1"/>
        <v>71.721607000000006</v>
      </c>
      <c r="J19" s="16">
        <f t="shared" si="1"/>
        <v>143.43425500000001</v>
      </c>
      <c r="K19" s="16">
        <f t="shared" si="1"/>
        <v>143.43425500000001</v>
      </c>
      <c r="L19" s="16">
        <f t="shared" si="1"/>
        <v>143.43425500000001</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INCREASE</v>
      </c>
      <c r="E20" s="26" t="str">
        <f>IF($B33="","",IF(E$19&gt;=0,"INCREASE","DECREASE"))</f>
        <v>DECREASE</v>
      </c>
      <c r="F20" s="26" t="str">
        <f>IF($B34="","",IF(F$19&gt;=0,"INCREASE","DECREASE"))</f>
        <v>DECREASE</v>
      </c>
      <c r="G20" s="26" t="str">
        <f>IF($B35="","",IF(G$19&gt;=0,"INCREASE","DECREASE"))</f>
        <v>INCREASE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10.129230000000002</v>
      </c>
      <c r="D22" s="16">
        <f>$E32</f>
        <v>11.2547</v>
      </c>
      <c r="E22" s="16">
        <f>$E33</f>
        <v>11.2547</v>
      </c>
      <c r="F22" s="16">
        <f>$E34</f>
        <v>11.2547</v>
      </c>
      <c r="G22" s="16">
        <f>$E35</f>
        <v>14.068375000000001</v>
      </c>
      <c r="H22" s="16">
        <f>$E36</f>
        <v>11.2547</v>
      </c>
      <c r="I22" s="16">
        <f>$E37</f>
        <v>23.072135000000003</v>
      </c>
      <c r="J22" s="16">
        <f>$E38</f>
        <v>36.577775000000003</v>
      </c>
      <c r="K22" s="16">
        <f>$E39</f>
        <v>36.577775000000003</v>
      </c>
      <c r="L22" s="16">
        <f>$E40</f>
        <v>36.577775000000003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-199.87076999999999</v>
      </c>
      <c r="D23" s="16">
        <f t="shared" ref="D23:V23" si="3">D22-D21</f>
        <v>-67.4953</v>
      </c>
      <c r="E23" s="16">
        <f t="shared" si="3"/>
        <v>-216.74529999999999</v>
      </c>
      <c r="F23" s="16">
        <f t="shared" si="3"/>
        <v>-216.74529999999999</v>
      </c>
      <c r="G23" s="16">
        <f t="shared" si="3"/>
        <v>-9.9316249999999986</v>
      </c>
      <c r="H23" s="16">
        <f t="shared" si="3"/>
        <v>-216.74529999999999</v>
      </c>
      <c r="I23" s="16">
        <f t="shared" si="3"/>
        <v>-186.927865</v>
      </c>
      <c r="J23" s="16">
        <f t="shared" si="3"/>
        <v>-191.422225</v>
      </c>
      <c r="K23" s="16">
        <f t="shared" si="3"/>
        <v>-191.422225</v>
      </c>
      <c r="L23" s="16">
        <f t="shared" si="3"/>
        <v>-191.422225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5.78</v>
      </c>
      <c r="C28" s="15">
        <v>0.25</v>
      </c>
      <c r="D28" s="15">
        <v>1397</v>
      </c>
      <c r="E28" s="15">
        <v>467</v>
      </c>
      <c r="F28" s="15">
        <v>57.9</v>
      </c>
      <c r="G28" s="15">
        <v>0.23200000000000001</v>
      </c>
      <c r="H28" s="15">
        <v>3.17</v>
      </c>
      <c r="I28" s="15">
        <v>0.5</v>
      </c>
      <c r="J28" s="15">
        <v>0.01</v>
      </c>
      <c r="K28" s="23">
        <v>0.05</v>
      </c>
      <c r="L28" s="15">
        <v>0.2</v>
      </c>
      <c r="M28" s="15">
        <v>0.31900000000000001</v>
      </c>
      <c r="N28" s="15"/>
      <c r="O28" s="15"/>
      <c r="P28" s="15">
        <v>1133</v>
      </c>
      <c r="Q28" s="15">
        <v>165</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v>18</v>
      </c>
      <c r="C31" s="77">
        <f>IF(C$27="%w/w SAR",((C$28*10)*$B31),IF(C$27="%w/w DM",(((C$28*10)*($B$28/100))*$B31),IF(C$27="kg/t SAR",(C$28*$B31),IF(C$27="kg/t DM",((C$28*($B$28/100))*$B31),IF(C$27="mg/kg SAR",((C$28*0.001)*$B31),IF(C$27="mg/kg DM",(((C$28*0.001)*($B$28/100))*$B31),0))))))</f>
        <v>45</v>
      </c>
      <c r="D31" s="77">
        <f>(IF(D$27="%w/w SAR",((D$28*10)*$B31),IF(D$27="%w/w DM",(((D$28*10)*($B$28/100))*$B31),IF(D$27="kg/t SAR",(D$28*$B31),IF(D$27="kg/t DM",((D$28*($B$28/100))*$B31),IF(D$27="mg/kg SAR",((D$28*0.001)*$B31),IF(D$27="mg/kg DM",(((D$28*0.001)*($B$28/100))*$B31),"0")))))))*2.291</f>
        <v>57.609485999999997</v>
      </c>
      <c r="E31" s="77">
        <f>(IF(E$27="%w/w SAR",((E$28*10)*$B31),IF(E$27="%w/w DM",(((E$28*10)*($B$28/100))*$B31),IF(E$27="kg/t SAR",(E$28*$B31),IF(E$27="kg/t DM",((E$28*($B$28/100))*$B31),IF(E$27="mg/kg SAR",((E$28*0.001)*$B31),IF(E$27="mg/kg DM",(((E$28*0.001)*($B$28/100))*$B31),"0")))))))*1.205</f>
        <v>10.129230000000002</v>
      </c>
      <c r="F31" s="77">
        <f>(IF(F$27="%w/w SAR",((F$28*10)*$B31),IF(F$27="%w/w DM",(((F$28*10)*($B$28/100))*$B31),IF(F$27="kg/t SAR",(F$28*$B31),IF(F$27="kg/t DM",((F$28*($B$28/100))*$B31),IF(F$27="mg/kg SAR",((F$28*0.001)*$B31),IF(F$27="mg/kg DM",(((F$28*0.001)*($B$28/100))*$B31),"0")))))))*1.658</f>
        <v>1.7279675999999999</v>
      </c>
      <c r="G31" s="77">
        <f t="shared" ref="G31:P46" si="5">IF(G$27="%w/w SAR",((G$28*10)*$B31),IF(G$27="%w/w DM",(((G$28*10)*($B$28/100))*$B31),IF(G$27="kg/t SAR",(G$28*$B31),IF(G$27="kg/t DM",((G$28*($B$28/100))*$B31),IF(G$27="mg/kg SAR",((G$28*0.001)*$B31),IF(G$27="mg/kg DM",(((G$28*0.001)*($B$28/100))*$B31),0))))))</f>
        <v>4.1760000000000009E-3</v>
      </c>
      <c r="H31" s="77">
        <f t="shared" si="5"/>
        <v>5.706E-2</v>
      </c>
      <c r="I31" s="77">
        <f t="shared" si="5"/>
        <v>9.0000000000000011E-3</v>
      </c>
      <c r="J31" s="77">
        <f t="shared" si="5"/>
        <v>1.8000000000000001E-4</v>
      </c>
      <c r="K31" s="77">
        <f t="shared" si="5"/>
        <v>9.0000000000000008E-4</v>
      </c>
      <c r="L31" s="77">
        <f t="shared" si="5"/>
        <v>3.6000000000000003E-3</v>
      </c>
      <c r="M31" s="77">
        <f t="shared" si="5"/>
        <v>5.7419999999999997E-3</v>
      </c>
      <c r="N31" s="77">
        <f t="shared" si="5"/>
        <v>0</v>
      </c>
      <c r="O31" s="77">
        <f t="shared" si="5"/>
        <v>0</v>
      </c>
      <c r="P31" s="77">
        <f t="shared" si="5"/>
        <v>20.393999999999998</v>
      </c>
      <c r="Q31" s="77">
        <f>(IF(Q$27="%w/w SAR",((Q$28*10)*$B31),IF(Q$27="%w/w DM",(((Q$28*10)*($B$28/100))*$B31),IF(Q$27="kg/t SAR",(Q$28*$B31),IF(Q$27="kg/t DM",((Q$28*($B$28/100))*$B31),IF(Q$27="mg/kg SAR",((Q$28*0.001)*$B31),IF(Q$27="mg/kg DM",(((Q$28*0.001)*($B$28/100))*$B31),0)))))))*2.5</f>
        <v>7.4250000000000007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v>20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64.010540000000006</v>
      </c>
      <c r="E32" s="77">
        <f t="shared" ref="E32:E50" si="8">(IF(E$27="%w/w SAR",((E$28*10)*$B32),IF(E$27="%w/w DM",(((E$28*10)*($B$28/100))*$B32),IF(E$27="kg/t SAR",(E$28*$B32),IF(E$27="kg/t DM",((E$28*($B$28/100))*$B32),IF(E$27="mg/kg SAR",((E$28*0.001)*$B32),IF(E$27="mg/kg DM",(((E$28*0.001)*($B$28/100))*$B32),"0")))))))*1.205</f>
        <v>11.2547</v>
      </c>
      <c r="F32" s="77">
        <f t="shared" ref="F32:F50" si="9">(IF(F$27="%w/w SAR",((F$28*10)*$B32),IF(F$27="%w/w DM",(((F$28*10)*($B$28/100))*$B32),IF(F$27="kg/t SAR",(F$28*$B32),IF(F$27="kg/t DM",((F$28*($B$28/100))*$B32),IF(F$27="mg/kg SAR",((F$28*0.001)*$B32),IF(F$27="mg/kg DM",(((F$28*0.001)*($B$28/100))*$B32),"0")))))))*1.658</f>
        <v>1.9199639999999998</v>
      </c>
      <c r="G32" s="77">
        <f t="shared" si="5"/>
        <v>4.6400000000000009E-3</v>
      </c>
      <c r="H32" s="77">
        <f t="shared" si="5"/>
        <v>6.3399999999999998E-2</v>
      </c>
      <c r="I32" s="77">
        <f t="shared" si="5"/>
        <v>0.01</v>
      </c>
      <c r="J32" s="77">
        <f t="shared" si="5"/>
        <v>2.0000000000000001E-4</v>
      </c>
      <c r="K32" s="77">
        <f t="shared" si="5"/>
        <v>1E-3</v>
      </c>
      <c r="L32" s="77">
        <f t="shared" si="5"/>
        <v>4.0000000000000001E-3</v>
      </c>
      <c r="M32" s="77">
        <f t="shared" si="5"/>
        <v>6.3800000000000003E-3</v>
      </c>
      <c r="N32" s="77">
        <f t="shared" si="5"/>
        <v>0</v>
      </c>
      <c r="O32" s="77">
        <f t="shared" si="5"/>
        <v>0</v>
      </c>
      <c r="P32" s="77">
        <f t="shared" si="5"/>
        <v>22.66</v>
      </c>
      <c r="Q32" s="77">
        <f t="shared" ref="Q32:Q50" si="10">(IF(Q$27="%w/w SAR",((Q$28*10)*$B32),IF(Q$27="%w/w DM",(((Q$28*10)*($B$28/100))*$B32),IF(Q$27="kg/t SAR",(Q$28*$B32),IF(Q$27="kg/t DM",((Q$28*($B$28/100))*$B32),IF(Q$27="mg/kg SAR",((Q$28*0.001)*$B32),IF(Q$27="mg/kg DM",(((Q$28*0.001)*($B$28/100))*$B32),0)))))))*2.5</f>
        <v>8.25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v>20</v>
      </c>
      <c r="C33" s="77">
        <f t="shared" si="6"/>
        <v>50</v>
      </c>
      <c r="D33" s="77">
        <f t="shared" si="7"/>
        <v>64.010540000000006</v>
      </c>
      <c r="E33" s="77">
        <f t="shared" si="8"/>
        <v>11.2547</v>
      </c>
      <c r="F33" s="77">
        <f t="shared" si="9"/>
        <v>1.9199639999999998</v>
      </c>
      <c r="G33" s="77">
        <f t="shared" si="5"/>
        <v>4.6400000000000009E-3</v>
      </c>
      <c r="H33" s="77">
        <f t="shared" si="5"/>
        <v>6.3399999999999998E-2</v>
      </c>
      <c r="I33" s="77">
        <f t="shared" si="5"/>
        <v>0.01</v>
      </c>
      <c r="J33" s="77">
        <f t="shared" si="5"/>
        <v>2.0000000000000001E-4</v>
      </c>
      <c r="K33" s="77">
        <f t="shared" si="5"/>
        <v>1E-3</v>
      </c>
      <c r="L33" s="77">
        <f t="shared" si="5"/>
        <v>4.0000000000000001E-3</v>
      </c>
      <c r="M33" s="77">
        <f t="shared" si="5"/>
        <v>6.3800000000000003E-3</v>
      </c>
      <c r="N33" s="77">
        <f t="shared" si="5"/>
        <v>0</v>
      </c>
      <c r="O33" s="77">
        <f t="shared" si="5"/>
        <v>0</v>
      </c>
      <c r="P33" s="77">
        <f t="shared" si="5"/>
        <v>22.66</v>
      </c>
      <c r="Q33" s="77">
        <f t="shared" si="10"/>
        <v>8.25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v>20</v>
      </c>
      <c r="C34" s="77">
        <f t="shared" si="6"/>
        <v>50</v>
      </c>
      <c r="D34" s="77">
        <f t="shared" si="7"/>
        <v>64.010540000000006</v>
      </c>
      <c r="E34" s="77">
        <f t="shared" si="8"/>
        <v>11.2547</v>
      </c>
      <c r="F34" s="77">
        <f t="shared" si="9"/>
        <v>1.9199639999999998</v>
      </c>
      <c r="G34" s="77">
        <f t="shared" si="5"/>
        <v>4.6400000000000009E-3</v>
      </c>
      <c r="H34" s="77">
        <f t="shared" si="5"/>
        <v>6.3399999999999998E-2</v>
      </c>
      <c r="I34" s="77">
        <f t="shared" si="5"/>
        <v>0.01</v>
      </c>
      <c r="J34" s="77">
        <f t="shared" si="5"/>
        <v>2.0000000000000001E-4</v>
      </c>
      <c r="K34" s="77">
        <f t="shared" si="5"/>
        <v>1E-3</v>
      </c>
      <c r="L34" s="77">
        <f t="shared" si="5"/>
        <v>4.0000000000000001E-3</v>
      </c>
      <c r="M34" s="77">
        <f t="shared" si="5"/>
        <v>6.3800000000000003E-3</v>
      </c>
      <c r="N34" s="77">
        <f t="shared" si="5"/>
        <v>0</v>
      </c>
      <c r="O34" s="77">
        <f t="shared" si="5"/>
        <v>0</v>
      </c>
      <c r="P34" s="77">
        <f t="shared" si="5"/>
        <v>22.66</v>
      </c>
      <c r="Q34" s="77">
        <f t="shared" si="10"/>
        <v>8.25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v>25</v>
      </c>
      <c r="C35" s="77">
        <f t="shared" si="6"/>
        <v>62.5</v>
      </c>
      <c r="D35" s="77">
        <f t="shared" si="7"/>
        <v>80.01317499999999</v>
      </c>
      <c r="E35" s="77">
        <f t="shared" si="8"/>
        <v>14.068375000000001</v>
      </c>
      <c r="F35" s="77">
        <f t="shared" si="9"/>
        <v>2.3999549999999998</v>
      </c>
      <c r="G35" s="77">
        <f t="shared" si="5"/>
        <v>5.8000000000000005E-3</v>
      </c>
      <c r="H35" s="77">
        <f t="shared" si="5"/>
        <v>7.9250000000000001E-2</v>
      </c>
      <c r="I35" s="77">
        <f t="shared" si="5"/>
        <v>1.2500000000000001E-2</v>
      </c>
      <c r="J35" s="77">
        <f t="shared" si="5"/>
        <v>2.5000000000000001E-4</v>
      </c>
      <c r="K35" s="77">
        <f t="shared" si="5"/>
        <v>1.25E-3</v>
      </c>
      <c r="L35" s="77">
        <f t="shared" si="5"/>
        <v>5.0000000000000001E-3</v>
      </c>
      <c r="M35" s="77">
        <f t="shared" si="5"/>
        <v>7.9749999999999995E-3</v>
      </c>
      <c r="N35" s="77">
        <f t="shared" si="5"/>
        <v>0</v>
      </c>
      <c r="O35" s="77">
        <f t="shared" si="5"/>
        <v>0</v>
      </c>
      <c r="P35" s="77">
        <f t="shared" si="5"/>
        <v>28.324999999999999</v>
      </c>
      <c r="Q35" s="77">
        <f t="shared" si="10"/>
        <v>10.3125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v>20</v>
      </c>
      <c r="C36" s="77">
        <f t="shared" si="6"/>
        <v>50</v>
      </c>
      <c r="D36" s="77">
        <f t="shared" si="7"/>
        <v>64.010540000000006</v>
      </c>
      <c r="E36" s="77">
        <f t="shared" si="8"/>
        <v>11.2547</v>
      </c>
      <c r="F36" s="77">
        <f t="shared" si="9"/>
        <v>1.9199639999999998</v>
      </c>
      <c r="G36" s="77">
        <f t="shared" si="5"/>
        <v>4.6400000000000009E-3</v>
      </c>
      <c r="H36" s="77">
        <f t="shared" si="5"/>
        <v>6.3399999999999998E-2</v>
      </c>
      <c r="I36" s="77">
        <f t="shared" si="5"/>
        <v>0.01</v>
      </c>
      <c r="J36" s="77">
        <f t="shared" si="5"/>
        <v>2.0000000000000001E-4</v>
      </c>
      <c r="K36" s="77">
        <f t="shared" si="5"/>
        <v>1E-3</v>
      </c>
      <c r="L36" s="77">
        <f t="shared" si="5"/>
        <v>4.0000000000000001E-3</v>
      </c>
      <c r="M36" s="77">
        <f t="shared" si="5"/>
        <v>6.3800000000000003E-3</v>
      </c>
      <c r="N36" s="77">
        <f t="shared" si="5"/>
        <v>0</v>
      </c>
      <c r="O36" s="77">
        <f t="shared" si="5"/>
        <v>0</v>
      </c>
      <c r="P36" s="77">
        <f t="shared" si="5"/>
        <v>22.66</v>
      </c>
      <c r="Q36" s="77">
        <f t="shared" si="10"/>
        <v>8.25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v>41</v>
      </c>
      <c r="C37" s="77">
        <f t="shared" si="6"/>
        <v>102.5</v>
      </c>
      <c r="D37" s="77">
        <f t="shared" si="7"/>
        <v>131.22160700000001</v>
      </c>
      <c r="E37" s="77">
        <f t="shared" si="8"/>
        <v>23.072135000000003</v>
      </c>
      <c r="F37" s="77">
        <f t="shared" si="9"/>
        <v>3.9359261999999995</v>
      </c>
      <c r="G37" s="77">
        <f t="shared" si="5"/>
        <v>9.5120000000000014E-3</v>
      </c>
      <c r="H37" s="77">
        <f t="shared" si="5"/>
        <v>0.12997</v>
      </c>
      <c r="I37" s="77">
        <f t="shared" si="5"/>
        <v>2.0500000000000001E-2</v>
      </c>
      <c r="J37" s="77">
        <f t="shared" si="5"/>
        <v>4.1000000000000005E-4</v>
      </c>
      <c r="K37" s="77">
        <f t="shared" si="5"/>
        <v>2.0500000000000002E-3</v>
      </c>
      <c r="L37" s="77">
        <f t="shared" si="5"/>
        <v>8.2000000000000007E-3</v>
      </c>
      <c r="M37" s="77">
        <f t="shared" si="5"/>
        <v>1.3079E-2</v>
      </c>
      <c r="N37" s="77">
        <f t="shared" si="5"/>
        <v>0</v>
      </c>
      <c r="O37" s="77">
        <f t="shared" si="5"/>
        <v>0</v>
      </c>
      <c r="P37" s="77">
        <f t="shared" si="5"/>
        <v>46.453000000000003</v>
      </c>
      <c r="Q37" s="77">
        <f t="shared" si="10"/>
        <v>16.912500000000001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v>65</v>
      </c>
      <c r="C38" s="77">
        <f t="shared" si="6"/>
        <v>162.5</v>
      </c>
      <c r="D38" s="77">
        <f t="shared" si="7"/>
        <v>208.034255</v>
      </c>
      <c r="E38" s="77">
        <f t="shared" si="8"/>
        <v>36.577775000000003</v>
      </c>
      <c r="F38" s="77">
        <f t="shared" si="9"/>
        <v>6.2398829999999998</v>
      </c>
      <c r="G38" s="77">
        <f t="shared" si="5"/>
        <v>1.5080000000000001E-2</v>
      </c>
      <c r="H38" s="77">
        <f t="shared" si="5"/>
        <v>0.20605000000000001</v>
      </c>
      <c r="I38" s="77">
        <f t="shared" si="5"/>
        <v>3.2500000000000001E-2</v>
      </c>
      <c r="J38" s="77">
        <f t="shared" si="5"/>
        <v>6.5000000000000008E-4</v>
      </c>
      <c r="K38" s="77">
        <f t="shared" si="5"/>
        <v>3.2500000000000003E-3</v>
      </c>
      <c r="L38" s="77">
        <f t="shared" si="5"/>
        <v>1.3000000000000001E-2</v>
      </c>
      <c r="M38" s="77">
        <f t="shared" si="5"/>
        <v>2.0735E-2</v>
      </c>
      <c r="N38" s="77">
        <f t="shared" si="5"/>
        <v>0</v>
      </c>
      <c r="O38" s="77">
        <f t="shared" si="5"/>
        <v>0</v>
      </c>
      <c r="P38" s="77">
        <f t="shared" si="5"/>
        <v>73.644999999999996</v>
      </c>
      <c r="Q38" s="77">
        <f t="shared" si="10"/>
        <v>26.8125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v>65</v>
      </c>
      <c r="C39" s="77">
        <f t="shared" si="6"/>
        <v>162.5</v>
      </c>
      <c r="D39" s="77">
        <f t="shared" si="7"/>
        <v>208.034255</v>
      </c>
      <c r="E39" s="77">
        <f t="shared" si="8"/>
        <v>36.577775000000003</v>
      </c>
      <c r="F39" s="77">
        <f t="shared" si="9"/>
        <v>6.2398829999999998</v>
      </c>
      <c r="G39" s="77">
        <f t="shared" si="5"/>
        <v>1.5080000000000001E-2</v>
      </c>
      <c r="H39" s="77">
        <f t="shared" si="5"/>
        <v>0.20605000000000001</v>
      </c>
      <c r="I39" s="77">
        <f t="shared" si="5"/>
        <v>3.2500000000000001E-2</v>
      </c>
      <c r="J39" s="77">
        <f t="shared" si="5"/>
        <v>6.5000000000000008E-4</v>
      </c>
      <c r="K39" s="77">
        <f t="shared" si="5"/>
        <v>3.2500000000000003E-3</v>
      </c>
      <c r="L39" s="77">
        <f t="shared" si="5"/>
        <v>1.3000000000000001E-2</v>
      </c>
      <c r="M39" s="77">
        <f t="shared" si="5"/>
        <v>2.0735E-2</v>
      </c>
      <c r="N39" s="77">
        <f t="shared" si="5"/>
        <v>0</v>
      </c>
      <c r="O39" s="77">
        <f t="shared" si="5"/>
        <v>0</v>
      </c>
      <c r="P39" s="77">
        <f t="shared" si="5"/>
        <v>73.644999999999996</v>
      </c>
      <c r="Q39" s="77">
        <f t="shared" si="10"/>
        <v>26.8125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v>65</v>
      </c>
      <c r="C40" s="77">
        <f t="shared" si="6"/>
        <v>162.5</v>
      </c>
      <c r="D40" s="77">
        <f t="shared" si="7"/>
        <v>208.034255</v>
      </c>
      <c r="E40" s="77">
        <f t="shared" si="8"/>
        <v>36.577775000000003</v>
      </c>
      <c r="F40" s="77">
        <f t="shared" si="9"/>
        <v>6.2398829999999998</v>
      </c>
      <c r="G40" s="77">
        <f t="shared" si="5"/>
        <v>1.5080000000000001E-2</v>
      </c>
      <c r="H40" s="77">
        <f t="shared" si="5"/>
        <v>0.20605000000000001</v>
      </c>
      <c r="I40" s="77">
        <f t="shared" si="5"/>
        <v>3.2500000000000001E-2</v>
      </c>
      <c r="J40" s="77">
        <f t="shared" si="5"/>
        <v>6.5000000000000008E-4</v>
      </c>
      <c r="K40" s="77">
        <f t="shared" si="5"/>
        <v>3.2500000000000003E-3</v>
      </c>
      <c r="L40" s="77">
        <f t="shared" si="5"/>
        <v>1.3000000000000001E-2</v>
      </c>
      <c r="M40" s="77">
        <f t="shared" si="5"/>
        <v>2.0735E-2</v>
      </c>
      <c r="N40" s="77">
        <f t="shared" si="5"/>
        <v>0</v>
      </c>
      <c r="O40" s="77">
        <f t="shared" si="5"/>
        <v>0</v>
      </c>
      <c r="P40" s="77">
        <f t="shared" si="5"/>
        <v>73.644999999999996</v>
      </c>
      <c r="Q40" s="77">
        <f t="shared" si="10"/>
        <v>26.8125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Arable</v>
      </c>
      <c r="D58" s="13" t="str">
        <f>E16&amp;" I "&amp;(VLOOKUP(E14,Table24581112[],6,FALSE))</f>
        <v>Medium/Clay I Grass</v>
      </c>
      <c r="E58" s="13" t="str">
        <f>F16&amp;" I "&amp;(VLOOKUP(F14,Table24581112[],6,FALSE))</f>
        <v>Medium/Clay I Grass</v>
      </c>
      <c r="F58" s="13" t="str">
        <f>G16&amp;" I "&amp;(VLOOKUP(G14,Table24581112[],6,FALSE))</f>
        <v>Medium/Clay I Arable</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6.7</v>
      </c>
      <c r="D59" s="76">
        <f>VLOOKUP(E$14,Table24581112[],5,FALSE)</f>
        <v>6.2</v>
      </c>
      <c r="E59" s="76">
        <f>VLOOKUP(F$14,Table24581112[],5,FALSE)</f>
        <v>6.2</v>
      </c>
      <c r="F59" s="76">
        <f>VLOOKUP(G$14,Table24581112[],5,FALSE)</f>
        <v>6.7</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v>
      </c>
      <c r="C62" s="77">
        <f>B32</f>
        <v>20</v>
      </c>
      <c r="D62" s="77">
        <f>B33</f>
        <v>20</v>
      </c>
      <c r="E62" s="77">
        <f>B34</f>
        <v>20</v>
      </c>
      <c r="F62" s="77">
        <f>B35</f>
        <v>25</v>
      </c>
      <c r="G62" s="77">
        <f>B36</f>
        <v>20</v>
      </c>
      <c r="H62" s="77">
        <f>B37</f>
        <v>41</v>
      </c>
      <c r="I62" s="77">
        <f>B38</f>
        <v>65</v>
      </c>
      <c r="J62" s="77">
        <f>B39</f>
        <v>65</v>
      </c>
      <c r="K62" s="77">
        <f>B40</f>
        <v>65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-59.5</v>
      </c>
      <c r="D19" s="16">
        <f t="shared" ref="D19:V19" si="1">D18-D17</f>
        <v>-63.75</v>
      </c>
      <c r="E19" s="16">
        <f t="shared" si="1"/>
        <v>-64.599999999999994</v>
      </c>
      <c r="F19" s="16">
        <f t="shared" si="1"/>
        <v>-64.599999999999994</v>
      </c>
      <c r="G19" s="16">
        <f t="shared" si="1"/>
        <v>-4.1999999999999993</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-210</v>
      </c>
      <c r="D23" s="16">
        <f t="shared" ref="D23:V23" si="3">D22-D21</f>
        <v>-78.75</v>
      </c>
      <c r="E23" s="16">
        <f t="shared" si="3"/>
        <v>-228</v>
      </c>
      <c r="F23" s="16">
        <f t="shared" si="3"/>
        <v>-228</v>
      </c>
      <c r="G23" s="16">
        <f t="shared" si="3"/>
        <v>-24</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Arable</v>
      </c>
      <c r="D58" s="13" t="str">
        <f>E16&amp;" I "&amp;(VLOOKUP(E14,Table24581114[],6,FALSE))</f>
        <v>Medium/Clay I Grass</v>
      </c>
      <c r="E58" s="13" t="str">
        <f>F16&amp;" I "&amp;(VLOOKUP(F14,Table24581114[],6,FALSE))</f>
        <v>Medium/Clay I Grass</v>
      </c>
      <c r="F58" s="13" t="str">
        <f>G16&amp;" I "&amp;(VLOOKUP(G14,Table24581114[],6,FALSE))</f>
        <v>Medium/Clay I Arable</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6.7</v>
      </c>
      <c r="D59" s="76">
        <f>VLOOKUP(E$14,Table24581114[],5,FALSE)</f>
        <v>6.2</v>
      </c>
      <c r="E59" s="76">
        <f>VLOOKUP(F$14,Table24581114[],5,FALSE)</f>
        <v>6.2</v>
      </c>
      <c r="F59" s="76">
        <f>VLOOKUP(G$14,Table24581114[],5,FALSE)</f>
        <v>6.7</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-59.5</v>
      </c>
      <c r="D19" s="16">
        <f t="shared" ref="D19:V19" si="1">D18-D17</f>
        <v>-63.75</v>
      </c>
      <c r="E19" s="16">
        <f t="shared" si="1"/>
        <v>-64.599999999999994</v>
      </c>
      <c r="F19" s="16">
        <f t="shared" si="1"/>
        <v>-64.599999999999994</v>
      </c>
      <c r="G19" s="16">
        <f t="shared" si="1"/>
        <v>-4.1999999999999993</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-210</v>
      </c>
      <c r="D23" s="16">
        <f t="shared" ref="D23:V23" si="3">D22-D21</f>
        <v>-78.75</v>
      </c>
      <c r="E23" s="16">
        <f t="shared" si="3"/>
        <v>-228</v>
      </c>
      <c r="F23" s="16">
        <f t="shared" si="3"/>
        <v>-228</v>
      </c>
      <c r="G23" s="16">
        <f t="shared" si="3"/>
        <v>-24</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Arable</v>
      </c>
      <c r="D58" s="13" t="str">
        <f>E16&amp;" I "&amp;(VLOOKUP(E14,Table245810[],6,FALSE))</f>
        <v>Medium/Clay I Grass</v>
      </c>
      <c r="E58" s="13" t="str">
        <f>F16&amp;" I "&amp;(VLOOKUP(F14,Table245810[],6,FALSE))</f>
        <v>Medium/Clay I Grass</v>
      </c>
      <c r="F58" s="13" t="str">
        <f>G16&amp;" I "&amp;(VLOOKUP(G14,Table245810[],6,FALSE))</f>
        <v>Medium/Clay I Arable</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6.7</v>
      </c>
      <c r="D59" s="76">
        <f>VLOOKUP(E$14,Table245810[],5,FALSE)</f>
        <v>6.2</v>
      </c>
      <c r="E59" s="76">
        <f>VLOOKUP(F$14,Table245810[],5,FALSE)</f>
        <v>6.2</v>
      </c>
      <c r="F59" s="76">
        <f>VLOOKUP(G$14,Table245810[],5,FALSE)</f>
        <v>6.7</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-59.5</v>
      </c>
      <c r="D19" s="16">
        <f t="shared" ref="D19:V19" si="1">D18-D17</f>
        <v>-63.75</v>
      </c>
      <c r="E19" s="16">
        <f t="shared" si="1"/>
        <v>-64.599999999999994</v>
      </c>
      <c r="F19" s="16">
        <f t="shared" si="1"/>
        <v>-64.599999999999994</v>
      </c>
      <c r="G19" s="16">
        <f t="shared" si="1"/>
        <v>-4.1999999999999993</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-210</v>
      </c>
      <c r="D23" s="16">
        <f t="shared" ref="D23:V23" si="3">D22-D21</f>
        <v>-78.75</v>
      </c>
      <c r="E23" s="16">
        <f t="shared" si="3"/>
        <v>-228</v>
      </c>
      <c r="F23" s="16">
        <f t="shared" si="3"/>
        <v>-228</v>
      </c>
      <c r="G23" s="16">
        <f t="shared" si="3"/>
        <v>-24</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Arable</v>
      </c>
      <c r="D58" s="13" t="str">
        <f>E16&amp;" I "&amp;(VLOOKUP(E14,Table2458[],6,FALSE))</f>
        <v>Medium/Clay I Grass</v>
      </c>
      <c r="E58" s="13" t="str">
        <f>F16&amp;" I "&amp;(VLOOKUP(F14,Table2458[],6,FALSE))</f>
        <v>Medium/Clay I Grass</v>
      </c>
      <c r="F58" s="13" t="str">
        <f>G16&amp;" I "&amp;(VLOOKUP(G14,Table2458[],6,FALSE))</f>
        <v>Medium/Clay I Arable</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6.7</v>
      </c>
      <c r="D59" s="76">
        <f>VLOOKUP(E$14,Table2458[],5,FALSE)</f>
        <v>6.2</v>
      </c>
      <c r="E59" s="76">
        <f>VLOOKUP(F$14,Table2458[],5,FALSE)</f>
        <v>6.2</v>
      </c>
      <c r="F59" s="76">
        <f>VLOOKUP(G$14,Table2458[],5,FALSE)</f>
        <v>6.7</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-59.5</v>
      </c>
      <c r="D19" s="16">
        <f t="shared" ref="D19:V19" si="1">D18-D17</f>
        <v>-63.75</v>
      </c>
      <c r="E19" s="16">
        <f t="shared" si="1"/>
        <v>-64.599999999999994</v>
      </c>
      <c r="F19" s="16">
        <f t="shared" si="1"/>
        <v>-64.599999999999994</v>
      </c>
      <c r="G19" s="16">
        <f t="shared" si="1"/>
        <v>-4.1999999999999993</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-210</v>
      </c>
      <c r="D23" s="16">
        <f t="shared" ref="D23:V23" si="3">D22-D21</f>
        <v>-78.75</v>
      </c>
      <c r="E23" s="16">
        <f t="shared" si="3"/>
        <v>-228</v>
      </c>
      <c r="F23" s="16">
        <f t="shared" si="3"/>
        <v>-228</v>
      </c>
      <c r="G23" s="16">
        <f t="shared" si="3"/>
        <v>-24</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Arable</v>
      </c>
      <c r="D58" s="13" t="str">
        <f>E16&amp;" I "&amp;(VLOOKUP(E14,Table24581113[],6,FALSE))</f>
        <v>Medium/Clay I Grass</v>
      </c>
      <c r="E58" s="13" t="str">
        <f>F16&amp;" I "&amp;(VLOOKUP(F14,Table24581113[],6,FALSE))</f>
        <v>Medium/Clay I Grass</v>
      </c>
      <c r="F58" s="13" t="str">
        <f>G16&amp;" I "&amp;(VLOOKUP(G14,Table24581113[],6,FALSE))</f>
        <v>Medium/Clay I Arable</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6.7</v>
      </c>
      <c r="D59" s="76">
        <f>VLOOKUP(E$14,Table24581113[],5,FALSE)</f>
        <v>6.2</v>
      </c>
      <c r="E59" s="76">
        <f>VLOOKUP(F$14,Table24581113[],5,FALSE)</f>
        <v>6.2</v>
      </c>
      <c r="F59" s="76">
        <f>VLOOKUP(G$14,Table24581113[],5,FALSE)</f>
        <v>6.7</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-59.5</v>
      </c>
      <c r="D19" s="16">
        <f t="shared" ref="D19:V19" si="1">D18-D17</f>
        <v>-63.75</v>
      </c>
      <c r="E19" s="16">
        <f t="shared" si="1"/>
        <v>-64.599999999999994</v>
      </c>
      <c r="F19" s="16">
        <f t="shared" si="1"/>
        <v>-64.599999999999994</v>
      </c>
      <c r="G19" s="16">
        <f t="shared" si="1"/>
        <v>-4.1999999999999993</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-210</v>
      </c>
      <c r="D23" s="16">
        <f t="shared" ref="D23:V23" si="3">D22-D21</f>
        <v>-78.75</v>
      </c>
      <c r="E23" s="16">
        <f t="shared" si="3"/>
        <v>-228</v>
      </c>
      <c r="F23" s="16">
        <f t="shared" si="3"/>
        <v>-228</v>
      </c>
      <c r="G23" s="16">
        <f t="shared" si="3"/>
        <v>-24</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Arable</v>
      </c>
      <c r="D58" s="13" t="str">
        <f>E16&amp;" I "&amp;(VLOOKUP(E14,Table24567[],6,FALSE))</f>
        <v>Medium/Clay I Grass</v>
      </c>
      <c r="E58" s="13" t="str">
        <f>F16&amp;" I "&amp;(VLOOKUP(F14,Table24567[],6,FALSE))</f>
        <v>Medium/Clay I Grass</v>
      </c>
      <c r="F58" s="13" t="str">
        <f>G16&amp;" I "&amp;(VLOOKUP(G14,Table24567[],6,FALSE))</f>
        <v>Medium/Clay I Arable</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6.7</v>
      </c>
      <c r="D59" s="76">
        <f>VLOOKUP(E$14,Table24567[],5,FALSE)</f>
        <v>6.2</v>
      </c>
      <c r="E59" s="76">
        <f>VLOOKUP(F$14,Table24567[],5,FALSE)</f>
        <v>6.2</v>
      </c>
      <c r="F59" s="76">
        <f>VLOOKUP(G$14,Table24567[],5,FALSE)</f>
        <v>6.7</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Waste 1'!C1:D1</f>
        <v>PAN-022539</v>
      </c>
      <c r="D1" s="141"/>
      <c r="E1" s="93" t="s">
        <v>45</v>
      </c>
      <c r="F1" s="39">
        <f>'Field data and Waste 1'!F1</f>
        <v>49.9</v>
      </c>
      <c r="G1" s="120" t="s">
        <v>43</v>
      </c>
      <c r="H1" s="121"/>
      <c r="I1" s="118"/>
      <c r="J1" s="119" t="s">
        <v>153</v>
      </c>
      <c r="K1" s="119"/>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Waste 1'!C2:D2</f>
        <v>EPR/AB3891CX</v>
      </c>
      <c r="D2" s="143"/>
      <c r="E2" s="93" t="s">
        <v>109</v>
      </c>
      <c r="F2" s="96"/>
      <c r="G2" s="138" t="s">
        <v>110</v>
      </c>
      <c r="H2" s="139"/>
      <c r="I2" s="118"/>
      <c r="J2" s="119" t="s">
        <v>158</v>
      </c>
      <c r="K2" s="119"/>
      <c r="L2" s="97"/>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Waste 1'!C3:D3</f>
        <v>Stepside</v>
      </c>
      <c r="D3" s="143"/>
      <c r="E3" s="93" t="s">
        <v>108</v>
      </c>
      <c r="F3" s="31"/>
      <c r="G3" s="119" t="s">
        <v>159</v>
      </c>
      <c r="H3" s="119"/>
      <c r="I3" s="118"/>
      <c r="J3" s="120" t="s">
        <v>154</v>
      </c>
      <c r="K3" s="121"/>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Waste 1'!C4:D4</f>
        <v>Castell Malgwyn Farm, Llechryd, Cardigan, Ceredigion, SA43 2QB</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'Field data and Waste 1'!C5:D5</f>
        <v>Ethan Banfield</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'Field data and Waste 1'!C8</f>
        <v>Cm1</v>
      </c>
      <c r="D8" s="60" t="str">
        <f>'Field data and Waste 1'!D8</f>
        <v xml:space="preserve">Cm2 </v>
      </c>
      <c r="E8" s="60" t="str">
        <f>'Field data and Waste 1'!E8</f>
        <v>CM3</v>
      </c>
      <c r="F8" s="60" t="str">
        <f>'Field data and Waste 1'!F8</f>
        <v>CM4</v>
      </c>
      <c r="G8" s="60" t="str">
        <f>'Field data and Waste 1'!G8</f>
        <v>CM10</v>
      </c>
      <c r="H8" s="60" t="str">
        <f>'Field data and Waste 1'!H8</f>
        <v>CM20</v>
      </c>
      <c r="I8" s="60" t="str">
        <f>'Field data and Waste 1'!I8</f>
        <v>CM8440</v>
      </c>
      <c r="J8" s="60" t="str">
        <f>'Field data and Waste 1'!J8</f>
        <v>CM8087</v>
      </c>
      <c r="K8" s="60" t="str">
        <f>'Field data and Waste 1'!K8</f>
        <v>CM8019</v>
      </c>
      <c r="L8" s="60" t="str">
        <f>'Field data and Waste 1'!L8</f>
        <v>Cm7886</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Waste 1'!C9</f>
        <v>low</v>
      </c>
      <c r="D9" s="60">
        <f>'Field data and Waste 1'!D9</f>
        <v>1</v>
      </c>
      <c r="E9" s="60" t="str">
        <f>'Field data and Waste 1'!E9</f>
        <v>Moderate</v>
      </c>
      <c r="F9" s="60" t="str">
        <f>'Field data and Waste 1'!F9</f>
        <v>Moderate</v>
      </c>
      <c r="G9" s="60">
        <f>'Field data and Waste 1'!G9</f>
        <v>1</v>
      </c>
      <c r="H9" s="60" t="str">
        <f>'Field data and Waste 1'!H9</f>
        <v>Moderate</v>
      </c>
      <c r="I9" s="60" t="str">
        <f>'Field data and Waste 1'!I9</f>
        <v>moderate</v>
      </c>
      <c r="J9" s="60" t="str">
        <f>'Field data and Waste 1'!J9</f>
        <v>Moderate</v>
      </c>
      <c r="K9" s="60" t="str">
        <f>'Field data and Waste 1'!K9</f>
        <v>moderate</v>
      </c>
      <c r="L9" s="60" t="str">
        <f>'Field data and Waste 1'!L9</f>
        <v>low</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Waste 1'!C10</f>
        <v>7.1</v>
      </c>
      <c r="D10" s="60">
        <f>'Field data and Waste 1'!D10</f>
        <v>7</v>
      </c>
      <c r="E10" s="60">
        <f>'Field data and Waste 1'!E10</f>
        <v>6.4</v>
      </c>
      <c r="F10" s="60">
        <f>'Field data and Waste 1'!F10</f>
        <v>6.1</v>
      </c>
      <c r="G10" s="60">
        <f>'Field data and Waste 1'!G10</f>
        <v>6.7</v>
      </c>
      <c r="H10" s="60">
        <f>'Field data and Waste 1'!H10</f>
        <v>6.3</v>
      </c>
      <c r="I10" s="60">
        <f>'Field data and Waste 1'!I10</f>
        <v>5.6</v>
      </c>
      <c r="J10" s="60">
        <f>'Field data and Waste 1'!J10</f>
        <v>6.2</v>
      </c>
      <c r="K10" s="60">
        <f>'Field data and Waste 1'!K10</f>
        <v>6.4</v>
      </c>
      <c r="L10" s="60">
        <f>'Field data and Waste 1'!L10</f>
        <v>6.6</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Waste 1'!C11</f>
        <v>3</v>
      </c>
      <c r="D11" s="60">
        <f>'Field data and Waste 1'!D11</f>
        <v>2</v>
      </c>
      <c r="E11" s="60">
        <f>'Field data and Waste 1'!E11</f>
        <v>2</v>
      </c>
      <c r="F11" s="60">
        <f>'Field data and Waste 1'!F11</f>
        <v>2</v>
      </c>
      <c r="G11" s="60">
        <f>'Field data and Waste 1'!G11</f>
        <v>3</v>
      </c>
      <c r="H11" s="60">
        <f>'Field data and Waste 1'!H11</f>
        <v>3</v>
      </c>
      <c r="I11" s="60">
        <f>'Field data and Waste 1'!I11</f>
        <v>1</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Waste 1'!C12</f>
        <v>2</v>
      </c>
      <c r="D12" s="60">
        <f>'Field data and Waste 1'!D12</f>
        <v>2</v>
      </c>
      <c r="E12" s="60">
        <f>'Field data and Waste 1'!E12</f>
        <v>2</v>
      </c>
      <c r="F12" s="60">
        <f>'Field data and Waste 1'!F12</f>
        <v>1</v>
      </c>
      <c r="G12" s="60">
        <f>'Field data and Waste 1'!G12</f>
        <v>2</v>
      </c>
      <c r="H12" s="60">
        <f>'Field data and Waste 1'!H12</f>
        <v>2</v>
      </c>
      <c r="I12" s="60">
        <f>'Field data and Waste 1'!I12</f>
        <v>2</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Waste 1'!C13</f>
        <v>3</v>
      </c>
      <c r="D13" s="60">
        <f>'Field data and Waste 1'!D13</f>
        <v>2</v>
      </c>
      <c r="E13" s="60">
        <f>'Field data and Waste 1'!E13</f>
        <v>3</v>
      </c>
      <c r="F13" s="60">
        <f>'Field data and Waste 1'!F13</f>
        <v>3</v>
      </c>
      <c r="G13" s="60">
        <f>'Field data and Waste 1'!G13</f>
        <v>3</v>
      </c>
      <c r="H13" s="60">
        <f>'Field data and Waste 1'!H13</f>
        <v>2</v>
      </c>
      <c r="I13" s="60">
        <f>'Field data and Waste 1'!I13</f>
        <v>2</v>
      </c>
      <c r="J13" s="60">
        <f>'Field data and Waste 1'!J13</f>
        <v>3</v>
      </c>
      <c r="K13" s="60">
        <f>'Field data and Waste 1'!K13</f>
        <v>3</v>
      </c>
      <c r="L13" s="60">
        <f>'Field data and Waste 1'!L13</f>
        <v>3</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Waste 1'!C14</f>
        <v xml:space="preserve">Grass Silage (25% DM) </v>
      </c>
      <c r="D14" s="102" t="str">
        <f>'Field data and Waste 1'!D14</f>
        <v>Winter barley/triticale/rye</v>
      </c>
      <c r="E14" s="102" t="str">
        <f>'Field data and Waste 1'!E14</f>
        <v xml:space="preserve">Grass Silage (25% DM) </v>
      </c>
      <c r="F14" s="102" t="str">
        <f>'Field data and Waste 1'!F14</f>
        <v xml:space="preserve">Grass Silage (25% DM) </v>
      </c>
      <c r="G14" s="102" t="str">
        <f>'Field data and Waste 1'!G14</f>
        <v>Fodder beet (roots only)</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0" t="s">
        <v>9</v>
      </c>
      <c r="B15" s="130"/>
      <c r="C15" s="60">
        <f>'Field data and Waste 1'!C15</f>
        <v>35</v>
      </c>
      <c r="D15" s="60">
        <f>'Field data and Waste 1'!D15</f>
        <v>7.5</v>
      </c>
      <c r="E15" s="60">
        <f>'Field data and Waste 1'!E15</f>
        <v>38</v>
      </c>
      <c r="F15" s="60">
        <f>'Field data and Waste 1'!F15</f>
        <v>38</v>
      </c>
      <c r="G15" s="60">
        <f>'Field data and Waste 1'!G15</f>
        <v>6</v>
      </c>
      <c r="H15" s="60">
        <f>'Field data and Waste 1'!H15</f>
        <v>38</v>
      </c>
      <c r="I15" s="60">
        <f>'Field data and Waste 1'!I15</f>
        <v>35</v>
      </c>
      <c r="J15" s="60">
        <f>'Field data and Waste 1'!J15</f>
        <v>38</v>
      </c>
      <c r="K15" s="60">
        <f>'Field data and Waste 1'!K15</f>
        <v>38</v>
      </c>
      <c r="L15" s="60">
        <f>'Field data and Waste 1'!L15</f>
        <v>38</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59.5</v>
      </c>
      <c r="D17" s="28">
        <f t="shared" ref="D17:V17" si="0">(VLOOKUP(D$14,$AI2:$AK26,2,FALSE))*D$15</f>
        <v>63.75</v>
      </c>
      <c r="E17" s="28">
        <f t="shared" si="0"/>
        <v>64.599999999999994</v>
      </c>
      <c r="F17" s="28">
        <f t="shared" si="0"/>
        <v>64.599999999999994</v>
      </c>
      <c r="G17" s="28">
        <f t="shared" si="0"/>
        <v>4.1999999999999993</v>
      </c>
      <c r="H17" s="28">
        <f t="shared" si="0"/>
        <v>64.599999999999994</v>
      </c>
      <c r="I17" s="28">
        <f t="shared" si="0"/>
        <v>59.5</v>
      </c>
      <c r="J17" s="28">
        <f t="shared" si="0"/>
        <v>64.599999999999994</v>
      </c>
      <c r="K17" s="28">
        <f t="shared" si="0"/>
        <v>64.599999999999994</v>
      </c>
      <c r="L17" s="28">
        <f t="shared" si="0"/>
        <v>64.599999999999994</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-59.5</v>
      </c>
      <c r="D19" s="16">
        <f t="shared" ref="D19:V19" si="1">D18-D17</f>
        <v>-63.75</v>
      </c>
      <c r="E19" s="16">
        <f t="shared" si="1"/>
        <v>-64.599999999999994</v>
      </c>
      <c r="F19" s="16">
        <f t="shared" si="1"/>
        <v>-64.599999999999994</v>
      </c>
      <c r="G19" s="16">
        <f t="shared" si="1"/>
        <v>-4.1999999999999993</v>
      </c>
      <c r="H19" s="16">
        <f t="shared" si="1"/>
        <v>-64.599999999999994</v>
      </c>
      <c r="I19" s="16">
        <f t="shared" si="1"/>
        <v>-59.5</v>
      </c>
      <c r="J19" s="16">
        <f t="shared" si="1"/>
        <v>-64.599999999999994</v>
      </c>
      <c r="K19" s="16">
        <f t="shared" si="1"/>
        <v>-64.599999999999994</v>
      </c>
      <c r="L19" s="16">
        <f t="shared" si="1"/>
        <v>-64.599999999999994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210</v>
      </c>
      <c r="D21" s="28">
        <f t="shared" ref="D21:V21" si="2">(VLOOKUP(D$14,$AI2:$AK26,3,FALSE))*D$15</f>
        <v>78.75</v>
      </c>
      <c r="E21" s="28">
        <f t="shared" si="2"/>
        <v>228</v>
      </c>
      <c r="F21" s="28">
        <f t="shared" si="2"/>
        <v>228</v>
      </c>
      <c r="G21" s="28">
        <f t="shared" si="2"/>
        <v>24</v>
      </c>
      <c r="H21" s="28">
        <f t="shared" si="2"/>
        <v>228</v>
      </c>
      <c r="I21" s="28">
        <f t="shared" si="2"/>
        <v>210</v>
      </c>
      <c r="J21" s="28">
        <f t="shared" si="2"/>
        <v>228</v>
      </c>
      <c r="K21" s="28">
        <f t="shared" si="2"/>
        <v>228</v>
      </c>
      <c r="L21" s="28">
        <f t="shared" si="2"/>
        <v>228</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-210</v>
      </c>
      <c r="D23" s="16">
        <f t="shared" ref="D23:V23" si="3">D22-D21</f>
        <v>-78.75</v>
      </c>
      <c r="E23" s="16">
        <f t="shared" si="3"/>
        <v>-228</v>
      </c>
      <c r="F23" s="16">
        <f t="shared" si="3"/>
        <v>-228</v>
      </c>
      <c r="G23" s="16">
        <f t="shared" si="3"/>
        <v>-24</v>
      </c>
      <c r="H23" s="16">
        <f t="shared" si="3"/>
        <v>-228</v>
      </c>
      <c r="I23" s="16">
        <f t="shared" si="3"/>
        <v>-210</v>
      </c>
      <c r="J23" s="16">
        <f t="shared" si="3"/>
        <v>-228</v>
      </c>
      <c r="K23" s="16">
        <f t="shared" si="3"/>
        <v>-228</v>
      </c>
      <c r="L23" s="16">
        <f t="shared" si="3"/>
        <v>-228</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 xml:space="preserve">Cm2 </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CM20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CM8440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CM8087</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CM8019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t="str">
        <f>L8</f>
        <v>Cm7886</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Cm1</v>
      </c>
      <c r="C57" s="8" t="str">
        <f t="shared" ref="C57:U57" si="13">D8</f>
        <v xml:space="preserve">Cm2 </v>
      </c>
      <c r="D57" s="8" t="str">
        <f t="shared" si="13"/>
        <v>CM3</v>
      </c>
      <c r="E57" s="8" t="str">
        <f t="shared" si="13"/>
        <v>CM4</v>
      </c>
      <c r="F57" s="8" t="str">
        <f t="shared" si="13"/>
        <v>CM10</v>
      </c>
      <c r="G57" s="8" t="str">
        <f t="shared" si="13"/>
        <v>CM20</v>
      </c>
      <c r="H57" s="8" t="str">
        <f t="shared" si="13"/>
        <v>CM8440</v>
      </c>
      <c r="I57" s="8" t="str">
        <f t="shared" si="13"/>
        <v>CM8087</v>
      </c>
      <c r="J57" s="8" t="str">
        <f t="shared" si="13"/>
        <v>CM8019</v>
      </c>
      <c r="K57" s="8" t="str">
        <f t="shared" si="13"/>
        <v>Cm7886</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Arable</v>
      </c>
      <c r="D58" s="13" t="str">
        <f>E16&amp;" I "&amp;(VLOOKUP(E14,Table2456[],6,FALSE))</f>
        <v>Medium/Clay I Grass</v>
      </c>
      <c r="E58" s="13" t="str">
        <f>F16&amp;" I "&amp;(VLOOKUP(F14,Table2456[],6,FALSE))</f>
        <v>Medium/Clay I Grass</v>
      </c>
      <c r="F58" s="13" t="str">
        <f>G16&amp;" I "&amp;(VLOOKUP(G14,Table2456[],6,FALSE))</f>
        <v>Medium/Clay I Arable</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6.7</v>
      </c>
      <c r="D59" s="76">
        <f>VLOOKUP(E$14,Table2456[],5,FALSE)</f>
        <v>6.2</v>
      </c>
      <c r="E59" s="76">
        <f>VLOOKUP(F$14,Table2456[],5,FALSE)</f>
        <v>6.2</v>
      </c>
      <c r="F59" s="76">
        <f>VLOOKUP(G$14,Table2456[],5,FALSE)</f>
        <v>6.7</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7.1</v>
      </c>
      <c r="C60" s="76">
        <f t="shared" ref="C60:U60" si="14">D10</f>
        <v>7</v>
      </c>
      <c r="D60" s="76">
        <f t="shared" si="14"/>
        <v>6.4</v>
      </c>
      <c r="E60" s="76">
        <f t="shared" si="14"/>
        <v>6.1</v>
      </c>
      <c r="F60" s="76">
        <f t="shared" si="14"/>
        <v>6.7</v>
      </c>
      <c r="G60" s="76">
        <f t="shared" si="14"/>
        <v>6.3</v>
      </c>
      <c r="H60" s="76">
        <f t="shared" si="14"/>
        <v>5.6</v>
      </c>
      <c r="I60" s="76">
        <f t="shared" si="14"/>
        <v>6.2</v>
      </c>
      <c r="J60" s="76">
        <f t="shared" si="14"/>
        <v>6.4</v>
      </c>
      <c r="K60" s="76">
        <f t="shared" si="14"/>
        <v>6.6</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8</v>
      </c>
      <c r="D61" s="76">
        <f t="shared" si="15"/>
        <v>6</v>
      </c>
      <c r="E61" s="76">
        <f t="shared" si="15"/>
        <v>6</v>
      </c>
      <c r="F61" s="76">
        <f t="shared" si="15"/>
        <v>8</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-2.3999999999999986</v>
      </c>
      <c r="D64" s="77">
        <f t="shared" si="17"/>
        <v>-1.2000000000000011</v>
      </c>
      <c r="E64" s="77">
        <f t="shared" si="17"/>
        <v>0.6000000000000032</v>
      </c>
      <c r="F64" s="77">
        <f t="shared" si="17"/>
        <v>0</v>
      </c>
      <c r="G64" s="77">
        <f t="shared" si="17"/>
        <v>-0.59999999999999787</v>
      </c>
      <c r="H64" s="77">
        <f t="shared" si="17"/>
        <v>3.6000000000000032</v>
      </c>
      <c r="I64" s="77">
        <f t="shared" si="17"/>
        <v>0</v>
      </c>
      <c r="J64" s="77">
        <f t="shared" si="17"/>
        <v>-1.2000000000000011</v>
      </c>
      <c r="K64" s="77">
        <f t="shared" si="17"/>
        <v>-2.3999999999999968</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2.3999999999999986</v>
      </c>
      <c r="D65" s="77">
        <f t="shared" si="18"/>
        <v>1.2000000000000011</v>
      </c>
      <c r="E65" s="77">
        <f t="shared" si="18"/>
        <v>-0.6000000000000032</v>
      </c>
      <c r="F65" s="77">
        <f t="shared" si="18"/>
        <v>0</v>
      </c>
      <c r="G65" s="77">
        <f t="shared" si="18"/>
        <v>0.59999999999999787</v>
      </c>
      <c r="H65" s="77">
        <f t="shared" si="18"/>
        <v>-3.6000000000000032</v>
      </c>
      <c r="I65" s="77">
        <f t="shared" si="18"/>
        <v>0</v>
      </c>
      <c r="J65" s="77">
        <f t="shared" si="18"/>
        <v>1.2000000000000011</v>
      </c>
      <c r="K65" s="77">
        <f t="shared" si="18"/>
        <v>2.3999999999999968</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37</v>
      </c>
      <c r="C3" s="33">
        <f>'Field data and Waste 1'!C31</f>
        <v>25.900000000000002</v>
      </c>
      <c r="D3" s="33">
        <f>'Field data and Waste 1'!D31</f>
        <v>59.506434000000006</v>
      </c>
      <c r="E3" s="33">
        <f>'Field data and Waste 1'!E31</f>
        <v>36.693455000000007</v>
      </c>
      <c r="F3" s="33">
        <f>'Field data and Waste 1'!F31</f>
        <v>9.6926679999999994</v>
      </c>
      <c r="G3" s="33">
        <f>'Field data and Waste 1'!G31</f>
        <v>2.7379999999999998E-2</v>
      </c>
      <c r="H3" s="33">
        <f>'Field data and Waste 1'!H31</f>
        <v>5.3279999999999994E-2</v>
      </c>
      <c r="I3" s="33">
        <f>'Field data and Waste 1'!I31</f>
        <v>1.8499999999999999E-2</v>
      </c>
      <c r="J3" s="33">
        <f>'Field data and Waste 1'!J31</f>
        <v>3.7000000000000005E-4</v>
      </c>
      <c r="K3" s="33">
        <f>'Field data and Waste 1'!K31</f>
        <v>1.8500000000000001E-3</v>
      </c>
      <c r="L3" s="33">
        <f>'Field data and Waste 1'!L31</f>
        <v>8.8800000000000007E-3</v>
      </c>
      <c r="M3" s="33">
        <f>'Field data and Waste 1'!M31</f>
        <v>7.4000000000000003E-3</v>
      </c>
      <c r="N3" s="33">
        <f>'Field data and Waste 1'!N31</f>
        <v>0</v>
      </c>
      <c r="O3" s="33">
        <f>'Field data and Waste 1'!O31</f>
        <v>0</v>
      </c>
      <c r="P3" s="33">
        <f>'Field data and Waste 1'!P31</f>
        <v>17.945</v>
      </c>
      <c r="Q3" s="33">
        <f>'Field data and Waste 1'!Q31</f>
        <v>14.522500000000001</v>
      </c>
      <c r="R3" s="33">
        <f>'Field data and Waste 1'!R31</f>
        <v>0</v>
      </c>
      <c r="S3" s="33">
        <f>'Field data and Waste 1'!S31</f>
        <v>0</v>
      </c>
      <c r="T3" s="33">
        <f>'Field data and Waste 1'!T31</f>
        <v>0</v>
      </c>
      <c r="U3" s="33">
        <f>'Field data and Waste 1'!U31</f>
        <v>0</v>
      </c>
    </row>
    <row r="4" spans="1:21" x14ac:dyDescent="0.25">
      <c r="A4" s="36">
        <v>2</v>
      </c>
      <c r="B4" s="33">
        <f>'Waste 2'!B31</f>
        <v>60</v>
      </c>
      <c r="C4" s="33">
        <f>'Waste 2'!C31</f>
        <v>60</v>
      </c>
      <c r="D4" s="33">
        <f>'Waste 2'!D31</f>
        <v>60.070019999999992</v>
      </c>
      <c r="E4" s="33">
        <f>'Waste 2'!E31</f>
        <v>57.912300000000009</v>
      </c>
      <c r="F4" s="33">
        <f>'Waste 2'!F31</f>
        <v>12.83292</v>
      </c>
      <c r="G4" s="33">
        <f>'Waste 2'!G31</f>
        <v>0.22320000000000001</v>
      </c>
      <c r="H4" s="33">
        <f>'Waste 2'!H31</f>
        <v>5.5199999999999999E-2</v>
      </c>
      <c r="I4" s="33">
        <f>'Waste 2'!I31</f>
        <v>0.03</v>
      </c>
      <c r="J4" s="33">
        <f>'Waste 2'!J31</f>
        <v>6.0000000000000006E-4</v>
      </c>
      <c r="K4" s="33">
        <f>'Waste 2'!K31</f>
        <v>3.0000000000000001E-3</v>
      </c>
      <c r="L4" s="33">
        <f>'Waste 2'!L31</f>
        <v>1.2E-2</v>
      </c>
      <c r="M4" s="33">
        <f>'Waste 2'!M31</f>
        <v>1.5600000000000003E-2</v>
      </c>
      <c r="N4" s="33">
        <f>'Waste 2'!N31</f>
        <v>0</v>
      </c>
      <c r="O4" s="33">
        <f>'Waste 2'!O31</f>
        <v>0</v>
      </c>
      <c r="P4" s="33">
        <f>'Waste 2'!P31</f>
        <v>54.72</v>
      </c>
      <c r="Q4" s="33">
        <f>'Waste 2'!Q31</f>
        <v>15.3</v>
      </c>
      <c r="R4" s="33">
        <f>'Waste 2'!R31</f>
        <v>0</v>
      </c>
      <c r="S4" s="33">
        <f>'Waste 2'!S31</f>
        <v>0</v>
      </c>
      <c r="T4" s="33">
        <f>'Waste 2'!T31</f>
        <v>0</v>
      </c>
      <c r="U4" s="33">
        <f>'Waste 2'!U31</f>
        <v>0</v>
      </c>
    </row>
    <row r="5" spans="1:21" x14ac:dyDescent="0.25">
      <c r="A5" s="36">
        <v>3</v>
      </c>
      <c r="B5" s="33">
        <f>'Waste 3'!B31</f>
        <v>63</v>
      </c>
      <c r="C5" s="33">
        <f>'Waste 3'!C31</f>
        <v>119.69999999999999</v>
      </c>
      <c r="D5" s="33">
        <f>'Waste 3'!D31</f>
        <v>59.320863000000003</v>
      </c>
      <c r="E5" s="33">
        <f>'Waste 3'!E31</f>
        <v>17.004960000000001</v>
      </c>
      <c r="F5" s="33">
        <f>'Waste 3'!F31</f>
        <v>4.2721685999999996</v>
      </c>
      <c r="G5" s="33">
        <f>'Waste 3'!G31</f>
        <v>1.26E-2</v>
      </c>
      <c r="H5" s="33">
        <f>'Waste 3'!H31</f>
        <v>8.3159999999999998E-2</v>
      </c>
      <c r="I5" s="33">
        <f>'Waste 3'!I31</f>
        <v>3.15E-2</v>
      </c>
      <c r="J5" s="33">
        <f>'Waste 3'!J31</f>
        <v>6.3000000000000003E-4</v>
      </c>
      <c r="K5" s="33">
        <f>'Waste 3'!K31</f>
        <v>3.15E-3</v>
      </c>
      <c r="L5" s="33">
        <f>'Waste 3'!L31</f>
        <v>1.26E-2</v>
      </c>
      <c r="M5" s="33">
        <f>'Waste 3'!M31</f>
        <v>1.8899999999999997E-2</v>
      </c>
      <c r="N5" s="33">
        <f>'Waste 3'!N31</f>
        <v>0</v>
      </c>
      <c r="O5" s="33">
        <f>'Waste 3'!O31</f>
        <v>0</v>
      </c>
      <c r="P5" s="33">
        <f>'Waste 3'!P31</f>
        <v>21.357000000000003</v>
      </c>
      <c r="Q5" s="33">
        <f>'Waste 3'!Q31</f>
        <v>23.31</v>
      </c>
      <c r="R5" s="33">
        <f>'Waste 3'!R31</f>
        <v>0</v>
      </c>
      <c r="S5" s="33">
        <f>'Waste 3'!S31</f>
        <v>0</v>
      </c>
      <c r="T5" s="33">
        <f>'Waste 3'!T31</f>
        <v>0</v>
      </c>
      <c r="U5" s="33">
        <f>'Waste 3'!U31</f>
        <v>0</v>
      </c>
    </row>
    <row r="6" spans="1:21" x14ac:dyDescent="0.25">
      <c r="A6" s="36">
        <v>4</v>
      </c>
      <c r="B6" s="33">
        <f>'Waste 4'!B31</f>
        <v>18</v>
      </c>
      <c r="C6" s="33">
        <f>'Waste 4'!C31</f>
        <v>45</v>
      </c>
      <c r="D6" s="33">
        <f>'Waste 4'!D31</f>
        <v>57.609485999999997</v>
      </c>
      <c r="E6" s="33">
        <f>'Waste 4'!E31</f>
        <v>10.129230000000002</v>
      </c>
      <c r="F6" s="33">
        <f>'Waste 4'!F31</f>
        <v>1.7279675999999999</v>
      </c>
      <c r="G6" s="33">
        <f>'Waste 4'!G31</f>
        <v>4.1760000000000009E-3</v>
      </c>
      <c r="H6" s="33">
        <f>'Waste 4'!H31</f>
        <v>5.706E-2</v>
      </c>
      <c r="I6" s="33">
        <f>'Waste 4'!I31</f>
        <v>9.0000000000000011E-3</v>
      </c>
      <c r="J6" s="33">
        <f>'Waste 4'!J31</f>
        <v>1.8000000000000001E-4</v>
      </c>
      <c r="K6" s="33">
        <f>'Waste 4'!K31</f>
        <v>9.0000000000000008E-4</v>
      </c>
      <c r="L6" s="33">
        <f>'Waste 4'!L31</f>
        <v>3.6000000000000003E-3</v>
      </c>
      <c r="M6" s="33">
        <f>'Waste 4'!M31</f>
        <v>5.7419999999999997E-3</v>
      </c>
      <c r="N6" s="33">
        <f>'Waste 4'!N31</f>
        <v>0</v>
      </c>
      <c r="O6" s="33">
        <f>'Waste 4'!O31</f>
        <v>0</v>
      </c>
      <c r="P6" s="33">
        <f>'Waste 4'!P31</f>
        <v>20.393999999999998</v>
      </c>
      <c r="Q6" s="33">
        <f>'Waste 4'!Q31</f>
        <v>7.4250000000000007</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178</v>
      </c>
      <c r="C13" s="81">
        <f t="shared" ref="C13:U13" si="0">SUM(C3:C12)</f>
        <v>250.6</v>
      </c>
      <c r="D13" s="81">
        <f t="shared" si="0"/>
        <v>236.50680299999999</v>
      </c>
      <c r="E13" s="81">
        <f t="shared" si="0"/>
        <v>121.73994500000002</v>
      </c>
      <c r="F13" s="81">
        <f t="shared" si="0"/>
        <v>28.525724199999999</v>
      </c>
      <c r="G13" s="81">
        <f t="shared" si="0"/>
        <v>0.26735600000000004</v>
      </c>
      <c r="H13" s="81">
        <f t="shared" si="0"/>
        <v>0.24869999999999998</v>
      </c>
      <c r="I13" s="81">
        <f t="shared" si="0"/>
        <v>8.8999999999999996E-2</v>
      </c>
      <c r="J13" s="81">
        <f t="shared" si="0"/>
        <v>1.7800000000000003E-3</v>
      </c>
      <c r="K13" s="81">
        <f t="shared" si="0"/>
        <v>8.8999999999999999E-3</v>
      </c>
      <c r="L13" s="81">
        <f t="shared" si="0"/>
        <v>3.7080000000000002E-2</v>
      </c>
      <c r="M13" s="81">
        <f t="shared" si="0"/>
        <v>4.7641999999999997E-2</v>
      </c>
      <c r="N13" s="81">
        <f t="shared" si="0"/>
        <v>0</v>
      </c>
      <c r="O13" s="81">
        <f t="shared" si="0"/>
        <v>0</v>
      </c>
      <c r="P13" s="81">
        <f t="shared" si="0"/>
        <v>114.416</v>
      </c>
      <c r="Q13" s="81">
        <f t="shared" si="0"/>
        <v>60.557500000000005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37</v>
      </c>
      <c r="D3" s="33">
        <f>'Field data and Waste 1'!C31</f>
        <v>25.900000000000002</v>
      </c>
      <c r="E3" s="33">
        <f>'Field data and Waste 1'!D31</f>
        <v>59.506434000000006</v>
      </c>
      <c r="F3" s="33">
        <f>'Field data and Waste 1'!E31</f>
        <v>36.693455000000007</v>
      </c>
      <c r="G3" s="33">
        <f>'Field data and Waste 1'!F31</f>
        <v>9.6926679999999994</v>
      </c>
      <c r="H3" s="33">
        <f>'Field data and Waste 1'!G31</f>
        <v>2.7379999999999998E-2</v>
      </c>
      <c r="I3" s="33">
        <f>'Field data and Waste 1'!H31</f>
        <v>5.3279999999999994E-2</v>
      </c>
      <c r="J3" s="33">
        <f>'Field data and Waste 1'!I31</f>
        <v>1.8499999999999999E-2</v>
      </c>
      <c r="K3" s="33">
        <f>'Field data and Waste 1'!J31</f>
        <v>3.7000000000000005E-4</v>
      </c>
      <c r="L3" s="33">
        <f>'Field data and Waste 1'!K31</f>
        <v>1.8500000000000001E-3</v>
      </c>
      <c r="M3" s="33">
        <f>'Field data and Waste 1'!L31</f>
        <v>8.8800000000000007E-3</v>
      </c>
      <c r="N3" s="33">
        <f>'Field data and Waste 1'!M31</f>
        <v>7.4000000000000003E-3</v>
      </c>
      <c r="O3" s="33">
        <f>'Field data and Waste 1'!N31</f>
        <v>0</v>
      </c>
      <c r="P3" s="33">
        <f>'Field data and Waste 1'!O31</f>
        <v>0</v>
      </c>
      <c r="Q3" s="33">
        <f>'Field data and Waste 1'!P31</f>
        <v>17.945</v>
      </c>
      <c r="R3" s="33">
        <f>'Field data and Waste 1'!Q31</f>
        <v>14.522500000000001</v>
      </c>
      <c r="S3" s="33">
        <f>'Field data and Waste 1'!R31</f>
        <v>0</v>
      </c>
      <c r="T3" s="33">
        <f>'Field data and Waste 1'!S31</f>
        <v>0</v>
      </c>
      <c r="U3" s="33">
        <f>'Field data and Waste 1'!T31</f>
        <v>0</v>
      </c>
      <c r="V3" s="33">
        <f>'Field data and Waste 1'!U31</f>
        <v>0</v>
      </c>
    </row>
    <row r="4" spans="1:22" x14ac:dyDescent="0.25">
      <c r="A4" s="36">
        <v>2</v>
      </c>
      <c r="B4" s="91"/>
      <c r="C4" s="33">
        <f>'Waste 2'!B31</f>
        <v>60</v>
      </c>
      <c r="D4" s="33">
        <f>'Waste 2'!C31</f>
        <v>60</v>
      </c>
      <c r="E4" s="33">
        <f>'Waste 2'!D31</f>
        <v>60.070019999999992</v>
      </c>
      <c r="F4" s="33">
        <f>'Waste 2'!E31</f>
        <v>57.912300000000009</v>
      </c>
      <c r="G4" s="33">
        <f>'Waste 2'!F31</f>
        <v>12.83292</v>
      </c>
      <c r="H4" s="33">
        <f>'Waste 2'!G31</f>
        <v>0.22320000000000001</v>
      </c>
      <c r="I4" s="33">
        <f>'Waste 2'!H31</f>
        <v>5.5199999999999999E-2</v>
      </c>
      <c r="J4" s="33">
        <f>'Waste 2'!I31</f>
        <v>0.03</v>
      </c>
      <c r="K4" s="33">
        <f>'Waste 2'!J31</f>
        <v>6.0000000000000006E-4</v>
      </c>
      <c r="L4" s="33">
        <f>'Waste 2'!K31</f>
        <v>3.0000000000000001E-3</v>
      </c>
      <c r="M4" s="33">
        <f>'Waste 2'!L31</f>
        <v>1.2E-2</v>
      </c>
      <c r="N4" s="33">
        <f>'Waste 2'!M31</f>
        <v>1.5600000000000003E-2</v>
      </c>
      <c r="O4" s="33">
        <f>'Waste 2'!N31</f>
        <v>0</v>
      </c>
      <c r="P4" s="33">
        <f>'Waste 2'!O31</f>
        <v>0</v>
      </c>
      <c r="Q4" s="33">
        <f>'Waste 2'!P31</f>
        <v>54.72</v>
      </c>
      <c r="R4" s="33">
        <f>'Waste 2'!Q31</f>
        <v>15.3</v>
      </c>
      <c r="S4" s="33">
        <f>'Waste 2'!R31</f>
        <v>0</v>
      </c>
      <c r="T4" s="33">
        <f>'Waste 2'!S31</f>
        <v>0</v>
      </c>
      <c r="U4" s="33">
        <f>'Waste 2'!T31</f>
        <v>0</v>
      </c>
      <c r="V4" s="33">
        <f>'Waste 2'!U31</f>
        <v>0</v>
      </c>
    </row>
    <row r="5" spans="1:22" x14ac:dyDescent="0.25">
      <c r="A5" s="36">
        <v>3</v>
      </c>
      <c r="B5" s="91"/>
      <c r="C5" s="33">
        <f>'Waste 3'!B31</f>
        <v>63</v>
      </c>
      <c r="D5" s="33">
        <f>'Waste 3'!C31</f>
        <v>119.69999999999999</v>
      </c>
      <c r="E5" s="33">
        <f>'Waste 3'!D31</f>
        <v>59.320863000000003</v>
      </c>
      <c r="F5" s="33">
        <f>'Waste 3'!E31</f>
        <v>17.004960000000001</v>
      </c>
      <c r="G5" s="33">
        <f>'Waste 3'!F31</f>
        <v>4.2721685999999996</v>
      </c>
      <c r="H5" s="33">
        <f>'Waste 3'!G31</f>
        <v>1.26E-2</v>
      </c>
      <c r="I5" s="33">
        <f>'Waste 3'!H31</f>
        <v>8.3159999999999998E-2</v>
      </c>
      <c r="J5" s="33">
        <f>'Waste 3'!I31</f>
        <v>3.15E-2</v>
      </c>
      <c r="K5" s="33">
        <f>'Waste 3'!J31</f>
        <v>6.3000000000000003E-4</v>
      </c>
      <c r="L5" s="33">
        <f>'Waste 3'!K31</f>
        <v>3.15E-3</v>
      </c>
      <c r="M5" s="33">
        <f>'Waste 3'!L31</f>
        <v>1.26E-2</v>
      </c>
      <c r="N5" s="33">
        <f>'Waste 3'!M31</f>
        <v>1.8899999999999997E-2</v>
      </c>
      <c r="O5" s="33">
        <f>'Waste 3'!N31</f>
        <v>0</v>
      </c>
      <c r="P5" s="33">
        <f>'Waste 3'!O31</f>
        <v>0</v>
      </c>
      <c r="Q5" s="33">
        <f>'Waste 3'!P31</f>
        <v>21.357000000000003</v>
      </c>
      <c r="R5" s="33">
        <f>'Waste 3'!Q31</f>
        <v>23.31</v>
      </c>
      <c r="S5" s="33">
        <f>'Waste 3'!R31</f>
        <v>0</v>
      </c>
      <c r="T5" s="33">
        <f>'Waste 3'!S31</f>
        <v>0</v>
      </c>
      <c r="U5" s="33">
        <f>'Waste 3'!T31</f>
        <v>0</v>
      </c>
      <c r="V5" s="33">
        <f>'Waste 3'!U31</f>
        <v>0</v>
      </c>
    </row>
    <row r="6" spans="1:22" x14ac:dyDescent="0.25">
      <c r="A6" s="36">
        <v>4</v>
      </c>
      <c r="B6" s="91"/>
      <c r="C6" s="33">
        <f>'Waste 4'!B31</f>
        <v>18</v>
      </c>
      <c r="D6" s="33">
        <f>'Waste 4'!C31</f>
        <v>45</v>
      </c>
      <c r="E6" s="33">
        <f>'Waste 4'!D31</f>
        <v>57.609485999999997</v>
      </c>
      <c r="F6" s="33">
        <f>'Waste 4'!E31</f>
        <v>10.129230000000002</v>
      </c>
      <c r="G6" s="33">
        <f>'Waste 4'!F31</f>
        <v>1.7279675999999999</v>
      </c>
      <c r="H6" s="33">
        <f>'Waste 4'!G31</f>
        <v>4.1760000000000009E-3</v>
      </c>
      <c r="I6" s="33">
        <f>'Waste 4'!H31</f>
        <v>5.706E-2</v>
      </c>
      <c r="J6" s="33">
        <f>'Waste 4'!I31</f>
        <v>9.0000000000000011E-3</v>
      </c>
      <c r="K6" s="33">
        <f>'Waste 4'!J31</f>
        <v>1.8000000000000001E-4</v>
      </c>
      <c r="L6" s="33">
        <f>'Waste 4'!K31</f>
        <v>9.0000000000000008E-4</v>
      </c>
      <c r="M6" s="33">
        <f>'Waste 4'!L31</f>
        <v>3.6000000000000003E-3</v>
      </c>
      <c r="N6" s="33">
        <f>'Waste 4'!M31</f>
        <v>5.7419999999999997E-3</v>
      </c>
      <c r="O6" s="33">
        <f>'Waste 4'!N31</f>
        <v>0</v>
      </c>
      <c r="P6" s="33">
        <f>'Waste 4'!O31</f>
        <v>0</v>
      </c>
      <c r="Q6" s="33">
        <f>'Waste 4'!P31</f>
        <v>20.393999999999998</v>
      </c>
      <c r="R6" s="33">
        <f>'Waste 4'!Q31</f>
        <v>7.4250000000000007</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37</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60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63</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18</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1aed6e831f3994a4989856e7dfd9da5b">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4e9f1ce8230e89665e1165f913ba1b21"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REGU-195-6515423</_dlc_DocId>
    <_dlc_DocIdUrl xmlns="9be56660-2c31-41ef-bc00-23e72f632f2a">
      <Url>https://cyfoethnaturiolcymru.sharepoint.com/teams/Regulatory/Permitting/_layouts/15/DocIdRedir.aspx?ID=REGU-195-6515423</Url>
      <Description>REGU-195-6515423</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2023-09-13T23:00:00+00:00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5C8A9B28-D235-4EB1-87E4-A8636D735E5B}"/>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B924A534-DC69-4429-9E98-0BCF6ADDB2BE}"/>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Bryan</cp:lastModifiedBy>
  <dcterms:created xsi:type="dcterms:W3CDTF">2016-09-26T10:07:59Z</dcterms:created>
  <dcterms:modified xsi:type="dcterms:W3CDTF">2023-09-14T13:10:23Z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40c8acf7-959e-4810-a496-0eb63cc159a5</vt:lpwstr>
  </property>
  <property fmtid="{D5CDD505-2E9C-101B-9397-08002B2CF9AE}" pid="4" name="Order">
    <vt:r8>11053400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