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my.sharepoint.com/personal/kirsty_thomas_cyfoethnaturiolcymru_gov_uk/Documents/Kirsty/Sites/Dairy Partners/"/>
    </mc:Choice>
  </mc:AlternateContent>
  <xr:revisionPtr revIDLastSave="0" documentId="8_{67293758-170C-4A55-8635-4C3B4223F51B}" xr6:coauthVersionLast="47" xr6:coauthVersionMax="47" xr10:uidLastSave="{00000000-0000-0000-0000-000000000000}"/>
  <workbookProtection workbookAlgorithmName="SHA-512" workbookHashValue="xf/Z+8D2QJGMi+PAMhlqwFKMvnC2oOMRdAYEOfg7fxmTatKMqt0mrRdZLeuf1uCEPV5eXc7e7ybY3LHylyephA==" workbookSaltValue="Kovd4ase0OgHe1TInz6xvg==" workbookSpinCount="100000" lockStructure="1"/>
  <bookViews>
    <workbookView xWindow="-110" yWindow="-110" windowWidth="19420" windowHeight="10420" firstSheet="11"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1" i="14" l="1"/>
  <c r="J80" i="14"/>
  <c r="J79" i="14"/>
  <c r="J78" i="14"/>
  <c r="J77" i="14"/>
  <c r="J76" i="14"/>
  <c r="J75" i="14"/>
  <c r="J73" i="14"/>
  <c r="J72" i="14"/>
  <c r="J71" i="14"/>
  <c r="I95" i="14"/>
  <c r="K90" i="14" l="1"/>
  <c r="K91" i="14"/>
  <c r="K92" i="14"/>
  <c r="K93" i="14"/>
  <c r="K94" i="14"/>
  <c r="K89" i="14"/>
  <c r="I112" i="14"/>
  <c r="I111" i="14"/>
  <c r="I110" i="14"/>
  <c r="I109" i="14"/>
  <c r="I108" i="14"/>
  <c r="I107" i="14"/>
  <c r="I106" i="14"/>
  <c r="I105" i="14"/>
  <c r="I104" i="14"/>
  <c r="I103" i="14"/>
  <c r="I102" i="14"/>
  <c r="I101" i="14"/>
  <c r="I100" i="14"/>
  <c r="I99" i="14"/>
  <c r="I98" i="14"/>
  <c r="I97" i="14"/>
  <c r="I96" i="14"/>
  <c r="J83" i="14" l="1"/>
  <c r="J84" i="14"/>
  <c r="K83" i="14"/>
  <c r="K67" i="14" l="1"/>
  <c r="J67" i="14" l="1"/>
  <c r="H154" i="14"/>
  <c r="F84" i="14" l="1"/>
  <c r="J161" i="14"/>
  <c r="H3" i="16" l="1"/>
  <c r="D3" i="15"/>
  <c r="D2" i="14"/>
  <c r="D6" i="13"/>
  <c r="D7" i="12"/>
  <c r="D6" i="11"/>
  <c r="D5" i="10"/>
  <c r="D6" i="9"/>
  <c r="C6" i="8"/>
  <c r="D5" i="6"/>
  <c r="D4" i="5"/>
  <c r="E5" i="4"/>
  <c r="E5" i="3"/>
  <c r="G11" i="4"/>
  <c r="F38" i="14" l="1"/>
  <c r="J66" i="14"/>
  <c r="J65" i="14"/>
  <c r="K65" i="14"/>
  <c r="F9" i="3"/>
  <c r="F10" i="3"/>
  <c r="F11" i="3"/>
  <c r="F12" i="3"/>
  <c r="F13" i="3"/>
  <c r="F14" i="3"/>
  <c r="F15" i="3"/>
  <c r="F16" i="3"/>
  <c r="F17" i="3"/>
  <c r="F18" i="3"/>
  <c r="F19" i="3"/>
  <c r="F20" i="3"/>
  <c r="F21" i="3"/>
  <c r="F22" i="3"/>
  <c r="F23" i="3"/>
  <c r="F24" i="3"/>
  <c r="F25" i="3"/>
  <c r="F26" i="3"/>
  <c r="F27" i="3"/>
  <c r="F28" i="3"/>
  <c r="F29" i="3"/>
  <c r="F30" i="3"/>
  <c r="F31" i="3"/>
  <c r="F32" i="3"/>
  <c r="F8" i="3"/>
  <c r="F52" i="14"/>
  <c r="J163" i="14" l="1"/>
  <c r="K163" i="14"/>
  <c r="J160" i="14"/>
  <c r="D45" i="13" l="1"/>
  <c r="D51" i="13"/>
  <c r="K66" i="14"/>
  <c r="F53" i="14"/>
  <c r="E45" i="5" l="1"/>
  <c r="L163" i="14"/>
  <c r="J162" i="14"/>
  <c r="E59" i="14"/>
  <c r="D46" i="13"/>
  <c r="D47" i="13"/>
  <c r="D48" i="13"/>
  <c r="D49" i="13"/>
  <c r="D50" i="13"/>
  <c r="D45" i="5"/>
  <c r="G10" i="4"/>
  <c r="H19" i="15" l="1"/>
  <c r="H22" i="16" s="1"/>
  <c r="H18" i="15"/>
  <c r="H21" i="16" s="1"/>
  <c r="F7" i="5" l="1"/>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I33" i="16"/>
  <c r="I34" i="16"/>
  <c r="I35" i="16"/>
  <c r="I36" i="16"/>
  <c r="I37" i="16"/>
  <c r="I38" i="16"/>
  <c r="E8" i="5"/>
  <c r="E9" i="5"/>
  <c r="E10" i="5"/>
  <c r="E11" i="5"/>
  <c r="H26" i="3"/>
  <c r="H27" i="3"/>
  <c r="H28" i="3"/>
  <c r="H29" i="3"/>
  <c r="H30" i="3"/>
  <c r="H31" i="3"/>
  <c r="H32" i="3"/>
  <c r="E7" i="5"/>
  <c r="D3" i="16"/>
  <c r="K11" i="3" l="1"/>
  <c r="K12" i="3"/>
  <c r="K8" i="3"/>
  <c r="K9" i="3"/>
  <c r="K10" i="3"/>
  <c r="D2" i="15" l="1"/>
  <c r="E125" i="14"/>
  <c r="E124" i="14"/>
  <c r="E123" i="14"/>
  <c r="D107" i="14"/>
  <c r="D125" i="14" s="1"/>
  <c r="D101" i="14"/>
  <c r="D124" i="14" s="1"/>
  <c r="D95" i="14"/>
  <c r="D123" i="14" s="1"/>
  <c r="E122" i="14"/>
  <c r="D89" i="14"/>
  <c r="D122" i="14" s="1"/>
  <c r="D154"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2" i="14" l="1"/>
  <c r="G122" i="14" s="1"/>
  <c r="F68" i="14"/>
  <c r="F85" i="14" s="1"/>
  <c r="F124" i="14"/>
  <c r="G124" i="14" s="1"/>
  <c r="F123" i="14"/>
  <c r="G123" i="14" s="1"/>
  <c r="F125" i="14"/>
  <c r="G125" i="14" s="1"/>
  <c r="F59" i="14"/>
  <c r="F19" i="14"/>
  <c r="F40" i="14"/>
  <c r="G127" i="14" l="1"/>
  <c r="E164" i="14" s="1"/>
  <c r="E163" i="14"/>
  <c r="G85" i="14"/>
  <c r="G68" i="14"/>
  <c r="G59" i="14"/>
  <c r="E162" i="14"/>
  <c r="G40" i="14"/>
  <c r="E161" i="14"/>
  <c r="G19" i="14"/>
  <c r="E160" i="14"/>
  <c r="G128" i="14" l="1"/>
  <c r="G161" i="14"/>
  <c r="I161" i="14" s="1"/>
  <c r="F161" i="14"/>
  <c r="G162" i="14"/>
  <c r="I162" i="14" s="1"/>
  <c r="F162" i="14"/>
  <c r="G160" i="14"/>
  <c r="I160" i="14" s="1"/>
  <c r="F160" i="14"/>
  <c r="G164" i="14"/>
  <c r="I164" i="14" s="1"/>
  <c r="F164" i="14"/>
  <c r="G163" i="14"/>
  <c r="I163" i="14" s="1"/>
  <c r="F163"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33" i="11" s="1"/>
  <c r="G35" i="11" s="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3"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2" i="5"/>
  <c r="E13" i="5"/>
  <c r="E14" i="5"/>
  <c r="E15" i="5"/>
  <c r="E16" i="5"/>
  <c r="E17" i="5"/>
  <c r="E18" i="5"/>
  <c r="E19" i="5"/>
  <c r="C7" i="5"/>
  <c r="D7" i="5"/>
  <c r="C8" i="5"/>
  <c r="D8" i="5"/>
  <c r="C9" i="5"/>
  <c r="D9" i="5"/>
  <c r="C10" i="5"/>
  <c r="D10" i="5"/>
  <c r="C11" i="5"/>
  <c r="D11" i="5"/>
  <c r="C12" i="5"/>
  <c r="D12" i="5"/>
  <c r="C13" i="5"/>
  <c r="D13" i="5"/>
  <c r="C14" i="5"/>
  <c r="D14" i="5"/>
  <c r="C15" i="5"/>
  <c r="D15" i="5"/>
  <c r="C16" i="5"/>
  <c r="D16" i="5"/>
  <c r="C17" i="5"/>
  <c r="D17" i="5"/>
  <c r="C18" i="5"/>
  <c r="D18" i="5"/>
  <c r="C19" i="5"/>
  <c r="D19" i="5"/>
  <c r="F41" i="13" l="1"/>
  <c r="F42" i="13" s="1"/>
  <c r="D57" i="13"/>
  <c r="G7" i="5" a="1"/>
  <c r="G7" i="5" s="1"/>
  <c r="G52" i="11"/>
  <c r="D15" i="12" s="1"/>
  <c r="D29" i="12" s="1"/>
  <c r="E29" i="12" s="1"/>
  <c r="G90" i="10"/>
  <c r="G92" i="10" s="1"/>
  <c r="D13" i="12" s="1"/>
  <c r="D27" i="12" s="1"/>
  <c r="E27" i="12" s="1"/>
  <c r="G14" i="9"/>
  <c r="D12" i="12" s="1"/>
  <c r="D26" i="12" s="1"/>
  <c r="E26" i="12" s="1"/>
  <c r="I165" i="14"/>
  <c r="G13" i="11"/>
  <c r="G15" i="11" s="1"/>
  <c r="G36" i="11" s="1"/>
  <c r="D14" i="12" s="1"/>
  <c r="D28" i="12" s="1"/>
  <c r="E28" i="12" s="1"/>
  <c r="E16" i="15" s="1"/>
  <c r="G129" i="6"/>
  <c r="D10" i="12" s="1"/>
  <c r="D24" i="12" s="1"/>
  <c r="E24" i="12" s="1"/>
  <c r="G12" i="15" s="1"/>
  <c r="D15" i="16" s="1"/>
  <c r="G15" i="16" s="1"/>
  <c r="F91" i="8"/>
  <c r="D11" i="12" s="1"/>
  <c r="D25" i="12" s="1"/>
  <c r="E25" i="12" s="1"/>
  <c r="E13" i="15" s="1"/>
  <c r="G53" i="5"/>
  <c r="G51" i="5"/>
  <c r="G50" i="5"/>
  <c r="G54" i="5"/>
  <c r="G52" i="5"/>
  <c r="H152" i="14" l="1"/>
  <c r="G19" i="15" s="1"/>
  <c r="D22" i="16" s="1"/>
  <c r="G22" i="16" s="1"/>
  <c r="J8" i="5"/>
  <c r="J16" i="5"/>
  <c r="J24" i="5"/>
  <c r="J32" i="5"/>
  <c r="J9" i="5"/>
  <c r="J25" i="5"/>
  <c r="J33" i="5"/>
  <c r="J31" i="5"/>
  <c r="J17" i="5"/>
  <c r="J10" i="5"/>
  <c r="J18" i="5"/>
  <c r="J26" i="5"/>
  <c r="J34" i="5"/>
  <c r="J11" i="5"/>
  <c r="J19" i="5"/>
  <c r="J27" i="5"/>
  <c r="J35" i="5"/>
  <c r="J12" i="5"/>
  <c r="J20" i="5"/>
  <c r="J28" i="5"/>
  <c r="J36" i="5"/>
  <c r="J15" i="5"/>
  <c r="J13" i="5"/>
  <c r="J21" i="5"/>
  <c r="J29" i="5"/>
  <c r="J7" i="5"/>
  <c r="J23" i="5"/>
  <c r="J14" i="5"/>
  <c r="J22" i="5"/>
  <c r="J30"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7" i="5" l="1" a="1"/>
  <c r="D42" i="5" s="1"/>
  <c r="S11" i="5" l="1"/>
  <c r="T11" i="5"/>
  <c r="U11" i="5" s="1"/>
  <c r="V11" i="5" s="1"/>
  <c r="W11" i="5" s="1"/>
  <c r="T15" i="5"/>
  <c r="U15" i="5" s="1"/>
  <c r="V15" i="5" s="1"/>
  <c r="W15" i="5" s="1"/>
  <c r="T19" i="5"/>
  <c r="U19" i="5" s="1"/>
  <c r="V19" i="5" s="1"/>
  <c r="W19" i="5" s="1"/>
  <c r="T23" i="5"/>
  <c r="U23" i="5" s="1"/>
  <c r="V23" i="5" s="1"/>
  <c r="W23" i="5" s="1"/>
  <c r="T27" i="5"/>
  <c r="U27" i="5" s="1"/>
  <c r="V27" i="5" s="1"/>
  <c r="W27" i="5" s="1"/>
  <c r="T31" i="5"/>
  <c r="U31" i="5" s="1"/>
  <c r="V31" i="5" s="1"/>
  <c r="W31" i="5" s="1"/>
  <c r="S8" i="5"/>
  <c r="S12" i="5"/>
  <c r="S16" i="5"/>
  <c r="S20" i="5"/>
  <c r="S24" i="5"/>
  <c r="S28" i="5"/>
  <c r="S32" i="5"/>
  <c r="S36" i="5"/>
  <c r="S18" i="5"/>
  <c r="S34" i="5"/>
  <c r="T8" i="5"/>
  <c r="U8" i="5" s="1"/>
  <c r="V8" i="5" s="1"/>
  <c r="W8" i="5" s="1"/>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T13" i="5"/>
  <c r="U13" i="5" s="1"/>
  <c r="V13" i="5" s="1"/>
  <c r="W13" i="5" s="1"/>
  <c r="T21" i="5"/>
  <c r="U21" i="5" s="1"/>
  <c r="V21" i="5" s="1"/>
  <c r="W21" i="5" s="1"/>
  <c r="T29" i="5"/>
  <c r="U29" i="5" s="1"/>
  <c r="V29" i="5" s="1"/>
  <c r="W29" i="5" s="1"/>
  <c r="T33" i="5"/>
  <c r="U33" i="5" s="1"/>
  <c r="V33" i="5" s="1"/>
  <c r="W33" i="5" s="1"/>
  <c r="S14" i="5"/>
  <c r="S26" i="5"/>
  <c r="S9" i="5"/>
  <c r="S13" i="5"/>
  <c r="S17" i="5"/>
  <c r="S21" i="5"/>
  <c r="S25" i="5"/>
  <c r="S29" i="5"/>
  <c r="S33" i="5"/>
  <c r="T7" i="5"/>
  <c r="U7" i="5" s="1"/>
  <c r="V7" i="5" s="1"/>
  <c r="W7" i="5" s="1"/>
  <c r="T17" i="5"/>
  <c r="U17" i="5" s="1"/>
  <c r="V17" i="5" s="1"/>
  <c r="W17" i="5" s="1"/>
  <c r="T25" i="5"/>
  <c r="U25" i="5" s="1"/>
  <c r="V25" i="5" s="1"/>
  <c r="W25" i="5" s="1"/>
  <c r="S7" i="5"/>
  <c r="S22" i="5"/>
  <c r="S30" i="5"/>
  <c r="T9" i="5"/>
  <c r="U9" i="5" s="1"/>
  <c r="V9" i="5" s="1"/>
  <c r="W9" i="5" s="1"/>
  <c r="S10"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S15" i="5"/>
  <c r="S19" i="5"/>
  <c r="S23" i="5"/>
  <c r="S27" i="5"/>
  <c r="S31" i="5"/>
  <c r="S35" i="5"/>
  <c r="T35" i="5"/>
  <c r="U35" i="5" s="1"/>
  <c r="V35" i="5" s="1"/>
  <c r="W35" i="5" s="1"/>
  <c r="L7" i="5"/>
  <c r="P19" i="5" l="1"/>
  <c r="Q19" i="5" s="1"/>
  <c r="P11" i="5"/>
  <c r="Q11" i="5" s="1"/>
  <c r="P27" i="5"/>
  <c r="Q27" i="5" s="1"/>
  <c r="P36" i="5"/>
  <c r="Q36" i="5" s="1"/>
  <c r="P12" i="5"/>
  <c r="Q12" i="5" s="1"/>
  <c r="P20" i="5"/>
  <c r="Q20" i="5" s="1"/>
  <c r="P28" i="5"/>
  <c r="Q28" i="5" s="1"/>
  <c r="P13" i="5"/>
  <c r="Q13" i="5" s="1"/>
  <c r="D46" i="5" s="1"/>
  <c r="P8" i="5"/>
  <c r="P26" i="5"/>
  <c r="Q26" i="5" s="1"/>
  <c r="P33" i="5"/>
  <c r="Q33" i="5" s="1"/>
  <c r="P31" i="5"/>
  <c r="Q31" i="5" s="1"/>
  <c r="P18" i="5"/>
  <c r="Q18" i="5" s="1"/>
  <c r="P25" i="5"/>
  <c r="Q25" i="5" s="1"/>
  <c r="P23" i="5"/>
  <c r="Q23" i="5" s="1"/>
  <c r="P30" i="5"/>
  <c r="Q30" i="5" s="1"/>
  <c r="P35" i="5"/>
  <c r="Q35" i="5" s="1"/>
  <c r="P10" i="5"/>
  <c r="Q10" i="5" s="1"/>
  <c r="P17" i="5"/>
  <c r="Q17" i="5" s="1"/>
  <c r="P32" i="5"/>
  <c r="Q32" i="5" s="1"/>
  <c r="P15" i="5"/>
  <c r="Q15" i="5" s="1"/>
  <c r="P22" i="5"/>
  <c r="Q22" i="5" s="1"/>
  <c r="P34" i="5"/>
  <c r="Q34" i="5" s="1"/>
  <c r="P9" i="5"/>
  <c r="P24" i="5"/>
  <c r="Q24" i="5" s="1"/>
  <c r="P14" i="5"/>
  <c r="Q14" i="5" s="1"/>
  <c r="P16" i="5"/>
  <c r="Q16" i="5" s="1"/>
  <c r="P29" i="5"/>
  <c r="Q29" i="5" s="1"/>
  <c r="P21" i="5"/>
  <c r="Q21" i="5" s="1"/>
  <c r="D54" i="5" l="1"/>
  <c r="D55" i="5"/>
  <c r="D53" i="5"/>
  <c r="D50" i="5"/>
  <c r="D51" i="5"/>
  <c r="D52" i="5"/>
  <c r="Q8" i="5"/>
  <c r="Q9" i="5"/>
  <c r="P7" i="5" l="1"/>
  <c r="Q7" i="5" s="1"/>
  <c r="C52" i="5" l="1"/>
  <c r="E52" i="5" s="1"/>
  <c r="F9" i="15" s="1"/>
  <c r="E12" i="16" s="1"/>
  <c r="G12" i="16" s="1"/>
  <c r="C55" i="5"/>
  <c r="E55" i="5" s="1"/>
  <c r="C53" i="5"/>
  <c r="E53" i="5" s="1"/>
  <c r="F10" i="15" s="1"/>
  <c r="E13" i="16" s="1"/>
  <c r="G13" i="16" s="1"/>
  <c r="C51" i="5"/>
  <c r="E51" i="5" s="1"/>
  <c r="F8" i="15" s="1"/>
  <c r="E11" i="16" s="1"/>
  <c r="G11" i="16" s="1"/>
  <c r="C50" i="5"/>
  <c r="E50" i="5" s="1"/>
  <c r="F7" i="15" s="1"/>
  <c r="E10" i="16" s="1"/>
  <c r="G10" i="16" s="1"/>
  <c r="C54" i="5"/>
  <c r="E54" i="5" s="1"/>
  <c r="F11" i="15" s="1"/>
  <c r="E14" i="16" s="1"/>
  <c r="G14" i="16" s="1"/>
  <c r="G23" i="16" l="1"/>
  <c r="D31" i="16" l="1"/>
  <c r="D33" i="16"/>
  <c r="D29" i="16"/>
  <c r="D27" i="16"/>
  <c r="D37" i="16"/>
  <c r="D35"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<sst xmlns="http://schemas.openxmlformats.org/spreadsheetml/2006/main" count="1579" uniqueCount="802">
  <si>
    <t>Operational Risk Appraisal (Opra) for Installations under EPR</t>
  </si>
  <si>
    <t>Case Number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</si>
  <si>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</si>
  <si>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</si>
  <si>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</si>
  <si>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</si>
  <si>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</si>
  <si>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</si>
  <si>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</si>
  <si>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</si>
  <si>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</si>
  <si>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</si>
  <si>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</si>
  <si>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</si>
  <si>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</si>
  <si>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</si>
  <si>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</si>
  <si>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</si>
  <si>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</si>
  <si>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</si>
  <si>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</si>
  <si>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</si>
  <si>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</si>
  <si>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Autopulated</t>
  </si>
  <si>
    <t>Guidance link available</t>
  </si>
  <si>
    <t>Does this document contain information that is commercial in confidence ?</t>
  </si>
  <si>
    <t>NRW V2 No Macros</t>
  </si>
  <si>
    <t>Opra Scheme NRW V2</t>
  </si>
  <si>
    <t>Listed Activities - Complexity Attribute</t>
  </si>
  <si>
    <t>Organisation:</t>
  </si>
  <si>
    <t>Case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</si>
  <si>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</si>
  <si>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</si>
  <si>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</si>
  <si>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</si>
  <si>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</si>
  <si>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</si>
  <si>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</si>
  <si>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</si>
  <si>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</si>
  <si>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</si>
  <si>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</si>
  <si>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</si>
  <si>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</si>
  <si>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</si>
  <si>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</si>
  <si>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</si>
  <si>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</si>
  <si>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</si>
  <si>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</si>
  <si>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</si>
  <si>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</si>
  <si>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</si>
  <si>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</si>
  <si>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</si>
  <si>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</si>
  <si>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</si>
  <si>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</si>
  <si>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</si>
  <si>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</si>
  <si>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</si>
  <si>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</si>
  <si>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</si>
  <si>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</si>
  <si>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</si>
  <si>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</si>
  <si>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</si>
  <si>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</si>
  <si>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</si>
  <si>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</si>
  <si>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</si>
  <si>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</si>
  <si>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</si>
  <si>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</si>
  <si>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</si>
  <si>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</si>
  <si>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</si>
  <si>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</si>
  <si>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</si>
  <si>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</si>
  <si>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</si>
  <si>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</si>
  <si>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</si>
  <si>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</si>
  <si>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</si>
  <si>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</si>
  <si>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</si>
  <si>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</si>
  <si>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</si>
  <si>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</si>
  <si>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</si>
  <si>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</si>
  <si>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</si>
  <si>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</si>
  <si>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</si>
  <si>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</si>
  <si>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</si>
  <si>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</si>
  <si>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</si>
  <si>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</si>
  <si>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</si>
  <si>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</si>
  <si>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</si>
  <si>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</si>
  <si>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</si>
  <si>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</si>
  <si>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</si>
  <si>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</si>
  <si>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</si>
  <si>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</si>
  <si>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</si>
  <si>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</si>
  <si>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</si>
  <si>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</si>
  <si>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</si>
  <si>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</si>
  <si>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</si>
  <si>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</si>
  <si>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</si>
  <si>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</si>
  <si>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</si>
  <si>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</si>
  <si>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</si>
  <si>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</si>
  <si>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</si>
  <si>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</si>
  <si>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</si>
  <si>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</si>
  <si>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</si>
  <si>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</si>
  <si>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</si>
  <si>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</si>
  <si>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</si>
  <si>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</si>
  <si>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</si>
  <si>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</si>
  <si>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</si>
  <si>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</si>
  <si>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</si>
  <si>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</si>
  <si>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</si>
  <si>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</si>
  <si>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</si>
  <si>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</si>
  <si>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</si>
  <si>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</si>
  <si>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</si>
  <si>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</si>
  <si>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</si>
  <si>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</si>
  <si>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</si>
  <si>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</si>
  <si>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</si>
  <si>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</si>
  <si>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</si>
  <si>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</si>
  <si>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</si>
  <si>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</si>
  <si>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</si>
  <si>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</si>
  <si>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</si>
  <si>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</si>
  <si>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</si>
  <si>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</si>
  <si>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</si>
  <si>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</si>
  <si>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</si>
  <si>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</si>
  <si>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</si>
  <si>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</si>
  <si>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</si>
  <si>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</si>
  <si>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</si>
  <si>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</si>
  <si>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</si>
  <si>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</si>
  <si>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</si>
  <si>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</si>
  <si>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</si>
  <si>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</si>
  <si>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</si>
  <si>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</si>
  <si>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</si>
  <si>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</si>
  <si>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</si>
  <si>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</si>
  <si>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</si>
  <si>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</si>
  <si>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</si>
  <si>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</si>
  <si>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</si>
  <si>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</si>
  <si>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</si>
  <si>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</si>
  <si>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</si>
  <si>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</si>
  <si>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</si>
  <si>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</si>
  <si>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</si>
  <si>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</si>
  <si>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</si>
  <si>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</si>
  <si>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</si>
  <si>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</si>
  <si>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</si>
  <si>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</si>
  <si>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</si>
  <si>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</si>
  <si>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</si>
  <si>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</si>
  <si>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</si>
  <si>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</si>
  <si>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</si>
  <si>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</si>
  <si>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</si>
  <si>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</si>
  <si>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</si>
  <si>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</si>
  <si>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</si>
  <si>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</si>
  <si>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</si>
  <si>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</si>
  <si>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</si>
  <si>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</si>
  <si>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</si>
  <si>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</si>
  <si>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</si>
  <si>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</si>
  <si>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</si>
  <si>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</si>
  <si>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</si>
  <si>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</si>
  <si>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</si>
  <si>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</si>
  <si>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</si>
  <si>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</si>
  <si>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</si>
  <si>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</si>
  <si>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</si>
  <si>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</si>
  <si>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</si>
  <si>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</si>
  <si>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</si>
  <si>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</si>
  <si>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</si>
  <si>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</si>
  <si>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</si>
  <si>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</si>
  <si>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</si>
  <si>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</si>
  <si>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</si>
  <si>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</si>
  <si>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</si>
  <si>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</si>
  <si>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</si>
  <si>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</si>
  <si>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</si>
  <si>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</si>
  <si>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</si>
  <si>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</si>
  <si>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</si>
  <si>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</si>
  <si>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</si>
  <si>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</si>
  <si>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</si>
  <si>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</si>
  <si>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</si>
  <si>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</si>
  <si>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</si>
  <si>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</si>
  <si>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</si>
  <si>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</si>
  <si>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</si>
  <si>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</si>
  <si>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</si>
  <si>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</si>
  <si>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</si>
  <si>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</si>
  <si>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Case number: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</si>
  <si>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</si>
  <si>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</si>
  <si>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</si>
  <si>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</si>
  <si>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</si>
  <si>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</si>
  <si>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</si>
  <si>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</si>
  <si>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</si>
  <si>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</si>
  <si>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</si>
  <si>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</si>
  <si>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</si>
  <si>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</si>
  <si>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</si>
  <si>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</si>
  <si>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</si>
  <si>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</si>
  <si>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</si>
  <si>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</si>
  <si>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</si>
  <si>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</si>
  <si>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</si>
  <si>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</si>
  <si>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</si>
  <si>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</si>
  <si>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</si>
  <si>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</si>
  <si>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</si>
  <si>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</si>
  <si>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</si>
  <si>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</si>
  <si>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</si>
  <si>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</si>
  <si>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</si>
  <si>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</si>
  <si>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</si>
  <si>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</si>
  <si>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</si>
  <si>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</si>
  <si>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</si>
  <si>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</si>
  <si>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</si>
  <si>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</si>
  <si>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</si>
  <si>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</si>
  <si>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</si>
  <si>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</si>
  <si>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</si>
  <si>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</si>
  <si>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</si>
  <si>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</si>
  <si>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</si>
  <si>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</si>
  <si>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</si>
  <si>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</si>
  <si>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</si>
  <si>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</si>
  <si>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</si>
  <si>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</si>
  <si>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</si>
  <si>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</si>
  <si>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</si>
  <si>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</si>
  <si>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</si>
  <si>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</si>
  <si>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</si>
  <si>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</si>
  <si>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</si>
  <si>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</si>
  <si>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</si>
  <si>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</si>
  <si>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</si>
  <si>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</si>
  <si>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</si>
  <si>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</si>
  <si>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</si>
  <si>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</si>
  <si>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</si>
  <si>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</si>
  <si>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</si>
  <si>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</si>
  <si>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</si>
  <si>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</si>
  <si>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</si>
  <si>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</si>
  <si>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</si>
  <si>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</si>
  <si>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</si>
  <si>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</si>
  <si>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</si>
  <si>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procedures to be used by supervisors or managers and  for the reporting of deviations from permit conditions to the Agency; and</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</si>
  <si>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</si>
  <si>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</si>
  <si>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</si>
  <si>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</si>
  <si>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</si>
  <si>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</si>
  <si>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</si>
  <si>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</si>
  <si>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</si>
  <si>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</si>
  <si>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</si>
  <si>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</si>
  <si>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</si>
  <si>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</si>
  <si>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</si>
  <si>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</si>
  <si>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</si>
  <si>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</si>
  <si>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</si>
  <si>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</si>
  <si>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</si>
  <si>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</si>
  <si>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</si>
  <si>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</si>
  <si>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</si>
  <si>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</si>
  <si>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</si>
  <si>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</si>
  <si>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</si>
  <si>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</si>
  <si>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</si>
  <si>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</si>
  <si>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</si>
  <si>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</si>
  <si>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</si>
  <si>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</si>
  <si>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</si>
  <si>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</si>
  <si>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</si>
  <si>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</si>
  <si>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</si>
  <si>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Notice etc</t>
  </si>
  <si>
    <t>Date Issued</t>
  </si>
  <si>
    <t>Date Spent</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</si>
  <si>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</si>
  <si>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</si>
  <si>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</si>
  <si>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</si>
  <si>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</si>
  <si>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</si>
  <si>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</si>
  <si>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</si>
  <si>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</si>
  <si>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</si>
  <si>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</si>
  <si>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</si>
  <si>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</si>
  <si>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</si>
  <si>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</si>
  <si>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</si>
  <si>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</si>
  <si>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</si>
  <si>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</si>
  <si>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</si>
  <si>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</si>
  <si>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</si>
  <si>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</si>
  <si>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</si>
  <si>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</si>
  <si>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</si>
  <si>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</si>
  <si>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</si>
  <si>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</si>
  <si>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</si>
  <si>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</si>
  <si>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</si>
  <si>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</si>
  <si>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</si>
  <si>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</si>
  <si>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</si>
  <si>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</si>
  <si>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</si>
  <si>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</si>
  <si>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</si>
  <si>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</si>
  <si>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</si>
  <si>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Indicative Fees &amp; Charges</t>
  </si>
  <si>
    <t>Application Fee</t>
  </si>
  <si>
    <t>Subsistence Charge*</t>
  </si>
  <si>
    <t>Substantial Variation</t>
  </si>
  <si>
    <t>Standard Variation</t>
  </si>
  <si>
    <t>Application</t>
  </si>
  <si>
    <t>Subsistence</t>
  </si>
  <si>
    <t>Partial Surrender</t>
  </si>
  <si>
    <t>Full Surrender</t>
  </si>
  <si>
    <t>Closure</t>
  </si>
  <si>
    <t>Closure (Landfill only)</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</si>
  <si>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</si>
  <si>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</si>
  <si>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</si>
  <si>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</si>
  <si>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</si>
  <si>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</si>
  <si>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</si>
  <si>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</si>
  <si>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</si>
  <si>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</si>
  <si>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</si>
  <si>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</si>
  <si>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</si>
  <si>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</si>
  <si>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</si>
  <si>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</si>
  <si>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</si>
  <si>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</si>
  <si>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</si>
  <si>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</si>
  <si>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</si>
  <si>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</si>
  <si>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</si>
  <si>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</si>
  <si>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</si>
  <si>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</si>
  <si>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</si>
  <si>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</si>
  <si>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</si>
  <si>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</si>
  <si>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</si>
  <si>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</si>
  <si>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</si>
  <si>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</si>
  <si>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</si>
  <si>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</si>
  <si>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</si>
  <si>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</si>
  <si>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</si>
  <si>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</si>
  <si>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</si>
  <si>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</si>
  <si>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</si>
  <si>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</si>
  <si>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</si>
  <si>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</si>
  <si>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</si>
  <si>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</si>
  <si>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</si>
  <si>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</si>
  <si>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</si>
  <si>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</si>
  <si>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</si>
  <si>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</si>
  <si>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</si>
  <si>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</si>
  <si>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</si>
  <si>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</si>
  <si>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</si>
  <si>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</si>
  <si>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</si>
  <si>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</si>
  <si>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</si>
  <si>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</si>
  <si>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</si>
  <si>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</si>
  <si>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</si>
  <si>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</si>
  <si>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</si>
  <si>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</si>
  <si>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</si>
  <si>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</si>
  <si>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</si>
  <si>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</si>
  <si>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</si>
  <si>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</si>
  <si>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</si>
  <si>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</si>
  <si>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</si>
  <si>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</si>
  <si>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</si>
  <si>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</si>
  <si>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</si>
  <si>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</si>
  <si>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</si>
  <si>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</si>
  <si>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</si>
  <si>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</si>
  <si>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</si>
  <si>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</si>
  <si>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</si>
  <si>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</si>
  <si>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</si>
  <si>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</si>
  <si>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</si>
  <si>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</si>
  <si>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</si>
  <si>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</si>
  <si>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</si>
  <si>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</si>
  <si>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</si>
  <si>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</si>
  <si>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</si>
  <si>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</si>
  <si>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</si>
  <si>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</si>
  <si>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</si>
  <si>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</si>
  <si>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</si>
  <si>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</si>
  <si>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</si>
  <si>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</si>
  <si>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</si>
  <si>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</si>
  <si>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</si>
  <si>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</si>
  <si>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</si>
  <si>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</si>
  <si>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</si>
  <si>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</si>
  <si>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</si>
  <si>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</si>
  <si>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</si>
  <si>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</si>
  <si>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</si>
  <si>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</si>
  <si>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</si>
  <si>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</si>
  <si>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</si>
  <si>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</si>
  <si>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</si>
  <si>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</si>
  <si>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</si>
  <si>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</si>
  <si>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</si>
  <si>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</si>
  <si>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</si>
  <si>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</si>
  <si>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</si>
  <si>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</si>
  <si>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</si>
  <si>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</si>
  <si>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</si>
  <si>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</si>
  <si>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</si>
  <si>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</si>
  <si>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</si>
  <si>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</si>
  <si>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</si>
  <si>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</si>
  <si>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</si>
  <si>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</si>
  <si>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</si>
  <si>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</si>
  <si>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</si>
  <si>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</si>
  <si>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</si>
  <si>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</si>
  <si>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</si>
  <si>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</si>
  <si>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</si>
  <si>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</si>
  <si>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</si>
  <si>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</si>
  <si>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</si>
  <si>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</si>
  <si>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</si>
  <si>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</si>
  <si>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</si>
  <si>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</si>
  <si>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</si>
  <si>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</si>
  <si>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</si>
  <si>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</si>
  <si>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</si>
  <si>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</si>
  <si>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</si>
  <si>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</si>
  <si>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</si>
  <si>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</si>
  <si>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</si>
  <si>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DAA</t>
  </si>
  <si>
    <t>Associated process (DAA)</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</si>
  <si>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</si>
  <si>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</si>
  <si>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</si>
  <si>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</si>
  <si>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</si>
  <si>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</si>
  <si>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</si>
  <si>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</si>
  <si>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</si>
  <si>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</si>
  <si>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</si>
  <si>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</si>
  <si>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</si>
  <si>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</si>
  <si>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</si>
  <si>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</si>
  <si>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</si>
  <si>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</si>
  <si>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</si>
  <si>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</si>
  <si>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</si>
  <si>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</si>
  <si>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</si>
  <si>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</si>
  <si>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</si>
  <si>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</si>
  <si>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</si>
  <si>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or Part B or Associated process (DAA) or MCP or SG</t>
  </si>
  <si>
    <t>Part A(2), Part B, MCP and SG Activities</t>
  </si>
  <si>
    <t>EPR Schedule Reference</t>
  </si>
  <si>
    <t>List of EPR Schedule Part (A) 2, Part B, Medium Combustion Plant (MCP) and Specified Generator (SG) Activities included in the Installation</t>
  </si>
  <si>
    <t>Please enter Part A(2), Part B, Medium Combustion Plant, Specified Generator and associated activities onto this sheet.</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</si>
  <si>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</si>
  <si>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</si>
  <si>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</si>
  <si>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</si>
  <si>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</si>
  <si>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</si>
  <si>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</si>
  <si>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</si>
  <si>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</si>
  <si>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</si>
  <si>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</si>
  <si>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</si>
  <si>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</si>
  <si>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</si>
  <si>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</si>
  <si>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</si>
  <si>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</si>
  <si>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</si>
  <si>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</si>
  <si>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</si>
  <si>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</si>
  <si>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</si>
  <si>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</si>
  <si>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</si>
  <si>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</si>
  <si>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</si>
  <si>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</si>
  <si>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</si>
  <si>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</si>
  <si>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</si>
  <si>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</si>
  <si>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</si>
  <si>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</si>
  <si>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</si>
  <si>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</si>
  <si>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</si>
  <si>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</si>
  <si>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</si>
  <si>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</si>
  <si>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</si>
  <si>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</si>
  <si>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</si>
  <si>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</si>
  <si>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</si>
  <si>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</si>
  <si>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</si>
  <si>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</si>
  <si>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</si>
  <si>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</si>
  <si>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</si>
  <si>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</si>
  <si>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</si>
  <si>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</si>
  <si>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</si>
  <si>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</si>
  <si>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</si>
  <si>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</si>
  <si>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</si>
  <si>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</si>
  <si>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</si>
  <si>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</si>
  <si>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</si>
  <si>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t>Installation Name</t>
  </si>
  <si>
    <r>
      <t xml:space="preserve">Summary of complexities and rules applied - </t>
    </r>
    <r>
      <rPr>
        <sz val="10"/>
        <color rgb="FFFF0000"/>
        <rFont val="Arial"/>
        <family val="2"/>
      </rPr>
      <t>you need to answer rule 6 on this worksheet</t>
    </r>
  </si>
  <si>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</si>
  <si>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</si>
  <si>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</si>
  <si>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Installation</t>
  </si>
  <si>
    <t>Case number</t>
  </si>
  <si>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</si>
  <si>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</si>
  <si>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</si>
  <si>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Table W1 substances</t>
  </si>
  <si>
    <t>Please check that the data is entered in the correct units.The Emission Index will only show if the data entered exceeds the threshold.</t>
  </si>
  <si>
    <t>Installation name</t>
  </si>
  <si>
    <t>Installation name:</t>
  </si>
  <si>
    <r>
      <t xml:space="preserve">Schedule 1 Part A(1) - Rule 4 Aggregation Details (Chemical Industry only)                                            </t>
    </r>
    <r>
      <rPr>
        <b/>
        <sz val="12"/>
        <color rgb="FFFF0000"/>
        <rFont val="Arial"/>
        <family val="2"/>
      </rPr>
      <t>Please contact your local NRW Industry Regulation Team if you need to use this rule</t>
    </r>
  </si>
  <si>
    <t>Are there industry standards for training in this sector (e.g. WAMITAB) and if so do you apply them?
(If no industry standards please use N/A)</t>
  </si>
  <si>
    <t>None</t>
  </si>
  <si>
    <t>Opra Charge Multipliers (2022/2023)</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</si>
  <si>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</si>
  <si>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</si>
  <si>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t>Aggregation,  Schedule1 Part A(2) and Part B Activities, Medium combustion plant and Specified generators</t>
  </si>
  <si>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</si>
  <si>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</si>
  <si>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</si>
  <si>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</si>
  <si>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Local Authority Part A (2) or Part B or MCP or SG activities that form part of the installation.
Refer to Environmental Permitting Charging Scheme for further details.</t>
    </r>
  </si>
  <si>
    <r>
      <t xml:space="preserve">Is your Environmental Management System EMAS registered?
</t>
    </r>
    <r>
      <rPr>
        <sz val="10"/>
        <color rgb="FFFF0000"/>
        <rFont val="Arial"/>
        <family val="2"/>
      </rPr>
      <t>If yes select Yes, add the information into cell I65 and go to question 4.</t>
    </r>
  </si>
  <si>
    <r>
      <t xml:space="preserve">Is your Environmental Management System certified to ISO 14001? 
</t>
    </r>
    <r>
      <rPr>
        <sz val="10"/>
        <color rgb="FFFF0000"/>
        <rFont val="Arial"/>
        <family val="2"/>
      </rPr>
      <t>If yes enter Yes, add the information into cell I66 and go to questions 3 and 4.</t>
    </r>
  </si>
  <si>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add the information into cell I67 and go to questions 3 and 4.</t>
    </r>
  </si>
  <si>
    <t>Opra Scheme NRW V3</t>
  </si>
  <si>
    <t>Dairy Partners (Cymru Wales) Ltd</t>
  </si>
  <si>
    <t>WP3231NB</t>
  </si>
  <si>
    <t>Treatment and processing on milk for the production of dairy products (mozzarella).</t>
  </si>
  <si>
    <t>Treatment of process effluent in the effluent treatment plant.</t>
  </si>
  <si>
    <t>Includes production waste sent to AD and land</t>
  </si>
  <si>
    <t>Health, Safety &amp; Environmental Lead</t>
  </si>
  <si>
    <t>MCERTS SOPs, SOPs for abnormal and emergency conditions at the WWTP, site Spill Plan</t>
  </si>
  <si>
    <t>Site Manager/Engineering Lead</t>
  </si>
  <si>
    <t>Workmate PPM system</t>
  </si>
  <si>
    <t xml:space="preserve">Environmental Permit, WI-HSE-001, WI-HSE-002, </t>
  </si>
  <si>
    <t>Quarterly fabrication audit, Workmate PPM system</t>
  </si>
  <si>
    <t>Site Manager</t>
  </si>
  <si>
    <t>Compliance Assessment Report CAR_NRW0040744</t>
  </si>
  <si>
    <t>Site HSE training matrix</t>
  </si>
  <si>
    <t>Environmental Awareness training lesson</t>
  </si>
  <si>
    <t>Online Learning Management System and In-house Training Matrix</t>
  </si>
  <si>
    <t>Ongoing - Site HSE training matrix</t>
  </si>
  <si>
    <t xml:space="preserve">SOP/WWTP/004 - Abnormal and Emergency Response
EP-017 – Environmental Accident Management Plan </t>
  </si>
  <si>
    <t xml:space="preserve">EP-017 – Environmental Accident Management Plan </t>
  </si>
  <si>
    <t>EP-011 - Environmental Communications</t>
  </si>
  <si>
    <t>FRM-EHS-059 - Incident Response Investigation Report</t>
  </si>
  <si>
    <t>Environmental and Sustainability Policy</t>
  </si>
  <si>
    <t>Environmental Annual Report (internal)</t>
  </si>
  <si>
    <t xml:space="preserve">IC 12 and IC13 (April 2019) </t>
  </si>
  <si>
    <t xml:space="preserve">Improvement </t>
  </si>
  <si>
    <t>Enforcement</t>
  </si>
  <si>
    <t>Formal caution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</si>
</sst>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3"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s>
  <fills count="18">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s>
  <borders count="1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style="thin">
        <color indexed="64"/>
      </right>
      <top style="hair">
        <color indexed="64"/>
      </top>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990">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12" fillId="2" borderId="0" xfId="0" applyFont="1" applyFill="1"/>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3" fillId="2" borderId="2"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3" fillId="2" borderId="24" xfId="0" applyFont="1" applyFill="1" applyBorder="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49" fontId="0" fillId="2" borderId="0" xfId="0" applyNumberFormat="1" applyFill="1"/>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4" borderId="8" xfId="0" applyFill="1" applyBorder="1"/>
    <xf numFmtId="0" fontId="0" fillId="7" borderId="8" xfId="0" applyFill="1" applyBorder="1" applyAlignment="1">
      <alignment horizontal="center"/>
    </xf>
    <xf numFmtId="0" fontId="5" fillId="8" borderId="8" xfId="0" applyFont="1"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13" fillId="2" borderId="0" xfId="0" applyFont="1" applyFill="1" applyAlignment="1">
      <alignment horizontal="left"/>
    </xf>
    <xf numFmtId="0" fontId="13" fillId="2" borderId="0" xfId="0" applyFont="1" applyFill="1" applyAlignment="1">
      <alignment horizontal="center" vertical="center"/>
    </xf>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5" fillId="2" borderId="8" xfId="0" applyFont="1" applyFill="1" applyBorder="1" applyAlignment="1">
      <alignment horizontal="left" vertical="center" wrapText="1"/>
    </xf>
    <xf numFmtId="0" fontId="0" fillId="2" borderId="0" xfId="0" applyFill="1" applyAlignment="1">
      <alignment wrapText="1"/>
    </xf>
    <xf numFmtId="0" fontId="16" fillId="2" borderId="0" xfId="0" applyFont="1" applyFill="1"/>
    <xf numFmtId="0" fontId="5" fillId="2" borderId="8" xfId="0" applyFont="1" applyFill="1" applyBorder="1" applyAlignment="1">
      <alignment horizontal="left"/>
    </xf>
    <xf numFmtId="0" fontId="5" fillId="2" borderId="0" xfId="0" applyFont="1" applyFill="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18" fillId="2" borderId="0" xfId="0" applyFont="1" applyFill="1" applyAlignment="1">
      <alignment horizontal="center"/>
    </xf>
    <xf numFmtId="0" fontId="3" fillId="2" borderId="0" xfId="0" applyFont="1" applyFill="1" applyAlignment="1">
      <alignment horizontal="center" vertical="center" wrapText="1"/>
    </xf>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3" fillId="2" borderId="71" xfId="3" applyFont="1" applyFill="1" applyBorder="1" applyAlignment="1" applyProtection="1">
      <alignment horizontal="center"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6" fillId="2" borderId="35" xfId="3" applyFont="1" applyFill="1" applyBorder="1" applyAlignment="1" applyProtection="1">
      <alignment horizontal="center" vertical="top" wrapText="1"/>
      <protection hidden="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1" xfId="3" applyFont="1" applyFill="1" applyBorder="1" applyAlignment="1" applyProtection="1">
      <alignment vertical="top"/>
      <protection hidden="1"/>
    </xf>
    <xf numFmtId="0" fontId="3" fillId="2" borderId="91"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6" borderId="38" xfId="3" applyFont="1" applyFill="1" applyBorder="1" applyAlignment="1" applyProtection="1">
      <alignment vertical="top" wrapText="1"/>
      <protection locked="0"/>
    </xf>
    <xf numFmtId="15" fontId="12" fillId="6" borderId="53" xfId="3" applyNumberFormat="1" applyFont="1" applyFill="1" applyBorder="1" applyAlignment="1" applyProtection="1">
      <alignment horizontal="center" vertical="top" wrapText="1"/>
      <protection locked="0"/>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0" fillId="12" borderId="13" xfId="0"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0" fontId="0" fillId="7" borderId="0" xfId="0" applyFill="1" applyAlignment="1" applyProtection="1">
      <alignment horizontal="center"/>
      <protection hidden="1"/>
    </xf>
    <xf numFmtId="0" fontId="0" fillId="13" borderId="0" xfId="0" applyFill="1"/>
    <xf numFmtId="0" fontId="0" fillId="13" borderId="0" xfId="0" applyFill="1" applyAlignment="1">
      <alignment horizontal="center"/>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3" fillId="2" borderId="8" xfId="0" applyFont="1" applyFill="1" applyBorder="1" applyAlignment="1">
      <alignment horizontal="center" vertical="top" wrapText="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12" fillId="2" borderId="0" xfId="0" applyFont="1" applyFill="1" applyAlignment="1">
      <alignment horizontal="center" vertical="center"/>
    </xf>
    <xf numFmtId="0" fontId="0" fillId="2" borderId="0" xfId="0" applyFill="1" applyAlignment="1">
      <alignment horizontal="center" vertical="center"/>
    </xf>
    <xf numFmtId="49" fontId="0" fillId="2" borderId="0" xfId="0" applyNumberFormat="1" applyFill="1" applyAlignment="1">
      <alignment horizontal="center" vertical="center"/>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17" fillId="2" borderId="0" xfId="0" applyFont="1" applyFill="1" applyAlignment="1">
      <alignment horizontal="center" vertical="center"/>
    </xf>
    <xf numFmtId="49" fontId="0" fillId="0" borderId="0" xfId="0" applyNumberFormat="1" applyAlignment="1">
      <alignment horizontal="center" vertical="center"/>
    </xf>
    <xf numFmtId="0" fontId="12" fillId="0" borderId="0" xfId="0" applyFont="1" applyAlignment="1">
      <alignment horizontal="center" vertical="center" wrapText="1"/>
    </xf>
    <xf numFmtId="0" fontId="17" fillId="0" borderId="0" xfId="0" applyFont="1" applyAlignment="1">
      <alignment horizontal="center" vertical="center"/>
    </xf>
    <xf numFmtId="0" fontId="13" fillId="14" borderId="0" xfId="0" applyFont="1" applyFill="1" applyAlignment="1">
      <alignment horizontal="center" vertical="center"/>
    </xf>
    <xf numFmtId="0" fontId="0" fillId="14" borderId="0" xfId="0" applyFill="1" applyAlignment="1">
      <alignment horizontal="center" wrapText="1"/>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8" xfId="0" applyFill="1" applyBorder="1" applyAlignment="1" applyProtection="1">
      <alignment horizontal="left" vertical="top" wrapText="1"/>
      <protection locked="0"/>
    </xf>
    <xf numFmtId="0" fontId="12" fillId="4" borderId="8" xfId="0" applyFont="1" applyFill="1" applyBorder="1" applyAlignment="1" applyProtection="1">
      <alignment horizontal="left" vertical="top" wrapText="1"/>
      <protection locked="0"/>
    </xf>
    <xf numFmtId="0" fontId="0" fillId="4" borderId="8" xfId="0" applyFill="1" applyBorder="1" applyAlignment="1" applyProtection="1">
      <alignment horizontal="left" vertical="top" wrapText="1"/>
      <protection locked="0"/>
    </xf>
    <xf numFmtId="0" fontId="0" fillId="6" borderId="25" xfId="0" applyFill="1" applyBorder="1" applyAlignment="1" applyProtection="1">
      <alignment horizontal="left" vertical="top" wrapText="1"/>
      <protection locked="0"/>
    </xf>
    <xf numFmtId="0" fontId="0" fillId="4" borderId="25" xfId="0" applyFill="1" applyBorder="1" applyAlignment="1" applyProtection="1">
      <alignment horizontal="left" vertical="top" wrapText="1"/>
      <protection locked="0"/>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0" fillId="4" borderId="0" xfId="0" applyFill="1" applyAlignment="1" applyProtection="1">
      <alignment horizontal="center"/>
      <protection locked="0"/>
    </xf>
    <xf numFmtId="0" fontId="12" fillId="6" borderId="35" xfId="3" applyFont="1" applyFill="1" applyBorder="1" applyAlignment="1" applyProtection="1">
      <alignment vertical="top" wrapText="1"/>
      <protection locked="0"/>
    </xf>
    <xf numFmtId="15" fontId="12" fillId="6" borderId="38" xfId="3" applyNumberFormat="1" applyFont="1" applyFill="1" applyBorder="1" applyAlignment="1" applyProtection="1">
      <alignment horizontal="center" vertical="top" wrapText="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3" fillId="17" borderId="7" xfId="0" applyFont="1" applyFill="1" applyBorder="1" applyAlignment="1">
      <alignment horizontal="center"/>
    </xf>
    <xf numFmtId="0" fontId="12" fillId="17" borderId="8" xfId="0" applyFont="1" applyFill="1" applyBorder="1" applyAlignment="1">
      <alignment horizontal="center"/>
    </xf>
    <xf numFmtId="0" fontId="0" fillId="17" borderId="8" xfId="0" applyFill="1" applyBorder="1"/>
    <xf numFmtId="0" fontId="0" fillId="17" borderId="8" xfId="0" applyFill="1" applyBorder="1" applyAlignment="1">
      <alignment horizontal="center"/>
    </xf>
    <xf numFmtId="0" fontId="12" fillId="7" borderId="8" xfId="0" applyFont="1" applyFill="1" applyBorder="1" applyAlignment="1" applyProtection="1">
      <alignment horizontal="left" vertical="top" wrapText="1"/>
      <protection hidden="1"/>
    </xf>
    <xf numFmtId="0" fontId="0" fillId="0" borderId="0" xfId="0" applyAlignment="1" applyProtection="1">
      <alignment horizontal="center" vertical="center"/>
      <protection hidden="1"/>
    </xf>
    <xf numFmtId="0" fontId="0" fillId="7" borderId="0" xfId="0" applyFill="1" applyProtection="1">
      <protection hidden="1"/>
    </xf>
    <xf numFmtId="0" fontId="0" fillId="7" borderId="0" xfId="0" applyFill="1" applyAlignment="1" applyProtection="1">
      <alignment horizontal="center" vertical="center"/>
      <protection hidden="1"/>
    </xf>
    <xf numFmtId="0" fontId="45" fillId="7" borderId="0" xfId="0" applyFont="1" applyFill="1" applyAlignment="1" applyProtection="1">
      <alignment horizontal="center"/>
      <protection hidden="1"/>
    </xf>
    <xf numFmtId="0" fontId="47" fillId="7" borderId="0" xfId="0" applyFont="1" applyFill="1" applyAlignment="1" applyProtection="1">
      <alignment horizontal="center"/>
      <protection hidden="1"/>
    </xf>
    <xf numFmtId="0" fontId="0" fillId="7" borderId="19" xfId="0" applyFill="1" applyBorder="1" applyAlignment="1" applyProtection="1">
      <alignment horizontal="center"/>
      <protection hidden="1"/>
    </xf>
    <xf numFmtId="0" fontId="0" fillId="3" borderId="0" xfId="0" applyFill="1" applyAlignment="1">
      <alignment horizontal="center"/>
    </xf>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2" fillId="2" borderId="5" xfId="0" applyFont="1" applyFill="1" applyBorder="1"/>
    <xf numFmtId="0" fontId="0" fillId="3" borderId="0" xfId="0" applyFill="1"/>
    <xf numFmtId="0" fontId="3" fillId="2" borderId="96" xfId="0" applyFont="1" applyFill="1" applyBorder="1" applyAlignment="1">
      <alignment horizontal="center"/>
    </xf>
    <xf numFmtId="0" fontId="3" fillId="2" borderId="97" xfId="0" quotePrefix="1" applyFont="1" applyFill="1" applyBorder="1" applyAlignment="1">
      <alignment horizontal="left"/>
    </xf>
    <xf numFmtId="0" fontId="45" fillId="2" borderId="0" xfId="0" applyFont="1" applyFill="1"/>
    <xf numFmtId="0" fontId="2" fillId="2" borderId="0" xfId="0" applyFont="1" applyFill="1" applyAlignment="1">
      <alignment wrapText="1"/>
    </xf>
    <xf numFmtId="0" fontId="2" fillId="2" borderId="0" xfId="0" applyFont="1" applyFill="1"/>
    <xf numFmtId="0" fontId="1" fillId="2" borderId="0" xfId="0" applyFont="1" applyFill="1" applyAlignment="1">
      <alignment horizontal="center" vertical="center" wrapText="1"/>
    </xf>
    <xf numFmtId="0" fontId="6" fillId="2" borderId="0" xfId="0" applyFont="1" applyFill="1"/>
    <xf numFmtId="0" fontId="7" fillId="2" borderId="0" xfId="0" applyFont="1" applyFill="1" applyAlignment="1">
      <alignment horizontal="left" vertical="center" wrapText="1"/>
    </xf>
    <xf numFmtId="0" fontId="9" fillId="2" borderId="0" xfId="0" applyFont="1" applyFill="1" applyAlignment="1">
      <alignment horizontal="center" vertical="center" wrapText="1"/>
    </xf>
    <xf numFmtId="0" fontId="8" fillId="2" borderId="0" xfId="0" applyFont="1" applyFill="1" applyAlignment="1">
      <alignment horizontal="center" vertical="center" wrapText="1"/>
    </xf>
    <xf numFmtId="0" fontId="3" fillId="2" borderId="0" xfId="0" applyFont="1" applyFill="1"/>
    <xf numFmtId="0" fontId="7" fillId="2" borderId="0" xfId="0" applyFont="1" applyFill="1" applyAlignment="1">
      <alignment horizontal="left" vertical="top" wrapText="1"/>
    </xf>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13" fillId="3" borderId="0" xfId="0" applyFont="1" applyFill="1" applyAlignment="1">
      <alignment horizontal="center" vertical="center"/>
    </xf>
    <xf numFmtId="0" fontId="45" fillId="3" borderId="0" xfId="0" applyFont="1" applyFill="1" applyAlignment="1">
      <alignment horizontal="left" wrapText="1"/>
    </xf>
    <xf numFmtId="49" fontId="0" fillId="3" borderId="0" xfId="0" applyNumberFormat="1" applyFill="1"/>
    <xf numFmtId="0" fontId="0" fillId="3" borderId="0" xfId="0" applyFill="1" applyAlignment="1">
      <alignment horizontal="center" vertical="center"/>
    </xf>
    <xf numFmtId="0" fontId="3" fillId="3" borderId="13" xfId="0" applyFont="1" applyFill="1" applyBorder="1" applyAlignment="1">
      <alignment horizontal="center" vertical="center" wrapText="1"/>
    </xf>
    <xf numFmtId="0" fontId="0" fillId="2" borderId="2" xfId="0" applyFill="1" applyBorder="1" applyAlignment="1">
      <alignment wrapText="1"/>
    </xf>
    <xf numFmtId="0" fontId="0" fillId="2" borderId="100" xfId="0" applyFill="1" applyBorder="1"/>
    <xf numFmtId="0" fontId="0" fillId="2" borderId="101" xfId="0" applyFill="1" applyBorder="1"/>
    <xf numFmtId="0" fontId="3" fillId="2" borderId="101" xfId="0" applyFont="1" applyFill="1" applyBorder="1"/>
    <xf numFmtId="1" fontId="3" fillId="2" borderId="101" xfId="0" applyNumberFormat="1" applyFont="1" applyFill="1" applyBorder="1"/>
    <xf numFmtId="0" fontId="0" fillId="2" borderId="102" xfId="0" applyFill="1" applyBorder="1" applyAlignment="1">
      <alignment wrapText="1"/>
    </xf>
    <xf numFmtId="0" fontId="0" fillId="2" borderId="103" xfId="0" applyFill="1" applyBorder="1"/>
    <xf numFmtId="0" fontId="3" fillId="2" borderId="15" xfId="0" applyFont="1" applyFill="1" applyBorder="1"/>
    <xf numFmtId="1" fontId="3" fillId="2" borderId="60" xfId="0" applyNumberFormat="1" applyFont="1" applyFill="1" applyBorder="1"/>
    <xf numFmtId="0" fontId="0" fillId="2" borderId="104"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5"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28" fillId="2" borderId="107" xfId="3" applyFont="1" applyFill="1" applyBorder="1" applyProtection="1">
      <protection hidden="1"/>
    </xf>
    <xf numFmtId="0" fontId="3" fillId="2" borderId="109" xfId="3" applyFont="1" applyFill="1" applyBorder="1" applyAlignment="1" applyProtection="1">
      <alignment vertical="top" wrapText="1"/>
      <protection hidden="1"/>
    </xf>
    <xf numFmtId="0" fontId="3" fillId="2" borderId="111" xfId="3" applyFont="1" applyFill="1" applyBorder="1" applyAlignment="1" applyProtection="1">
      <alignment vertical="top" wrapText="1"/>
      <protection hidden="1"/>
    </xf>
    <xf numFmtId="0" fontId="3" fillId="2" borderId="113" xfId="3" applyFont="1" applyFill="1" applyBorder="1" applyAlignment="1" applyProtection="1">
      <alignment vertical="top"/>
      <protection hidden="1"/>
    </xf>
    <xf numFmtId="0" fontId="3" fillId="2" borderId="107" xfId="3" applyFont="1" applyFill="1" applyBorder="1" applyAlignment="1" applyProtection="1">
      <alignment vertical="top"/>
      <protection hidden="1"/>
    </xf>
    <xf numFmtId="0" fontId="13" fillId="2" borderId="114"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3"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vertical="top" wrapText="1"/>
      <protection hidden="1"/>
    </xf>
    <xf numFmtId="0" fontId="3" fillId="2" borderId="119" xfId="3" applyFont="1" applyFill="1" applyBorder="1" applyAlignment="1" applyProtection="1">
      <alignment horizontal="left" vertical="top" wrapText="1" indent="2"/>
      <protection hidden="1"/>
    </xf>
    <xf numFmtId="0" fontId="3" fillId="2" borderId="120" xfId="3" applyFont="1" applyFill="1" applyBorder="1" applyAlignment="1" applyProtection="1">
      <alignment horizontal="left" vertical="top" wrapText="1" indent="2"/>
      <protection hidden="1"/>
    </xf>
    <xf numFmtId="0" fontId="3" fillId="2" borderId="118" xfId="3" applyFont="1" applyFill="1" applyBorder="1" applyAlignment="1" applyProtection="1">
      <alignment horizontal="left" vertical="top" wrapText="1" indent="2"/>
      <protection hidden="1"/>
    </xf>
    <xf numFmtId="0" fontId="3" fillId="2" borderId="111" xfId="3" applyFont="1" applyFill="1" applyBorder="1" applyAlignment="1" applyProtection="1">
      <alignment horizontal="left" vertical="top" wrapText="1" indent="2"/>
      <protection hidden="1"/>
    </xf>
    <xf numFmtId="0" fontId="3" fillId="2" borderId="113" xfId="3" applyFont="1" applyFill="1" applyBorder="1" applyAlignment="1" applyProtection="1">
      <alignment vertical="top" wrapText="1"/>
      <protection hidden="1"/>
    </xf>
    <xf numFmtId="0" fontId="3" fillId="2" borderId="107"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2" xfId="3" applyFont="1" applyFill="1" applyBorder="1" applyAlignment="1" applyProtection="1">
      <alignment vertical="top" wrapText="1"/>
      <protection hidden="1"/>
    </xf>
    <xf numFmtId="0" fontId="3" fillId="2" borderId="111" xfId="3" applyFont="1" applyFill="1" applyBorder="1" applyAlignment="1" applyProtection="1">
      <alignment horizontal="right" vertical="top" wrapText="1"/>
      <protection hidden="1"/>
    </xf>
    <xf numFmtId="0" fontId="13" fillId="2" borderId="107" xfId="3" applyFont="1" applyFill="1" applyBorder="1" applyAlignment="1" applyProtection="1">
      <alignment vertical="top" wrapText="1"/>
      <protection hidden="1"/>
    </xf>
    <xf numFmtId="0" fontId="3" fillId="2" borderId="109" xfId="3" applyFont="1" applyFill="1" applyBorder="1" applyAlignment="1" applyProtection="1">
      <alignment horizontal="center" vertical="top" wrapText="1"/>
      <protection hidden="1"/>
    </xf>
    <xf numFmtId="0" fontId="3" fillId="2" borderId="123" xfId="3" applyFont="1" applyFill="1" applyBorder="1" applyAlignment="1" applyProtection="1">
      <alignment horizontal="center" vertical="top" wrapText="1"/>
      <protection hidden="1"/>
    </xf>
    <xf numFmtId="0" fontId="3" fillId="2" borderId="119"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vertical="top" wrapText="1"/>
      <protection hidden="1"/>
    </xf>
    <xf numFmtId="0" fontId="3" fillId="2" borderId="127" xfId="3" applyFont="1" applyFill="1" applyBorder="1" applyAlignment="1" applyProtection="1">
      <alignment horizontal="center" vertical="top" wrapText="1"/>
      <protection hidden="1"/>
    </xf>
    <xf numFmtId="0" fontId="3" fillId="2" borderId="128" xfId="3" applyFont="1" applyFill="1" applyBorder="1" applyAlignment="1" applyProtection="1">
      <alignment vertical="top" wrapText="1"/>
      <protection hidden="1"/>
    </xf>
    <xf numFmtId="0" fontId="3" fillId="2" borderId="114"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9" xfId="3" applyFont="1" applyFill="1" applyBorder="1" applyAlignment="1" applyProtection="1">
      <alignment horizontal="left" vertical="top" wrapText="1"/>
      <protection hidden="1"/>
    </xf>
    <xf numFmtId="0" fontId="3" fillId="2" borderId="107" xfId="3" applyFont="1" applyFill="1" applyBorder="1" applyAlignment="1" applyProtection="1">
      <alignment horizontal="right" vertical="top" wrapText="1"/>
      <protection hidden="1"/>
    </xf>
    <xf numFmtId="0" fontId="3" fillId="2" borderId="103" xfId="3" applyFont="1" applyFill="1" applyBorder="1" applyAlignment="1" applyProtection="1">
      <alignment vertical="top"/>
      <protection hidden="1"/>
    </xf>
    <xf numFmtId="0" fontId="3" fillId="2" borderId="122"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8" xfId="3" applyFont="1" applyFill="1" applyBorder="1" applyAlignment="1" applyProtection="1">
      <alignment vertical="top"/>
      <protection hidden="1"/>
    </xf>
    <xf numFmtId="0" fontId="3" fillId="2" borderId="131"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2"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4" xfId="3" applyFont="1" applyFill="1" applyBorder="1" applyProtection="1">
      <protection hidden="1"/>
    </xf>
    <xf numFmtId="0" fontId="33" fillId="2" borderId="103"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54" fillId="2" borderId="0" xfId="0" applyFont="1" applyFill="1" applyAlignment="1">
      <alignment horizontal="center" wrapText="1"/>
    </xf>
    <xf numFmtId="0" fontId="46" fillId="0" borderId="0" xfId="0" applyFont="1" applyAlignment="1">
      <alignment horizontal="center"/>
    </xf>
    <xf numFmtId="0" fontId="0" fillId="4" borderId="44" xfId="0" applyFill="1" applyBorder="1" applyAlignment="1" applyProtection="1">
      <alignment horizontal="center"/>
      <protection locked="0" hidden="1"/>
    </xf>
    <xf numFmtId="0" fontId="0" fillId="3" borderId="2" xfId="0" applyFill="1" applyBorder="1"/>
    <xf numFmtId="0" fontId="3" fillId="3" borderId="96" xfId="0" applyFont="1" applyFill="1" applyBorder="1" applyAlignment="1">
      <alignment horizontal="center"/>
    </xf>
    <xf numFmtId="0" fontId="3" fillId="3" borderId="97"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55" fillId="8" borderId="0" xfId="0" applyFont="1" applyFill="1" applyAlignment="1">
      <alignment horizont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0" fillId="4" borderId="8" xfId="0" applyFill="1" applyBorder="1" applyAlignment="1">
      <alignment horizontal="left"/>
    </xf>
    <xf numFmtId="0" fontId="57" fillId="7" borderId="8" xfId="0" applyFont="1" applyFill="1" applyBorder="1" applyAlignment="1">
      <alignment horizontal="center" vertical="center" wrapText="1"/>
    </xf>
    <xf numFmtId="0" fontId="34" fillId="2" borderId="0" xfId="0" applyFont="1" applyFill="1"/>
    <xf numFmtId="0" fontId="3" fillId="2" borderId="128"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9" xfId="0" applyFill="1" applyBorder="1"/>
    <xf numFmtId="1" fontId="0" fillId="0" borderId="110" xfId="0" applyNumberFormat="1" applyBorder="1" applyProtection="1">
      <protection locked="0"/>
    </xf>
    <xf numFmtId="0" fontId="0" fillId="2" borderId="111" xfId="0" applyFill="1" applyBorder="1"/>
    <xf numFmtId="1" fontId="0" fillId="0" borderId="112" xfId="0" applyNumberFormat="1" applyBorder="1" applyProtection="1">
      <protection locked="0"/>
    </xf>
    <xf numFmtId="1" fontId="0" fillId="2" borderId="112" xfId="0" applyNumberFormat="1" applyFill="1" applyBorder="1"/>
    <xf numFmtId="0" fontId="0" fillId="2" borderId="111" xfId="0" applyFill="1" applyBorder="1" applyAlignment="1">
      <alignment wrapText="1"/>
    </xf>
    <xf numFmtId="1" fontId="12" fillId="0" borderId="112" xfId="0" applyNumberFormat="1" applyFont="1" applyBorder="1" applyProtection="1">
      <protection locked="0"/>
    </xf>
    <xf numFmtId="1" fontId="0" fillId="2" borderId="130" xfId="0" applyNumberFormat="1" applyFill="1" applyBorder="1"/>
    <xf numFmtId="0" fontId="0" fillId="0" borderId="111" xfId="0" applyBorder="1" applyProtection="1">
      <protection locked="0"/>
    </xf>
    <xf numFmtId="1" fontId="3" fillId="2" borderId="112"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2" borderId="91" xfId="3" applyFont="1" applyFill="1" applyBorder="1" applyAlignment="1" applyProtection="1">
      <alignment vertical="top" wrapText="1"/>
      <protection hidden="1"/>
    </xf>
    <xf numFmtId="0" fontId="12" fillId="0" borderId="142" xfId="3" applyFont="1" applyBorder="1" applyAlignment="1" applyProtection="1">
      <alignment horizontal="center" vertical="top" wrapText="1"/>
      <protection locked="0"/>
    </xf>
    <xf numFmtId="0" fontId="12" fillId="2" borderId="142" xfId="3" applyFont="1" applyFill="1" applyBorder="1" applyAlignment="1" applyProtection="1">
      <alignment vertical="top" wrapText="1"/>
      <protection hidden="1"/>
    </xf>
    <xf numFmtId="0" fontId="12" fillId="0" borderId="142"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3" xfId="3"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6" borderId="71" xfId="3" applyNumberFormat="1" applyFont="1" applyFill="1" applyBorder="1" applyAlignment="1" applyProtection="1">
      <alignment horizontal="center" vertical="top" wrapText="1"/>
      <protection locked="0"/>
    </xf>
    <xf numFmtId="15" fontId="12" fillId="6" borderId="47" xfId="3" applyNumberFormat="1" applyFont="1" applyFill="1" applyBorder="1" applyAlignment="1" applyProtection="1">
      <alignment horizontal="center" vertical="top" wrapText="1"/>
      <protection locked="0"/>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106" xfId="0" applyFill="1" applyBorder="1"/>
    <xf numFmtId="0" fontId="0" fillId="3" borderId="99" xfId="0" applyFill="1" applyBorder="1"/>
    <xf numFmtId="0" fontId="0" fillId="3" borderId="108" xfId="0" applyFill="1" applyBorder="1"/>
    <xf numFmtId="0" fontId="0" fillId="3" borderId="104" xfId="0" applyFill="1" applyBorder="1"/>
    <xf numFmtId="0" fontId="3" fillId="3" borderId="5" xfId="3" applyFont="1" applyFill="1" applyBorder="1" applyAlignment="1" applyProtection="1">
      <alignment horizontal="center" vertical="top" wrapText="1"/>
      <protection hidden="1"/>
    </xf>
    <xf numFmtId="0" fontId="0" fillId="3" borderId="20" xfId="0" applyFill="1" applyBorder="1"/>
    <xf numFmtId="0" fontId="0" fillId="3" borderId="145" xfId="0" applyFill="1" applyBorder="1"/>
    <xf numFmtId="0" fontId="0" fillId="3" borderId="146" xfId="0" applyFill="1" applyBorder="1"/>
    <xf numFmtId="0" fontId="0" fillId="3" borderId="146" xfId="0" applyFill="1" applyBorder="1" applyAlignment="1">
      <alignment wrapText="1"/>
    </xf>
    <xf numFmtId="0" fontId="3" fillId="3" borderId="146"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0" fontId="56" fillId="3" borderId="146" xfId="0" applyFont="1" applyFill="1" applyBorder="1" applyAlignment="1">
      <alignment horizontal="center" vertical="top"/>
    </xf>
    <xf numFmtId="0" fontId="58" fillId="3" borderId="146" xfId="0" applyFont="1" applyFill="1" applyBorder="1" applyAlignment="1">
      <alignment horizontal="center" vertical="center"/>
    </xf>
    <xf numFmtId="164" fontId="36" fillId="3" borderId="133" xfId="3" applyNumberFormat="1" applyFont="1" applyFill="1" applyBorder="1" applyAlignment="1" applyProtection="1">
      <alignment horizontal="center" vertical="center" wrapText="1"/>
      <protection hidden="1"/>
    </xf>
    <xf numFmtId="164" fontId="51" fillId="3" borderId="133" xfId="3" applyNumberFormat="1" applyFont="1" applyFill="1" applyBorder="1" applyAlignment="1" applyProtection="1">
      <alignment horizontal="center" vertical="center" wrapText="1"/>
      <protection hidden="1"/>
    </xf>
    <xf numFmtId="0" fontId="59" fillId="3" borderId="133" xfId="0" applyFont="1" applyFill="1" applyBorder="1" applyAlignment="1" applyProtection="1">
      <alignment horizontal="center" vertical="center"/>
      <protection hidden="1"/>
    </xf>
    <xf numFmtId="164" fontId="36" fillId="3" borderId="133" xfId="3" applyNumberFormat="1" applyFont="1" applyFill="1" applyBorder="1" applyAlignment="1" applyProtection="1">
      <alignment horizontal="center" vertical="center"/>
      <protection hidden="1"/>
    </xf>
    <xf numFmtId="0" fontId="0" fillId="3" borderId="133"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3" xfId="0" applyFont="1" applyFill="1" applyBorder="1" applyAlignment="1" applyProtection="1">
      <alignment horizontal="center" vertical="center"/>
      <protection hidden="1"/>
    </xf>
    <xf numFmtId="0" fontId="3" fillId="2" borderId="122" xfId="0" applyFont="1" applyFill="1" applyBorder="1" applyAlignment="1" applyProtection="1">
      <alignment horizontal="left" vertical="top"/>
      <protection hidden="1"/>
    </xf>
    <xf numFmtId="0" fontId="3" fillId="2" borderId="122"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3" xfId="0" applyFill="1" applyBorder="1" applyAlignment="1" applyProtection="1">
      <alignment horizontal="center"/>
      <protection hidden="1"/>
    </xf>
    <xf numFmtId="0" fontId="0" fillId="3" borderId="133" xfId="0" applyFill="1" applyBorder="1" applyProtection="1">
      <protection hidden="1"/>
    </xf>
    <xf numFmtId="0" fontId="60" fillId="12" borderId="24" xfId="0" applyFont="1" applyFill="1" applyBorder="1" applyProtection="1">
      <protection hidden="1"/>
    </xf>
    <xf numFmtId="0" fontId="60" fillId="12" borderId="94" xfId="0" applyFont="1" applyFill="1" applyBorder="1" applyProtection="1">
      <protection hidden="1"/>
    </xf>
    <xf numFmtId="0" fontId="11" fillId="12" borderId="92" xfId="0" applyFont="1" applyFill="1" applyBorder="1" applyProtection="1">
      <protection hidden="1"/>
    </xf>
    <xf numFmtId="0" fontId="11" fillId="12" borderId="93"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5"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0" fontId="61" fillId="13" borderId="90" xfId="0" applyFont="1" applyFill="1" applyBorder="1" applyProtection="1">
      <protection hidden="1"/>
    </xf>
    <xf numFmtId="0" fontId="61" fillId="8" borderId="81" xfId="0" applyFont="1" applyFill="1" applyBorder="1" applyProtection="1">
      <protection hidden="1"/>
    </xf>
    <xf numFmtId="44" fontId="36" fillId="7" borderId="12" xfId="4" applyFont="1" applyFill="1" applyBorder="1" applyProtection="1">
      <protection hidden="1"/>
    </xf>
    <xf numFmtId="0" fontId="26" fillId="7" borderId="14" xfId="0" applyFont="1" applyFill="1" applyBorder="1" applyProtection="1">
      <protection hidden="1"/>
    </xf>
    <xf numFmtId="44" fontId="36" fillId="7" borderId="14" xfId="4" applyFont="1" applyFill="1" applyBorder="1" applyProtection="1">
      <protection hidden="1"/>
    </xf>
    <xf numFmtId="0" fontId="26" fillId="12" borderId="13" xfId="0" applyFont="1" applyFill="1" applyBorder="1" applyProtection="1">
      <protection hidden="1"/>
    </xf>
    <xf numFmtId="44" fontId="36" fillId="8" borderId="17" xfId="4" applyFont="1" applyFill="1" applyBorder="1" applyProtection="1">
      <protection hidden="1"/>
    </xf>
    <xf numFmtId="0" fontId="11" fillId="12" borderId="147" xfId="0" applyFont="1" applyFill="1" applyBorder="1" applyAlignment="1" applyProtection="1">
      <alignment horizontal="center"/>
      <protection hidden="1"/>
    </xf>
    <xf numFmtId="0" fontId="61" fillId="7" borderId="148"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49" xfId="0" applyFont="1" applyFill="1" applyBorder="1" applyProtection="1">
      <protection hidden="1"/>
    </xf>
    <xf numFmtId="0" fontId="0" fillId="6" borderId="146" xfId="0" applyFill="1" applyBorder="1"/>
    <xf numFmtId="0" fontId="12" fillId="6" borderId="142" xfId="3" applyFont="1" applyFill="1" applyBorder="1" applyAlignment="1" applyProtection="1">
      <alignment horizontal="center" vertical="top" wrapText="1"/>
      <protection locked="0"/>
    </xf>
    <xf numFmtId="15" fontId="12" fillId="7" borderId="39" xfId="3" applyNumberFormat="1" applyFont="1" applyFill="1" applyBorder="1" applyAlignment="1" applyProtection="1">
      <alignment horizontal="center" vertical="top" wrapText="1"/>
      <protection locked="0"/>
    </xf>
    <xf numFmtId="0" fontId="12" fillId="9" borderId="45" xfId="3" quotePrefix="1" applyFont="1" applyFill="1" applyBorder="1" applyAlignment="1" applyProtection="1">
      <alignment vertical="top" wrapText="1"/>
      <protection locked="0"/>
    </xf>
    <xf numFmtId="0" fontId="12" fillId="0" borderId="39" xfId="3" applyFont="1" applyBorder="1" applyAlignment="1" applyProtection="1">
      <alignment vertical="top" wrapText="1"/>
      <protection locked="0"/>
    </xf>
    <xf numFmtId="0" fontId="12" fillId="0" borderId="45" xfId="3" applyFont="1" applyBorder="1" applyAlignment="1" applyProtection="1">
      <alignment vertical="top" wrapText="1"/>
      <protection locked="0"/>
    </xf>
    <xf numFmtId="0" fontId="12" fillId="0" borderId="54" xfId="3" applyFont="1" applyBorder="1" applyAlignment="1" applyProtection="1">
      <alignment vertical="top" wrapText="1"/>
      <protection locked="0"/>
    </xf>
    <xf numFmtId="0" fontId="12" fillId="0" borderId="60" xfId="3" applyFont="1" applyBorder="1" applyAlignment="1" applyProtection="1">
      <alignment vertical="top" wrapText="1"/>
      <protection locked="0"/>
    </xf>
    <xf numFmtId="0" fontId="12" fillId="0" borderId="63" xfId="3" applyFont="1" applyBorder="1" applyAlignment="1" applyProtection="1">
      <alignment vertical="top" wrapText="1"/>
      <protection locked="0"/>
    </xf>
    <xf numFmtId="0" fontId="0" fillId="3" borderId="146" xfId="0" applyFill="1" applyBorder="1" applyAlignment="1">
      <alignment horizontal="center" vertical="center"/>
    </xf>
    <xf numFmtId="164" fontId="3" fillId="3" borderId="26" xfId="0" applyNumberFormat="1" applyFont="1" applyFill="1" applyBorder="1" applyAlignment="1">
      <alignment horizontal="center"/>
    </xf>
    <xf numFmtId="0" fontId="3" fillId="3" borderId="98" xfId="0" applyFont="1" applyFill="1" applyBorder="1" applyAlignment="1">
      <alignment horizontal="center"/>
    </xf>
    <xf numFmtId="0" fontId="3" fillId="3" borderId="26" xfId="0" applyFont="1" applyFill="1" applyBorder="1" applyAlignment="1">
      <alignment horizontal="center"/>
    </xf>
    <xf numFmtId="0" fontId="3" fillId="3" borderId="99" xfId="0" applyFont="1" applyFill="1" applyBorder="1" applyAlignment="1">
      <alignment horizontal="center"/>
    </xf>
    <xf numFmtId="0" fontId="3" fillId="2" borderId="98" xfId="0" applyFont="1" applyFill="1" applyBorder="1" applyAlignment="1">
      <alignment horizontal="center"/>
    </xf>
    <xf numFmtId="0" fontId="3" fillId="2" borderId="26" xfId="0" applyFont="1" applyFill="1" applyBorder="1" applyAlignment="1">
      <alignment horizontal="center"/>
    </xf>
    <xf numFmtId="0" fontId="3" fillId="2" borderId="99"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2" fillId="2" borderId="0" xfId="0" applyFont="1" applyFill="1" applyAlignment="1">
      <alignment horizontal="left" vertical="top"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3" fillId="2" borderId="6" xfId="0" applyFont="1" applyFill="1" applyBorder="1" applyAlignment="1">
      <alignment horizontal="left"/>
    </xf>
    <xf numFmtId="0" fontId="3" fillId="2" borderId="9" xfId="0" applyFont="1" applyFill="1" applyBorder="1" applyAlignment="1">
      <alignment horizontal="left"/>
    </xf>
    <xf numFmtId="0" fontId="3" fillId="2" borderId="7" xfId="0" applyFont="1" applyFill="1" applyBorder="1" applyAlignment="1">
      <alignment horizontal="left"/>
    </xf>
    <xf numFmtId="0" fontId="0" fillId="3" borderId="0" xfId="0" applyFill="1" applyAlignment="1">
      <alignment horizontal="center"/>
    </xf>
    <xf numFmtId="0" fontId="11" fillId="2" borderId="23" xfId="0" applyFont="1" applyFill="1" applyBorder="1" applyAlignment="1">
      <alignment horizontal="center" vertical="center"/>
    </xf>
    <xf numFmtId="0" fontId="13" fillId="2" borderId="2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4" fillId="2" borderId="8"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30"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5"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4"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7" borderId="69" xfId="0" applyFill="1" applyBorder="1" applyAlignment="1" applyProtection="1">
      <alignment horizontal="center" vertical="center"/>
      <protection hidden="1"/>
    </xf>
    <xf numFmtId="0" fontId="0" fillId="7" borderId="75" xfId="0" applyFill="1" applyBorder="1" applyAlignment="1" applyProtection="1">
      <alignment horizontal="center" vertical="center"/>
      <protection hidden="1"/>
    </xf>
    <xf numFmtId="0" fontId="0" fillId="7" borderId="31"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3" xfId="3" applyFont="1" applyBorder="1" applyAlignment="1" applyProtection="1">
      <alignment horizontal="left" vertical="top" wrapText="1"/>
      <protection locked="0" hidden="1"/>
    </xf>
    <xf numFmtId="0" fontId="12" fillId="0" borderId="36"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left" vertical="top" wrapText="1"/>
      <protection locked="0" hidden="1"/>
    </xf>
    <xf numFmtId="0" fontId="12" fillId="0" borderId="73" xfId="3" applyFont="1" applyBorder="1" applyAlignment="1" applyProtection="1">
      <alignment horizontal="left" vertical="top" wrapText="1"/>
      <protection locked="0" hidden="1"/>
    </xf>
    <xf numFmtId="0" fontId="12" fillId="0" borderId="53" xfId="3" applyFont="1" applyBorder="1" applyAlignment="1" applyProtection="1">
      <alignment horizontal="left" vertical="top" wrapText="1"/>
      <protection locked="0" hidden="1"/>
    </xf>
    <xf numFmtId="0" fontId="12" fillId="0" borderId="50" xfId="3" applyFont="1" applyBorder="1" applyAlignment="1" applyProtection="1">
      <alignment horizontal="left"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4"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3" fillId="2"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9" xfId="3" applyFont="1" applyFill="1" applyBorder="1" applyAlignment="1" applyProtection="1">
      <alignment horizontal="right" vertical="top" wrapText="1"/>
      <protection hidden="1"/>
    </xf>
    <xf numFmtId="0" fontId="3" fillId="2" borderId="120"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12" fillId="2" borderId="107"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7"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7"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4"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3"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1"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2" borderId="6" xfId="0" applyFont="1" applyFill="1" applyBorder="1" applyAlignment="1" applyProtection="1">
      <alignment horizontal="left"/>
      <protection hidden="1"/>
    </xf>
    <xf numFmtId="0" fontId="61" fillId="2" borderId="9" xfId="0" applyFont="1" applyFill="1" applyBorder="1" applyAlignment="1" applyProtection="1">
      <alignment horizontal="left"/>
      <protection hidden="1"/>
    </xf>
    <xf numFmtId="0" fontId="61" fillId="2" borderId="7" xfId="0" applyFont="1" applyFill="1" applyBorder="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3"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63">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5</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1</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3</c:v>
                </c:pt>
                <c:pt idx="4">
                  <c:v>2</c:v>
                </c:pt>
                <c:pt idx="5">
                  <c:v>0</c:v>
                </c:pt>
                <c:pt idx="6">
                  <c:v>2</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performance'!$I$160:$I$165</c:f>
              <c:numCache>
                <c:formatCode>0.0</c:formatCode>
                <c:ptCount val="6"/>
                <c:pt idx="0">
                  <c:v>0.83333333333333348</c:v>
                </c:pt>
                <c:pt idx="1">
                  <c:v>1.7647058823529413</c:v>
                </c:pt>
                <c:pt idx="2">
                  <c:v>1.333333333333333</c:v>
                </c:pt>
                <c:pt idx="3">
                  <c:v>0</c:v>
                </c:pt>
                <c:pt idx="4">
                  <c:v>-1.5</c:v>
                </c:pt>
                <c:pt idx="5">
                  <c:v>2.4313725490196081</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4</xdr:row>
      <xdr:rowOff>38100</xdr:rowOff>
    </xdr:from>
    <xdr:to>
      <xdr:col>14</xdr:col>
      <xdr:colOff>419099</xdr:colOff>
      <xdr:row>20</xdr:row>
      <xdr:rowOff>47626</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800100"/>
          <a:ext cx="8105775" cy="3057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24</xdr:row>
      <xdr:rowOff>180975</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381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920750</xdr:colOff>
      <xdr:row>1</xdr:row>
      <xdr:rowOff>105835</xdr:rowOff>
    </xdr:from>
    <xdr:to>
      <xdr:col>8</xdr:col>
      <xdr:colOff>211666</xdr:colOff>
      <xdr:row>1</xdr:row>
      <xdr:rowOff>814917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286000" y="455085"/>
          <a:ext cx="5894916"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292100</xdr:colOff>
          <xdr:row>5</xdr:row>
          <xdr:rowOff>349250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273050</xdr:colOff>
          <xdr:row>6</xdr:row>
          <xdr:rowOff>349250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292100</xdr:colOff>
          <xdr:row>6</xdr:row>
          <xdr:rowOff>349250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177800</xdr:rowOff>
        </xdr:from>
        <xdr:to>
          <xdr:col>6</xdr:col>
          <xdr:colOff>158750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133</xdr:row>
      <xdr:rowOff>114300</xdr:rowOff>
    </xdr:from>
    <xdr:to>
      <xdr:col>7</xdr:col>
      <xdr:colOff>73025</xdr:colOff>
      <xdr:row>150</xdr:row>
      <xdr:rowOff>167642</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29</xdr:col>
      <xdr:colOff>171450</xdr:colOff>
      <xdr:row>1</xdr:row>
      <xdr:rowOff>161925</xdr:rowOff>
    </xdr:from>
    <xdr:to>
      <xdr:col>39</xdr:col>
      <xdr:colOff>352425</xdr:colOff>
      <xdr:row>34</xdr:row>
      <xdr:rowOff>38100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74100" y="352425"/>
          <a:ext cx="6276975" cy="6734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17</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s://www.gov.uk/government/publications/environmental-permitting-guidance-core-guidance--2"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3.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J3" sqref="J3"/>
    </sheetView>
  </sheetViews>
  <sheetFormatPr defaultRowHeight="14.5" x14ac:dyDescent="0.35"/>
  <sheetData>
    <row r="1" spans="1:18" x14ac:dyDescent="0.35">
      <c r="A1" s="427"/>
      <c r="B1" s="427"/>
      <c r="C1" s="539" t="s">
        <v>2</v>
      </c>
      <c r="D1" s="701" t="s">
        <v>26</v>
      </c>
      <c r="E1" s="701"/>
      <c r="F1" s="540"/>
      <c r="G1" s="538"/>
      <c r="H1" s="538"/>
      <c r="I1" s="538"/>
      <c r="J1" s="702" t="s">
        <v>774</v>
      </c>
      <c r="K1" s="703"/>
      <c r="L1" s="703"/>
      <c r="M1" s="703"/>
      <c r="N1" s="703"/>
      <c r="O1" s="704"/>
      <c r="P1" s="427"/>
      <c r="Q1" s="427"/>
      <c r="R1" s="427"/>
    </row>
    <row r="2" spans="1:18" x14ac:dyDescent="0.35">
      <c r="A2" s="427"/>
      <c r="B2" s="427"/>
      <c r="C2" s="427"/>
      <c r="D2" s="427"/>
      <c r="E2" s="427"/>
      <c r="F2" s="427"/>
      <c r="G2" s="427"/>
      <c r="H2" s="427"/>
      <c r="I2" s="427"/>
      <c r="J2" s="427"/>
      <c r="K2" s="427"/>
      <c r="L2" s="427"/>
      <c r="M2" s="427"/>
      <c r="N2" s="427"/>
      <c r="O2" s="427"/>
      <c r="P2" s="427"/>
      <c r="Q2" s="427"/>
      <c r="R2" s="427"/>
    </row>
    <row r="3" spans="1:18" x14ac:dyDescent="0.35">
      <c r="A3" s="427"/>
      <c r="B3" s="427"/>
      <c r="C3" s="427"/>
      <c r="D3" s="427"/>
      <c r="E3" s="427"/>
      <c r="F3" s="427"/>
      <c r="G3" s="427"/>
      <c r="H3" s="427"/>
      <c r="I3" s="427"/>
      <c r="J3" s="427"/>
      <c r="K3" s="427"/>
      <c r="L3" s="427"/>
      <c r="M3" s="427"/>
      <c r="N3" s="427"/>
      <c r="O3" s="427"/>
      <c r="P3" s="427"/>
      <c r="Q3" s="427"/>
      <c r="R3" s="427"/>
    </row>
    <row r="4" spans="1:18" x14ac:dyDescent="0.35">
      <c r="A4" s="427"/>
      <c r="B4" s="427"/>
      <c r="C4" s="427"/>
      <c r="D4" s="427"/>
      <c r="E4" s="427"/>
      <c r="F4" s="427"/>
      <c r="G4" s="427"/>
      <c r="H4" s="427"/>
      <c r="I4" s="427"/>
      <c r="J4" s="427"/>
      <c r="K4" s="427"/>
      <c r="L4" s="427"/>
      <c r="M4" s="427"/>
      <c r="N4" s="427"/>
      <c r="O4" s="427"/>
      <c r="P4" s="427"/>
      <c r="Q4" s="427"/>
      <c r="R4" s="427"/>
    </row>
    <row r="5" spans="1:18" x14ac:dyDescent="0.35">
      <c r="A5" s="427"/>
      <c r="B5" s="427"/>
      <c r="C5" s="427"/>
      <c r="D5" s="427"/>
      <c r="E5" s="427"/>
      <c r="F5" s="427"/>
      <c r="G5" s="427"/>
      <c r="H5" s="427"/>
      <c r="I5" s="427"/>
      <c r="J5" s="427"/>
      <c r="K5" s="427"/>
      <c r="L5" s="427"/>
      <c r="M5" s="427"/>
      <c r="N5" s="427"/>
      <c r="O5" s="427"/>
      <c r="P5" s="427"/>
      <c r="Q5" s="427"/>
      <c r="R5" s="427"/>
    </row>
    <row r="6" spans="1:18" x14ac:dyDescent="0.35">
      <c r="A6" s="427"/>
      <c r="B6" s="427"/>
      <c r="C6" s="427"/>
      <c r="D6" s="427"/>
      <c r="E6" s="427"/>
      <c r="F6" s="427"/>
      <c r="G6" s="427"/>
      <c r="H6" s="427"/>
      <c r="I6" s="427"/>
      <c r="J6" s="427"/>
      <c r="K6" s="427"/>
      <c r="L6" s="427"/>
      <c r="M6" s="427"/>
      <c r="N6" s="427"/>
      <c r="O6" s="427"/>
      <c r="P6" s="427"/>
      <c r="Q6" s="427"/>
      <c r="R6" s="427"/>
    </row>
    <row r="7" spans="1:18" x14ac:dyDescent="0.35">
      <c r="A7" s="427"/>
      <c r="B7" s="427"/>
      <c r="C7" s="427"/>
      <c r="D7" s="427"/>
      <c r="E7" s="427"/>
      <c r="F7" s="427"/>
      <c r="G7" s="427"/>
      <c r="H7" s="427"/>
      <c r="I7" s="427"/>
      <c r="J7" s="427"/>
      <c r="K7" s="427"/>
      <c r="L7" s="427"/>
      <c r="M7" s="427"/>
      <c r="N7" s="427"/>
      <c r="O7" s="427"/>
      <c r="P7" s="427"/>
      <c r="Q7" s="427"/>
      <c r="R7" s="427"/>
    </row>
    <row r="8" spans="1:18" x14ac:dyDescent="0.35">
      <c r="A8" s="427"/>
      <c r="B8" s="427"/>
      <c r="C8" s="427"/>
      <c r="D8" s="427"/>
      <c r="E8" s="427"/>
      <c r="F8" s="427"/>
      <c r="G8" s="427"/>
      <c r="H8" s="427"/>
      <c r="I8" s="427"/>
      <c r="J8" s="427"/>
      <c r="K8" s="427"/>
      <c r="L8" s="427"/>
      <c r="M8" s="427"/>
      <c r="N8" s="427"/>
      <c r="O8" s="427"/>
      <c r="P8" s="427"/>
      <c r="Q8" s="427"/>
      <c r="R8" s="427"/>
    </row>
    <row r="9" spans="1:18" x14ac:dyDescent="0.35">
      <c r="A9" s="427"/>
      <c r="B9" s="427"/>
      <c r="C9" s="427"/>
      <c r="D9" s="427"/>
      <c r="E9" s="427"/>
      <c r="F9" s="427"/>
      <c r="G9" s="427"/>
      <c r="H9" s="427"/>
      <c r="I9" s="427"/>
      <c r="J9" s="427"/>
      <c r="K9" s="427"/>
      <c r="L9" s="427"/>
      <c r="M9" s="427"/>
      <c r="N9" s="427"/>
      <c r="O9" s="427"/>
      <c r="P9" s="427"/>
      <c r="Q9" s="427"/>
      <c r="R9" s="427"/>
    </row>
    <row r="10" spans="1:18" x14ac:dyDescent="0.35">
      <c r="A10" s="427"/>
      <c r="B10" s="427"/>
      <c r="C10" s="427"/>
      <c r="D10" s="427"/>
      <c r="E10" s="427"/>
      <c r="F10" s="427"/>
      <c r="G10" s="427"/>
      <c r="H10" s="427"/>
      <c r="I10" s="427"/>
      <c r="J10" s="427"/>
      <c r="K10" s="427"/>
      <c r="L10" s="427"/>
      <c r="M10" s="427"/>
      <c r="N10" s="427"/>
      <c r="O10" s="427"/>
      <c r="P10" s="427"/>
      <c r="Q10" s="427"/>
      <c r="R10" s="427"/>
    </row>
    <row r="11" spans="1:18" x14ac:dyDescent="0.35">
      <c r="A11" s="427"/>
      <c r="B11" s="427"/>
      <c r="C11" s="427"/>
      <c r="D11" s="427"/>
      <c r="E11" s="427"/>
      <c r="F11" s="427"/>
      <c r="G11" s="427"/>
      <c r="H11" s="427"/>
      <c r="I11" s="427"/>
      <c r="J11" s="427"/>
      <c r="K11" s="427"/>
      <c r="L11" s="427"/>
      <c r="M11" s="427"/>
      <c r="N11" s="427"/>
      <c r="O11" s="427"/>
      <c r="P11" s="427"/>
      <c r="Q11" s="427"/>
      <c r="R11" s="427"/>
    </row>
    <row r="12" spans="1:18" x14ac:dyDescent="0.35">
      <c r="A12" s="427"/>
      <c r="B12" s="427"/>
      <c r="C12" s="427"/>
      <c r="D12" s="427"/>
      <c r="E12" s="427"/>
      <c r="F12" s="427"/>
      <c r="G12" s="427"/>
      <c r="H12" s="427"/>
      <c r="I12" s="427"/>
      <c r="J12" s="427"/>
      <c r="K12" s="427"/>
      <c r="L12" s="427"/>
      <c r="M12" s="427"/>
      <c r="N12" s="427"/>
      <c r="O12" s="427"/>
      <c r="P12" s="427"/>
      <c r="Q12" s="427"/>
      <c r="R12" s="427"/>
    </row>
    <row r="13" spans="1:18" x14ac:dyDescent="0.35">
      <c r="A13" s="427"/>
      <c r="B13" s="427"/>
      <c r="C13" s="427"/>
      <c r="D13" s="427"/>
      <c r="E13" s="427"/>
      <c r="F13" s="427"/>
      <c r="G13" s="427"/>
      <c r="H13" s="427"/>
      <c r="I13" s="427"/>
      <c r="J13" s="427"/>
      <c r="K13" s="427"/>
      <c r="L13" s="427"/>
      <c r="M13" s="427"/>
      <c r="N13" s="427"/>
      <c r="O13" s="427"/>
      <c r="P13" s="427"/>
      <c r="Q13" s="427"/>
      <c r="R13" s="427"/>
    </row>
    <row r="14" spans="1:18" x14ac:dyDescent="0.35">
      <c r="A14" s="427"/>
      <c r="B14" s="427"/>
      <c r="C14" s="427"/>
      <c r="D14" s="427"/>
      <c r="E14" s="427"/>
      <c r="F14" s="427"/>
      <c r="G14" s="427"/>
      <c r="H14" s="427"/>
      <c r="I14" s="427"/>
      <c r="J14" s="427"/>
      <c r="K14" s="427"/>
      <c r="L14" s="427"/>
      <c r="M14" s="427"/>
      <c r="N14" s="427"/>
      <c r="O14" s="427"/>
      <c r="P14" s="427"/>
      <c r="Q14" s="427"/>
      <c r="R14" s="427"/>
    </row>
    <row r="15" spans="1:18" x14ac:dyDescent="0.35">
      <c r="A15" s="427"/>
      <c r="B15" s="427"/>
      <c r="C15" s="427"/>
      <c r="D15" s="427"/>
      <c r="E15" s="427"/>
      <c r="F15" s="427"/>
      <c r="G15" s="427"/>
      <c r="H15" s="427"/>
      <c r="I15" s="427"/>
      <c r="J15" s="427"/>
      <c r="K15" s="427"/>
      <c r="L15" s="427"/>
      <c r="M15" s="427"/>
      <c r="N15" s="427"/>
      <c r="O15" s="427"/>
      <c r="P15" s="427"/>
      <c r="Q15" s="427"/>
      <c r="R15" s="427"/>
    </row>
    <row r="16" spans="1:18" x14ac:dyDescent="0.35">
      <c r="A16" s="427"/>
      <c r="B16" s="427"/>
      <c r="C16" s="427"/>
      <c r="D16" s="427"/>
      <c r="E16" s="427"/>
      <c r="F16" s="427"/>
      <c r="G16" s="427"/>
      <c r="H16" s="427"/>
      <c r="I16" s="427"/>
      <c r="J16" s="427"/>
      <c r="K16" s="427"/>
      <c r="L16" s="427"/>
      <c r="M16" s="427"/>
      <c r="N16" s="427"/>
      <c r="O16" s="427"/>
      <c r="P16" s="427"/>
      <c r="Q16" s="427"/>
      <c r="R16" s="427"/>
    </row>
    <row r="17" spans="1:18" x14ac:dyDescent="0.35">
      <c r="A17" s="427"/>
      <c r="B17" s="427"/>
      <c r="C17" s="427"/>
      <c r="D17" s="427"/>
      <c r="E17" s="427"/>
      <c r="F17" s="427"/>
      <c r="G17" s="427"/>
      <c r="H17" s="427"/>
      <c r="I17" s="427"/>
      <c r="J17" s="427"/>
      <c r="K17" s="427"/>
      <c r="L17" s="427"/>
      <c r="M17" s="427"/>
      <c r="N17" s="427"/>
      <c r="O17" s="427"/>
      <c r="P17" s="427"/>
      <c r="Q17" s="427"/>
      <c r="R17" s="427"/>
    </row>
    <row r="18" spans="1:18" x14ac:dyDescent="0.35">
      <c r="A18" s="427"/>
      <c r="B18" s="427"/>
      <c r="C18" s="427"/>
      <c r="D18" s="427"/>
      <c r="E18" s="427"/>
      <c r="F18" s="427"/>
      <c r="G18" s="427"/>
      <c r="H18" s="427"/>
      <c r="I18" s="427"/>
      <c r="J18" s="427"/>
      <c r="K18" s="427"/>
      <c r="L18" s="427"/>
      <c r="M18" s="427"/>
      <c r="N18" s="427"/>
      <c r="O18" s="427"/>
      <c r="P18" s="427"/>
      <c r="Q18" s="427"/>
      <c r="R18" s="427"/>
    </row>
    <row r="19" spans="1:18" x14ac:dyDescent="0.35">
      <c r="A19" s="427"/>
      <c r="B19" s="427"/>
      <c r="C19" s="427"/>
      <c r="D19" s="427"/>
      <c r="E19" s="427"/>
      <c r="F19" s="427"/>
      <c r="G19" s="427"/>
      <c r="H19" s="427"/>
      <c r="I19" s="427"/>
      <c r="J19" s="427"/>
      <c r="K19" s="427"/>
      <c r="L19" s="427"/>
      <c r="M19" s="427"/>
      <c r="N19" s="427"/>
      <c r="O19" s="427"/>
      <c r="P19" s="427"/>
      <c r="Q19" s="427"/>
      <c r="R19" s="427"/>
    </row>
    <row r="20" spans="1:18" x14ac:dyDescent="0.35">
      <c r="A20" s="427"/>
      <c r="B20" s="427"/>
      <c r="C20" s="427"/>
      <c r="D20" s="427"/>
      <c r="E20" s="427"/>
      <c r="F20" s="427"/>
      <c r="G20" s="427"/>
      <c r="H20" s="427"/>
      <c r="I20" s="427"/>
      <c r="J20" s="427"/>
      <c r="K20" s="427"/>
      <c r="L20" s="427"/>
      <c r="M20" s="427"/>
      <c r="N20" s="427"/>
      <c r="O20" s="427"/>
      <c r="P20" s="427"/>
      <c r="Q20" s="427"/>
      <c r="R20" s="427"/>
    </row>
    <row r="21" spans="1:18" x14ac:dyDescent="0.35">
      <c r="A21" s="427"/>
      <c r="B21" s="427"/>
      <c r="C21" s="427"/>
      <c r="D21" s="427"/>
      <c r="E21" s="427"/>
      <c r="F21" s="427"/>
      <c r="G21" s="427"/>
      <c r="H21" s="427"/>
      <c r="I21" s="427"/>
      <c r="J21" s="427"/>
      <c r="K21" s="427"/>
      <c r="L21" s="427"/>
      <c r="M21" s="427"/>
      <c r="N21" s="427"/>
      <c r="O21" s="427"/>
      <c r="P21" s="427"/>
      <c r="Q21" s="427"/>
      <c r="R21" s="427"/>
    </row>
    <row r="22" spans="1:18" x14ac:dyDescent="0.35">
      <c r="A22" s="427"/>
      <c r="B22" s="427"/>
      <c r="C22" s="427"/>
      <c r="D22" s="427"/>
      <c r="E22" s="427"/>
      <c r="F22" s="427"/>
      <c r="G22" s="427"/>
      <c r="H22" s="427"/>
      <c r="I22" s="427"/>
      <c r="J22" s="427"/>
      <c r="K22" s="427"/>
      <c r="L22" s="427"/>
      <c r="M22" s="427"/>
      <c r="N22" s="427"/>
      <c r="O22" s="427"/>
      <c r="P22" s="427"/>
      <c r="Q22" s="427"/>
      <c r="R22" s="427"/>
    </row>
    <row r="23" spans="1:18" x14ac:dyDescent="0.35">
      <c r="A23" s="427"/>
      <c r="B23" s="427"/>
      <c r="C23" s="427"/>
      <c r="D23" s="427"/>
      <c r="E23" s="427"/>
      <c r="F23" s="427"/>
      <c r="G23" s="427"/>
      <c r="H23" s="427"/>
      <c r="I23" s="427"/>
      <c r="J23" s="427"/>
      <c r="K23" s="427"/>
      <c r="L23" s="427"/>
      <c r="M23" s="427"/>
      <c r="N23" s="427"/>
      <c r="O23" s="427"/>
      <c r="P23" s="427"/>
      <c r="Q23" s="427"/>
      <c r="R23" s="427"/>
    </row>
    <row r="24" spans="1:18" x14ac:dyDescent="0.35">
      <c r="A24" s="427"/>
      <c r="B24" s="427"/>
      <c r="C24" s="427"/>
      <c r="D24" s="427"/>
      <c r="E24" s="427"/>
      <c r="F24" s="427"/>
      <c r="G24" s="427"/>
      <c r="H24" s="427"/>
      <c r="I24" s="427"/>
      <c r="J24" s="427"/>
      <c r="K24" s="427"/>
      <c r="L24" s="427"/>
      <c r="M24" s="427"/>
      <c r="N24" s="427"/>
      <c r="O24" s="427"/>
      <c r="P24" s="427"/>
      <c r="Q24" s="427"/>
      <c r="R24" s="427"/>
    </row>
    <row r="25" spans="1:18" x14ac:dyDescent="0.35">
      <c r="A25" s="427"/>
      <c r="B25" s="427"/>
      <c r="C25" s="427"/>
      <c r="D25" s="427"/>
      <c r="E25" s="427"/>
      <c r="F25" s="427"/>
      <c r="G25" s="427"/>
      <c r="H25" s="427"/>
      <c r="I25" s="427"/>
      <c r="J25" s="427"/>
      <c r="K25" s="427"/>
      <c r="L25" s="427"/>
      <c r="M25" s="427"/>
      <c r="N25" s="427"/>
      <c r="O25" s="427"/>
      <c r="P25" s="427"/>
      <c r="Q25" s="427"/>
      <c r="R25" s="427"/>
    </row>
    <row r="26" spans="1:18" x14ac:dyDescent="0.35">
      <c r="A26" s="427"/>
      <c r="B26" s="427"/>
      <c r="C26" s="427"/>
      <c r="D26" s="427"/>
      <c r="E26" s="427"/>
      <c r="F26" s="427"/>
      <c r="G26" s="427"/>
      <c r="H26" s="427"/>
      <c r="I26" s="427"/>
      <c r="J26" s="427"/>
      <c r="K26" s="427"/>
      <c r="L26" s="427"/>
      <c r="M26" s="427"/>
      <c r="N26" s="427"/>
      <c r="O26" s="427"/>
      <c r="P26" s="427"/>
      <c r="Q26" s="427"/>
      <c r="R26" s="427"/>
    </row>
    <row r="27" spans="1:18" x14ac:dyDescent="0.35">
      <c r="A27" s="427"/>
      <c r="B27" s="427"/>
      <c r="C27" s="427"/>
      <c r="D27" s="427"/>
      <c r="E27" s="427"/>
      <c r="F27" s="427"/>
      <c r="G27" s="427"/>
      <c r="H27" s="427"/>
      <c r="I27" s="427"/>
      <c r="J27" s="427"/>
      <c r="K27" s="427"/>
      <c r="L27" s="427"/>
      <c r="M27" s="427"/>
      <c r="N27" s="427"/>
      <c r="O27" s="427"/>
      <c r="P27" s="427"/>
      <c r="Q27" s="427"/>
      <c r="R27" s="427"/>
    </row>
    <row r="28" spans="1:18" x14ac:dyDescent="0.35">
      <c r="A28" s="427"/>
      <c r="B28" s="427"/>
      <c r="C28" s="427"/>
      <c r="D28" s="427"/>
      <c r="E28" s="427"/>
      <c r="F28" s="427"/>
      <c r="G28" s="427"/>
      <c r="H28" s="427"/>
      <c r="I28" s="427"/>
      <c r="J28" s="427"/>
      <c r="K28" s="427"/>
      <c r="L28" s="427"/>
      <c r="M28" s="427"/>
      <c r="N28" s="427"/>
      <c r="O28" s="427"/>
      <c r="P28" s="427"/>
      <c r="Q28" s="427"/>
      <c r="R28" s="427"/>
    </row>
    <row r="29" spans="1:18" x14ac:dyDescent="0.35">
      <c r="A29" s="427"/>
      <c r="B29" s="427"/>
      <c r="C29" s="427"/>
      <c r="D29" s="427"/>
      <c r="E29" s="427"/>
      <c r="F29" s="427"/>
      <c r="G29" s="427"/>
      <c r="H29" s="427"/>
      <c r="I29" s="427"/>
      <c r="J29" s="427"/>
      <c r="K29" s="427"/>
      <c r="L29" s="427"/>
      <c r="M29" s="427"/>
      <c r="N29" s="427"/>
      <c r="O29" s="427"/>
      <c r="P29" s="427"/>
      <c r="Q29" s="427"/>
      <c r="R29" s="427"/>
    </row>
    <row r="30" spans="1:18" x14ac:dyDescent="0.35">
      <c r="A30" s="427"/>
      <c r="B30" s="427"/>
      <c r="C30" s="427"/>
      <c r="D30" s="427"/>
      <c r="E30" s="427"/>
      <c r="F30" s="427"/>
      <c r="G30" s="427"/>
      <c r="H30" s="427"/>
      <c r="I30" s="427"/>
      <c r="J30" s="427"/>
      <c r="K30" s="427"/>
      <c r="L30" s="427"/>
      <c r="M30" s="427"/>
      <c r="N30" s="427"/>
      <c r="O30" s="427"/>
      <c r="P30" s="427"/>
      <c r="Q30" s="427"/>
      <c r="R30" s="427"/>
    </row>
    <row r="31" spans="1:18" x14ac:dyDescent="0.35">
      <c r="A31" s="427"/>
      <c r="B31" s="427"/>
      <c r="C31" s="427"/>
      <c r="D31" s="427"/>
      <c r="E31" s="427"/>
      <c r="F31" s="427"/>
      <c r="G31" s="427"/>
      <c r="H31" s="427"/>
      <c r="I31" s="427"/>
      <c r="J31" s="427"/>
      <c r="K31" s="427"/>
      <c r="L31" s="427"/>
      <c r="M31" s="427"/>
      <c r="N31" s="427"/>
      <c r="O31" s="427"/>
      <c r="P31" s="427"/>
      <c r="Q31" s="427"/>
      <c r="R31" s="427"/>
    </row>
    <row r="32" spans="1:18" x14ac:dyDescent="0.35">
      <c r="A32" s="427"/>
      <c r="B32" s="427"/>
      <c r="C32" s="427"/>
      <c r="D32" s="427"/>
      <c r="E32" s="427"/>
      <c r="F32" s="427"/>
      <c r="G32" s="427"/>
      <c r="H32" s="427"/>
      <c r="I32" s="427"/>
      <c r="J32" s="427"/>
      <c r="K32" s="427"/>
      <c r="L32" s="427"/>
      <c r="M32" s="427"/>
      <c r="N32" s="427"/>
      <c r="O32" s="427"/>
      <c r="P32" s="427"/>
      <c r="Q32" s="427"/>
      <c r="R32" s="427"/>
    </row>
    <row r="33" spans="1:18" x14ac:dyDescent="0.35">
      <c r="A33" s="427"/>
      <c r="B33" s="427"/>
      <c r="C33" s="427"/>
      <c r="D33" s="427"/>
      <c r="E33" s="427"/>
      <c r="F33" s="427"/>
      <c r="G33" s="427"/>
      <c r="H33" s="427"/>
      <c r="I33" s="427"/>
      <c r="J33" s="427"/>
      <c r="K33" s="427"/>
      <c r="L33" s="427"/>
      <c r="M33" s="427"/>
      <c r="N33" s="427"/>
      <c r="O33" s="427"/>
      <c r="P33" s="427"/>
      <c r="Q33" s="427"/>
      <c r="R33" s="427"/>
    </row>
  </sheetData>
  <mergeCells count="2">
    <mergeCell ref="D1:E1"/>
    <mergeCell ref="J1:O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6"/>
  <sheetViews>
    <sheetView zoomScale="90" zoomScaleNormal="90" workbookViewId="0">
      <selection activeCell="K10" sqref="K10:L10"/>
    </sheetView>
  </sheetViews>
  <sheetFormatPr defaultRowHeight="14.5" x14ac:dyDescent="0.35"/>
  <cols>
    <col min="6" max="6" width="10.453125" customWidth="1"/>
    <col min="7" max="7" width="15.36328125" customWidth="1"/>
    <col min="8" max="8" width="14.453125" customWidth="1"/>
    <col min="9" max="9" width="13.453125" customWidth="1"/>
    <col min="10" max="10" width="14" customWidth="1"/>
    <col min="11" max="11" width="16.6328125" style="338" customWidth="1"/>
  </cols>
  <sheetData>
    <row r="2" spans="2:14" ht="15" thickBot="1" x14ac:dyDescent="0.4"/>
    <row r="3" spans="2:14" x14ac:dyDescent="0.35">
      <c r="B3" s="428" t="s">
        <v>2</v>
      </c>
      <c r="C3" s="724" t="s">
        <v>26</v>
      </c>
      <c r="D3" s="724"/>
      <c r="E3" s="429"/>
      <c r="F3" s="2"/>
      <c r="G3" s="2"/>
      <c r="H3" s="2"/>
      <c r="I3" s="705" t="s">
        <v>27</v>
      </c>
      <c r="J3" s="706"/>
      <c r="K3" s="706"/>
      <c r="L3" s="706"/>
      <c r="M3" s="706"/>
      <c r="N3" s="707"/>
    </row>
    <row r="4" spans="2:14" ht="15" customHeight="1" x14ac:dyDescent="0.35">
      <c r="B4" s="4"/>
      <c r="C4" s="5"/>
      <c r="D4" s="427"/>
      <c r="E4" s="444"/>
      <c r="F4" s="444"/>
      <c r="G4" s="444"/>
      <c r="H4" s="444"/>
      <c r="I4" s="5"/>
      <c r="J4" s="5"/>
      <c r="K4" s="430"/>
      <c r="L4" s="5"/>
      <c r="M4" s="5"/>
      <c r="N4" s="6"/>
    </row>
    <row r="5" spans="2:14" ht="15" customHeight="1" x14ac:dyDescent="0.35">
      <c r="B5" s="4"/>
      <c r="C5" s="373"/>
      <c r="D5" s="444"/>
      <c r="E5" s="718" t="s">
        <v>0</v>
      </c>
      <c r="F5" s="718"/>
      <c r="G5" s="718"/>
      <c r="H5" s="718"/>
      <c r="I5" s="718"/>
      <c r="J5" s="5"/>
      <c r="K5" s="430"/>
      <c r="L5" s="5"/>
      <c r="M5" s="5"/>
      <c r="N5" s="6"/>
    </row>
    <row r="6" spans="2:14" ht="15" customHeight="1" x14ac:dyDescent="0.35">
      <c r="B6" s="4"/>
      <c r="C6" s="373"/>
      <c r="D6" s="444"/>
      <c r="E6" s="718"/>
      <c r="F6" s="718"/>
      <c r="G6" s="718"/>
      <c r="H6" s="718"/>
      <c r="I6" s="718"/>
      <c r="J6" s="5"/>
      <c r="K6" s="430"/>
      <c r="L6" s="5"/>
      <c r="M6" s="5"/>
      <c r="N6" s="6"/>
    </row>
    <row r="7" spans="2:14" ht="15" customHeight="1" x14ac:dyDescent="0.35">
      <c r="B7" s="4"/>
      <c r="C7" s="373"/>
      <c r="D7" s="444"/>
      <c r="E7" s="718"/>
      <c r="F7" s="718"/>
      <c r="G7" s="718"/>
      <c r="H7" s="718"/>
      <c r="I7" s="718"/>
      <c r="J7" s="5"/>
      <c r="K7" s="430"/>
      <c r="L7" s="5"/>
      <c r="M7" s="5"/>
      <c r="N7" s="6"/>
    </row>
    <row r="8" spans="2:14" ht="18" customHeight="1" x14ac:dyDescent="0.4">
      <c r="B8" s="4"/>
      <c r="C8" s="5"/>
      <c r="D8" s="718"/>
      <c r="E8" s="718"/>
      <c r="F8" s="718"/>
      <c r="G8" s="718"/>
      <c r="H8" s="718"/>
      <c r="I8" s="718"/>
      <c r="J8" s="5"/>
      <c r="K8" s="430"/>
      <c r="L8" s="431"/>
      <c r="M8" s="432"/>
      <c r="N8" s="426"/>
    </row>
    <row r="9" spans="2:14" ht="18" customHeight="1" x14ac:dyDescent="0.4">
      <c r="B9" s="4"/>
      <c r="C9" s="5"/>
      <c r="D9" s="433"/>
      <c r="E9" s="433"/>
      <c r="F9" s="433"/>
      <c r="G9" s="433"/>
      <c r="H9" s="433"/>
      <c r="I9" s="433"/>
      <c r="J9" s="5"/>
      <c r="K9" s="430"/>
      <c r="L9" s="431"/>
      <c r="M9" s="432"/>
      <c r="N9" s="426"/>
    </row>
    <row r="10" spans="2:14" ht="25.5" customHeight="1" x14ac:dyDescent="0.4">
      <c r="B10" s="4"/>
      <c r="C10" s="719" t="s">
        <v>745</v>
      </c>
      <c r="D10" s="720"/>
      <c r="E10" s="725" t="s">
        <v>775</v>
      </c>
      <c r="F10" s="726"/>
      <c r="G10" s="727"/>
      <c r="H10" s="427"/>
      <c r="I10" s="721" t="s">
        <v>1</v>
      </c>
      <c r="J10" s="722"/>
      <c r="K10" s="723" t="s">
        <v>776</v>
      </c>
      <c r="L10" s="723"/>
      <c r="M10" s="432"/>
      <c r="N10" s="426"/>
    </row>
    <row r="11" spans="2:14" x14ac:dyDescent="0.35">
      <c r="B11" s="4"/>
      <c r="C11" s="5"/>
      <c r="D11" s="5"/>
      <c r="E11" s="5"/>
      <c r="F11" s="5"/>
      <c r="G11" s="5"/>
      <c r="H11" s="5"/>
      <c r="I11" s="5"/>
      <c r="J11" s="5"/>
      <c r="K11" s="430"/>
      <c r="L11" s="5"/>
      <c r="M11" s="5"/>
      <c r="N11" s="6"/>
    </row>
    <row r="12" spans="2:14" ht="1.5" customHeight="1" x14ac:dyDescent="0.35">
      <c r="B12" s="4"/>
      <c r="C12" s="5"/>
      <c r="D12" s="434"/>
      <c r="E12" s="434"/>
      <c r="F12" s="5"/>
      <c r="G12" s="5"/>
      <c r="H12" s="5"/>
      <c r="I12" s="5"/>
      <c r="J12" s="5"/>
      <c r="K12" s="430"/>
      <c r="L12" s="5"/>
      <c r="M12" s="5"/>
      <c r="N12" s="6"/>
    </row>
    <row r="13" spans="2:14" ht="23.25" customHeight="1" x14ac:dyDescent="0.35">
      <c r="B13" s="4"/>
      <c r="C13" s="708" t="s">
        <v>764</v>
      </c>
      <c r="D13" s="709"/>
      <c r="E13" s="709"/>
      <c r="F13" s="709"/>
      <c r="G13" s="709"/>
      <c r="H13" s="709"/>
      <c r="I13" s="709"/>
      <c r="J13" s="709"/>
      <c r="K13" s="709"/>
      <c r="L13" s="709"/>
      <c r="M13" s="710"/>
      <c r="N13" s="6"/>
    </row>
    <row r="14" spans="2:14" ht="24.9" customHeight="1" x14ac:dyDescent="0.35">
      <c r="B14" s="4"/>
      <c r="C14" s="711"/>
      <c r="D14" s="712"/>
      <c r="E14" s="712"/>
      <c r="F14" s="712"/>
      <c r="G14" s="712"/>
      <c r="H14" s="712"/>
      <c r="I14" s="712"/>
      <c r="J14" s="712"/>
      <c r="K14" s="712"/>
      <c r="L14" s="712"/>
      <c r="M14" s="713"/>
      <c r="N14" s="6"/>
    </row>
    <row r="15" spans="2:14" ht="24.9" customHeight="1" x14ac:dyDescent="0.35">
      <c r="B15" s="4"/>
      <c r="C15" s="711"/>
      <c r="D15" s="712"/>
      <c r="E15" s="712"/>
      <c r="F15" s="712"/>
      <c r="G15" s="712"/>
      <c r="H15" s="712"/>
      <c r="I15" s="712"/>
      <c r="J15" s="712"/>
      <c r="K15" s="712"/>
      <c r="L15" s="712"/>
      <c r="M15" s="713"/>
      <c r="N15" s="6"/>
    </row>
    <row r="16" spans="2:14" ht="24.9" customHeight="1" x14ac:dyDescent="0.35">
      <c r="B16" s="4"/>
      <c r="C16" s="711"/>
      <c r="D16" s="712"/>
      <c r="E16" s="712"/>
      <c r="F16" s="712"/>
      <c r="G16" s="712"/>
      <c r="H16" s="712"/>
      <c r="I16" s="712"/>
      <c r="J16" s="712"/>
      <c r="K16" s="712"/>
      <c r="L16" s="712"/>
      <c r="M16" s="713"/>
      <c r="N16" s="6"/>
    </row>
    <row r="17" spans="2:14" ht="24.9" customHeight="1" x14ac:dyDescent="0.35">
      <c r="B17" s="4"/>
      <c r="C17" s="711"/>
      <c r="D17" s="712"/>
      <c r="E17" s="712"/>
      <c r="F17" s="712"/>
      <c r="G17" s="712"/>
      <c r="H17" s="712"/>
      <c r="I17" s="712"/>
      <c r="J17" s="712"/>
      <c r="K17" s="712"/>
      <c r="L17" s="712"/>
      <c r="M17" s="713"/>
      <c r="N17" s="6"/>
    </row>
    <row r="18" spans="2:14" ht="48.75" customHeight="1" x14ac:dyDescent="0.35">
      <c r="B18" s="4"/>
      <c r="C18" s="714"/>
      <c r="D18" s="715"/>
      <c r="E18" s="715"/>
      <c r="F18" s="715"/>
      <c r="G18" s="715"/>
      <c r="H18" s="715"/>
      <c r="I18" s="715"/>
      <c r="J18" s="715"/>
      <c r="K18" s="715"/>
      <c r="L18" s="715"/>
      <c r="M18" s="716"/>
      <c r="N18" s="6"/>
    </row>
    <row r="19" spans="2:14" ht="17.25" customHeight="1" x14ac:dyDescent="0.35">
      <c r="B19" s="4"/>
      <c r="C19" s="435"/>
      <c r="D19" s="435"/>
      <c r="E19" s="435"/>
      <c r="F19" s="435"/>
      <c r="G19" s="435"/>
      <c r="H19" s="435"/>
      <c r="I19" s="435"/>
      <c r="J19" s="435"/>
      <c r="K19" s="435"/>
      <c r="L19" s="435"/>
      <c r="M19" s="435"/>
      <c r="N19" s="6"/>
    </row>
    <row r="20" spans="2:14" ht="15" customHeight="1" x14ac:dyDescent="0.35">
      <c r="B20" s="4"/>
      <c r="C20" s="70"/>
      <c r="D20" s="70"/>
      <c r="E20" s="70"/>
      <c r="F20" s="70"/>
      <c r="G20" s="70"/>
      <c r="H20" s="70"/>
      <c r="I20" s="436"/>
      <c r="J20" s="436"/>
      <c r="K20" s="437"/>
      <c r="L20" s="436"/>
      <c r="M20" s="436"/>
      <c r="N20" s="6"/>
    </row>
    <row r="21" spans="2:14" ht="54" customHeight="1" x14ac:dyDescent="0.35">
      <c r="B21" s="4"/>
      <c r="C21" s="732" t="s">
        <v>20</v>
      </c>
      <c r="D21" s="732"/>
      <c r="E21" s="543" t="s">
        <v>21</v>
      </c>
      <c r="F21" s="544" t="s">
        <v>22</v>
      </c>
      <c r="G21" s="545" t="s">
        <v>23</v>
      </c>
      <c r="H21" s="546" t="s">
        <v>24</v>
      </c>
      <c r="I21" s="547" t="s">
        <v>662</v>
      </c>
      <c r="J21" s="548" t="s">
        <v>703</v>
      </c>
      <c r="K21" s="549" t="s">
        <v>706</v>
      </c>
      <c r="L21" s="436"/>
      <c r="M21" s="436"/>
      <c r="N21" s="6"/>
    </row>
    <row r="22" spans="2:14" ht="30" customHeight="1" x14ac:dyDescent="0.35">
      <c r="B22" s="4"/>
      <c r="C22" s="70"/>
      <c r="D22" s="542"/>
      <c r="E22" s="541"/>
      <c r="F22" s="541"/>
      <c r="G22" s="541"/>
      <c r="H22" s="541"/>
      <c r="I22" s="541"/>
      <c r="J22" s="541"/>
      <c r="K22" s="541"/>
      <c r="L22" s="436"/>
      <c r="M22" s="436"/>
      <c r="N22" s="6"/>
    </row>
    <row r="23" spans="2:14" ht="28.5" customHeight="1" x14ac:dyDescent="0.35">
      <c r="B23" s="4"/>
      <c r="C23" s="728" t="s">
        <v>25</v>
      </c>
      <c r="D23" s="729"/>
      <c r="E23" s="729"/>
      <c r="F23" s="729"/>
      <c r="G23" s="729"/>
      <c r="H23" s="550"/>
      <c r="I23" s="541"/>
      <c r="J23" s="541"/>
      <c r="K23" s="541"/>
      <c r="L23" s="436"/>
      <c r="M23" s="436"/>
      <c r="N23" s="6"/>
    </row>
    <row r="24" spans="2:14" ht="24.75" customHeight="1" x14ac:dyDescent="0.35">
      <c r="B24" s="4"/>
      <c r="C24" s="730"/>
      <c r="D24" s="731"/>
      <c r="E24" s="731"/>
      <c r="F24" s="731"/>
      <c r="G24" s="731"/>
      <c r="H24" s="551" t="s">
        <v>763</v>
      </c>
      <c r="I24" s="541"/>
      <c r="J24" s="541"/>
      <c r="K24" s="541"/>
      <c r="L24" s="436"/>
      <c r="M24" s="436"/>
      <c r="N24" s="6"/>
    </row>
    <row r="25" spans="2:14" ht="20.25" customHeight="1" x14ac:dyDescent="0.35">
      <c r="B25" s="4"/>
      <c r="C25" s="5"/>
      <c r="D25" s="5"/>
      <c r="E25" s="5"/>
      <c r="F25" s="5"/>
      <c r="G25" s="5"/>
      <c r="H25" s="427"/>
      <c r="I25" s="427"/>
      <c r="J25" s="427"/>
      <c r="K25" s="435"/>
      <c r="L25" s="435"/>
      <c r="M25" s="435"/>
      <c r="N25" s="6"/>
    </row>
    <row r="26" spans="2:14" ht="27" customHeight="1" x14ac:dyDescent="0.35">
      <c r="B26" s="7">
        <v>1</v>
      </c>
      <c r="C26" s="438" t="s">
        <v>3</v>
      </c>
      <c r="D26" s="5"/>
      <c r="E26" s="5"/>
      <c r="F26" s="438"/>
      <c r="G26" s="5"/>
      <c r="H26" s="438">
        <v>7</v>
      </c>
      <c r="I26" s="438" t="s">
        <v>15</v>
      </c>
      <c r="J26" s="438"/>
      <c r="K26" s="435"/>
      <c r="L26" s="435"/>
      <c r="M26" s="435"/>
      <c r="N26" s="6"/>
    </row>
    <row r="27" spans="2:14" x14ac:dyDescent="0.35">
      <c r="B27" s="4"/>
      <c r="C27" s="717" t="s">
        <v>5</v>
      </c>
      <c r="D27" s="717"/>
      <c r="E27" s="717"/>
      <c r="F27" s="717"/>
      <c r="G27" s="717"/>
      <c r="H27" s="438"/>
      <c r="I27" s="438"/>
      <c r="J27" s="438"/>
      <c r="K27" s="447"/>
      <c r="L27" s="447"/>
      <c r="M27" s="447"/>
      <c r="N27" s="6"/>
    </row>
    <row r="28" spans="2:14" x14ac:dyDescent="0.35">
      <c r="B28" s="4"/>
      <c r="C28" s="717"/>
      <c r="D28" s="717"/>
      <c r="E28" s="717"/>
      <c r="F28" s="717"/>
      <c r="G28" s="717"/>
      <c r="H28" s="438">
        <v>8</v>
      </c>
      <c r="I28" s="438" t="s">
        <v>16</v>
      </c>
      <c r="J28" s="5"/>
      <c r="K28" s="430"/>
      <c r="L28" s="5"/>
      <c r="M28" s="5"/>
      <c r="N28" s="6"/>
    </row>
    <row r="29" spans="2:14" ht="29.25" customHeight="1" x14ac:dyDescent="0.35">
      <c r="B29" s="4"/>
      <c r="C29" s="717"/>
      <c r="D29" s="717"/>
      <c r="E29" s="717"/>
      <c r="F29" s="717"/>
      <c r="G29" s="717"/>
      <c r="H29" s="427"/>
      <c r="I29" s="427"/>
      <c r="J29" s="5"/>
      <c r="K29" s="430"/>
      <c r="L29" s="5"/>
      <c r="M29" s="5"/>
      <c r="N29" s="6"/>
    </row>
    <row r="30" spans="2:14" ht="25.5" customHeight="1" x14ac:dyDescent="0.35">
      <c r="B30" s="4"/>
      <c r="C30" s="717"/>
      <c r="D30" s="717"/>
      <c r="E30" s="717"/>
      <c r="F30" s="717"/>
      <c r="G30" s="717"/>
      <c r="H30" s="438">
        <v>9</v>
      </c>
      <c r="I30" s="438" t="s">
        <v>4</v>
      </c>
      <c r="J30" s="438"/>
      <c r="K30" s="448"/>
      <c r="L30" s="5"/>
      <c r="M30" s="5"/>
      <c r="N30" s="6"/>
    </row>
    <row r="31" spans="2:14" ht="37.5" customHeight="1" x14ac:dyDescent="0.35">
      <c r="B31" s="450">
        <v>2</v>
      </c>
      <c r="C31" s="733" t="s">
        <v>8</v>
      </c>
      <c r="D31" s="733"/>
      <c r="E31" s="733"/>
      <c r="F31" s="733"/>
      <c r="G31" s="439"/>
      <c r="H31" s="427"/>
      <c r="I31" s="735" t="s">
        <v>747</v>
      </c>
      <c r="J31" s="735"/>
      <c r="K31" s="735"/>
      <c r="L31" s="5"/>
      <c r="M31" s="5"/>
      <c r="N31" s="6"/>
    </row>
    <row r="32" spans="2:14" ht="48" customHeight="1" x14ac:dyDescent="0.35">
      <c r="B32" s="4"/>
      <c r="C32" s="717" t="s">
        <v>682</v>
      </c>
      <c r="D32" s="717"/>
      <c r="E32" s="717"/>
      <c r="F32" s="717"/>
      <c r="G32" s="717"/>
      <c r="H32" s="5"/>
      <c r="I32" s="5"/>
      <c r="J32" s="5"/>
      <c r="K32" s="439"/>
      <c r="L32" s="440"/>
      <c r="M32" s="440"/>
      <c r="N32" s="6"/>
    </row>
    <row r="33" spans="2:14" ht="15" customHeight="1" x14ac:dyDescent="0.35">
      <c r="B33" s="7">
        <v>3</v>
      </c>
      <c r="C33" s="734" t="s">
        <v>10</v>
      </c>
      <c r="D33" s="734"/>
      <c r="E33" s="734"/>
      <c r="F33" s="734"/>
      <c r="G33" s="734"/>
      <c r="H33" s="438">
        <v>10</v>
      </c>
      <c r="I33" s="438" t="s">
        <v>6</v>
      </c>
      <c r="J33" s="438"/>
      <c r="K33" s="446"/>
      <c r="L33" s="446"/>
      <c r="M33" s="446"/>
      <c r="N33" s="6"/>
    </row>
    <row r="34" spans="2:14" ht="30.75" customHeight="1" x14ac:dyDescent="0.35">
      <c r="B34" s="4"/>
      <c r="C34" s="717" t="s">
        <v>746</v>
      </c>
      <c r="D34" s="717"/>
      <c r="E34" s="717"/>
      <c r="F34" s="717"/>
      <c r="G34" s="441"/>
      <c r="H34" s="438"/>
      <c r="I34" s="427"/>
      <c r="J34" s="446"/>
      <c r="K34" s="446"/>
      <c r="L34" s="446"/>
      <c r="M34" s="446"/>
      <c r="N34" s="6"/>
    </row>
    <row r="35" spans="2:14" ht="15" customHeight="1" x14ac:dyDescent="0.35">
      <c r="B35" s="4"/>
      <c r="C35" s="717"/>
      <c r="D35" s="717"/>
      <c r="E35" s="717"/>
      <c r="F35" s="717"/>
      <c r="G35" s="441"/>
      <c r="H35" s="438">
        <v>11</v>
      </c>
      <c r="I35" s="438" t="s">
        <v>7</v>
      </c>
      <c r="J35" s="438"/>
      <c r="K35" s="443"/>
      <c r="L35" s="442"/>
      <c r="M35" s="442"/>
      <c r="N35" s="6"/>
    </row>
    <row r="36" spans="2:14" ht="19.5" customHeight="1" x14ac:dyDescent="0.35">
      <c r="B36" s="7">
        <v>4</v>
      </c>
      <c r="C36" s="734" t="s">
        <v>11</v>
      </c>
      <c r="D36" s="734"/>
      <c r="E36" s="734"/>
      <c r="F36" s="734"/>
      <c r="G36" s="734"/>
      <c r="H36" s="427"/>
      <c r="I36" s="427"/>
      <c r="J36" s="442"/>
      <c r="K36" s="446"/>
      <c r="L36" s="446"/>
      <c r="M36" s="446"/>
      <c r="N36" s="6"/>
    </row>
    <row r="37" spans="2:14" ht="27" customHeight="1" x14ac:dyDescent="0.35">
      <c r="B37" s="4"/>
      <c r="C37" s="5"/>
      <c r="D37" s="438"/>
      <c r="E37" s="438"/>
      <c r="F37" s="5"/>
      <c r="G37" s="5"/>
      <c r="H37" s="438">
        <v>12</v>
      </c>
      <c r="I37" s="438" t="s">
        <v>9</v>
      </c>
      <c r="J37" s="446"/>
      <c r="K37" s="448"/>
      <c r="L37" s="446"/>
      <c r="M37" s="446"/>
      <c r="N37" s="6"/>
    </row>
    <row r="38" spans="2:14" ht="28.5" customHeight="1" x14ac:dyDescent="0.35">
      <c r="B38" s="7">
        <v>5</v>
      </c>
      <c r="C38" s="438" t="s">
        <v>13</v>
      </c>
      <c r="D38" s="438"/>
      <c r="E38" s="438"/>
      <c r="F38" s="5"/>
      <c r="G38" s="5"/>
      <c r="H38" s="5"/>
      <c r="I38" s="735" t="s">
        <v>748</v>
      </c>
      <c r="J38" s="735"/>
      <c r="K38" s="735"/>
      <c r="L38" s="446"/>
      <c r="M38" s="446"/>
      <c r="N38" s="6"/>
    </row>
    <row r="39" spans="2:14" ht="27.75" customHeight="1" x14ac:dyDescent="0.35">
      <c r="B39" s="4"/>
      <c r="C39" s="5"/>
      <c r="D39" s="5"/>
      <c r="E39" s="5"/>
      <c r="F39" s="5"/>
      <c r="G39" s="5"/>
      <c r="H39" s="5"/>
      <c r="I39" s="446"/>
      <c r="J39" s="446"/>
      <c r="K39" s="446"/>
      <c r="L39" s="446"/>
      <c r="M39" s="446"/>
      <c r="N39" s="445"/>
    </row>
    <row r="40" spans="2:14" ht="23.25" customHeight="1" x14ac:dyDescent="0.35">
      <c r="B40" s="7">
        <v>6</v>
      </c>
      <c r="C40" s="438" t="s">
        <v>14</v>
      </c>
      <c r="D40" s="438"/>
      <c r="E40" s="438"/>
      <c r="F40" s="438"/>
      <c r="G40" s="5"/>
      <c r="H40" s="438">
        <v>13</v>
      </c>
      <c r="I40" s="438" t="s">
        <v>12</v>
      </c>
      <c r="J40" s="446"/>
      <c r="K40" s="448"/>
      <c r="L40" s="446"/>
      <c r="M40" s="446"/>
      <c r="N40" s="6"/>
    </row>
    <row r="41" spans="2:14" ht="27" customHeight="1" x14ac:dyDescent="0.35">
      <c r="B41" s="4"/>
      <c r="C41" s="5"/>
      <c r="D41" s="5"/>
      <c r="E41" s="5"/>
      <c r="F41" s="5"/>
      <c r="G41" s="5"/>
      <c r="H41" s="5"/>
      <c r="I41" s="735" t="s">
        <v>749</v>
      </c>
      <c r="J41" s="735"/>
      <c r="K41" s="735"/>
      <c r="L41" s="449"/>
      <c r="M41" s="449"/>
      <c r="N41" s="6"/>
    </row>
    <row r="42" spans="2:14" ht="17.25" customHeight="1" x14ac:dyDescent="0.35">
      <c r="B42" s="451"/>
      <c r="C42" s="427"/>
      <c r="D42" s="427"/>
      <c r="E42" s="438"/>
      <c r="F42" s="438"/>
      <c r="G42" s="5"/>
      <c r="H42" s="5"/>
      <c r="I42" s="449"/>
      <c r="J42" s="449"/>
      <c r="K42" s="449"/>
      <c r="L42" s="449"/>
      <c r="M42" s="449"/>
      <c r="N42" s="6"/>
    </row>
    <row r="43" spans="2:14" x14ac:dyDescent="0.35">
      <c r="B43" s="4"/>
      <c r="C43" s="5"/>
      <c r="D43" s="5"/>
      <c r="E43" s="5"/>
      <c r="F43" s="5"/>
      <c r="G43" s="5"/>
      <c r="H43" s="5"/>
      <c r="I43" s="449"/>
      <c r="J43" s="449"/>
      <c r="K43" s="449"/>
      <c r="L43" s="449"/>
      <c r="M43" s="449"/>
      <c r="N43" s="6"/>
    </row>
    <row r="44" spans="2:14" x14ac:dyDescent="0.35">
      <c r="B44" s="4"/>
      <c r="C44" s="5"/>
      <c r="D44" s="5"/>
      <c r="E44" s="5"/>
      <c r="F44" s="5"/>
      <c r="G44" s="5"/>
      <c r="H44" s="5"/>
      <c r="I44" s="449"/>
      <c r="J44" s="449"/>
      <c r="K44" s="449"/>
      <c r="L44" s="449"/>
      <c r="M44" s="449"/>
      <c r="N44" s="6"/>
    </row>
    <row r="45" spans="2:14" x14ac:dyDescent="0.35">
      <c r="B45" s="7"/>
      <c r="C45" s="438"/>
      <c r="D45" s="5"/>
      <c r="E45" s="5"/>
      <c r="F45" s="5"/>
      <c r="G45" s="5"/>
      <c r="H45" s="5"/>
      <c r="I45" s="449"/>
      <c r="J45" s="449"/>
      <c r="K45" s="430"/>
      <c r="L45" s="5"/>
      <c r="M45" s="5"/>
      <c r="N45" s="6"/>
    </row>
    <row r="46" spans="2:14" ht="15" thickBot="1" x14ac:dyDescent="0.4">
      <c r="B46" s="8"/>
      <c r="C46" s="9"/>
      <c r="D46" s="9"/>
      <c r="E46" s="9"/>
      <c r="F46" s="9"/>
      <c r="G46" s="9"/>
      <c r="H46" s="9"/>
      <c r="I46" s="9"/>
      <c r="J46" s="9"/>
      <c r="K46" s="339"/>
      <c r="L46" s="9"/>
      <c r="M46" s="9"/>
      <c r="N46" s="10"/>
    </row>
  </sheetData>
  <sheetProtection algorithmName="SHA-512" hashValue="MglgtVUDF9x88nvNVR/xwVxmTuR3tt1Vh0oJVMzwdpqApYNb2RHyariQqLl+o/Ocyz4wkO+/4Z9Hf+xyj/fuIw==" saltValue="U25v/n3qU7/Ltg2hzS8wuw==" spinCount="100000" sheet="1" objects="1" scenarios="1"/>
  <mergeCells count="20">
    <mergeCell ref="C31:F31"/>
    <mergeCell ref="C32:G32"/>
    <mergeCell ref="C33:G33"/>
    <mergeCell ref="C36:G36"/>
    <mergeCell ref="I41:K41"/>
    <mergeCell ref="C34:F35"/>
    <mergeCell ref="I31:K31"/>
    <mergeCell ref="I38:K38"/>
    <mergeCell ref="I3:N3"/>
    <mergeCell ref="C13:M18"/>
    <mergeCell ref="C27:G30"/>
    <mergeCell ref="D8:I8"/>
    <mergeCell ref="C10:D10"/>
    <mergeCell ref="I10:J10"/>
    <mergeCell ref="K10:L10"/>
    <mergeCell ref="E5:I7"/>
    <mergeCell ref="C3:D3"/>
    <mergeCell ref="E10:G10"/>
    <mergeCell ref="C23:G24"/>
    <mergeCell ref="C21:D21"/>
  </mergeCells>
  <conditionalFormatting sqref="H23">
    <cfRule type="cellIs" dxfId="62" priority="1" operator="equal">
      <formula>"No"</formula>
    </cfRule>
    <cfRule type="cellIs" dxfId="61" priority="2" operator="equal">
      <formula>"Yes"</formula>
    </cfRule>
  </conditionalFormatting>
  <hyperlinks>
    <hyperlink ref="H24"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0"/>
  <sheetViews>
    <sheetView topLeftCell="B1" workbookViewId="0">
      <selection activeCell="E9" sqref="E9"/>
    </sheetView>
  </sheetViews>
  <sheetFormatPr defaultRowHeight="14.5" x14ac:dyDescent="0.35"/>
  <cols>
    <col min="4" max="4" width="40.36328125" customWidth="1"/>
    <col min="5" max="5" width="38.08984375" customWidth="1"/>
    <col min="6" max="6" width="21.453125" style="11" customWidth="1"/>
  </cols>
  <sheetData>
    <row r="1" spans="2:12" ht="15" thickBot="1" x14ac:dyDescent="0.4"/>
    <row r="2" spans="2:12" ht="16" thickBot="1" x14ac:dyDescent="0.4">
      <c r="B2" s="737" t="s">
        <v>28</v>
      </c>
      <c r="C2" s="738"/>
      <c r="D2" s="738"/>
      <c r="E2" s="738"/>
      <c r="F2" s="738"/>
      <c r="G2" s="738"/>
      <c r="H2" s="738"/>
      <c r="I2" s="738"/>
      <c r="J2" s="738"/>
      <c r="K2" s="738"/>
      <c r="L2" s="345"/>
    </row>
    <row r="3" spans="2:12" x14ac:dyDescent="0.35">
      <c r="B3" s="1"/>
      <c r="C3" s="2"/>
      <c r="D3" s="2"/>
      <c r="E3" s="2"/>
      <c r="F3" s="34"/>
      <c r="G3" s="2"/>
      <c r="H3" s="2"/>
      <c r="I3" s="2"/>
      <c r="J3" s="2"/>
      <c r="K3" s="2"/>
      <c r="L3" s="3"/>
    </row>
    <row r="4" spans="2:12" x14ac:dyDescent="0.35">
      <c r="B4" s="4"/>
      <c r="C4" s="427"/>
      <c r="D4" s="12" t="s">
        <v>29</v>
      </c>
      <c r="E4" s="32" t="str">
        <f>+Introduction!E10</f>
        <v>Dairy Partners (Cymru Wales) Ltd</v>
      </c>
      <c r="F4" s="13"/>
      <c r="G4" s="5"/>
      <c r="H4" s="5"/>
      <c r="I4" s="5"/>
      <c r="J4" s="5"/>
      <c r="K4" s="5"/>
      <c r="L4" s="6"/>
    </row>
    <row r="5" spans="2:12" x14ac:dyDescent="0.35">
      <c r="B5" s="4"/>
      <c r="C5" s="427"/>
      <c r="D5" s="12" t="s">
        <v>30</v>
      </c>
      <c r="E5" s="32" t="str">
        <f>+Introduction!K10</f>
        <v>WP3231NB</v>
      </c>
      <c r="F5" s="22"/>
      <c r="G5" s="5"/>
      <c r="H5" s="5"/>
      <c r="I5" s="5"/>
      <c r="J5" s="5"/>
      <c r="K5" s="5"/>
      <c r="L5" s="6"/>
    </row>
    <row r="6" spans="2:12" x14ac:dyDescent="0.35">
      <c r="B6" s="4"/>
      <c r="C6" s="5"/>
      <c r="D6" s="5"/>
      <c r="E6" s="5"/>
      <c r="F6" s="5"/>
      <c r="G6" s="5"/>
      <c r="H6" s="5"/>
      <c r="I6" s="5"/>
      <c r="J6" s="5"/>
      <c r="K6" s="5"/>
      <c r="L6" s="6"/>
    </row>
    <row r="7" spans="2:12" ht="49.5" x14ac:dyDescent="0.35">
      <c r="B7" s="4"/>
      <c r="C7" s="14" t="s">
        <v>31</v>
      </c>
      <c r="D7" s="15" t="s">
        <v>32</v>
      </c>
      <c r="E7" s="15" t="s">
        <v>33</v>
      </c>
      <c r="F7" s="15" t="s">
        <v>34</v>
      </c>
      <c r="G7" s="5"/>
      <c r="H7" s="5"/>
      <c r="I7" s="5"/>
      <c r="J7" s="739" t="s">
        <v>35</v>
      </c>
      <c r="K7" s="740"/>
      <c r="L7" s="6"/>
    </row>
    <row r="8" spans="2:12" ht="20.149999999999999" customHeight="1" x14ac:dyDescent="0.35">
      <c r="B8" s="16"/>
      <c r="C8" s="344">
        <v>1</v>
      </c>
      <c r="D8" s="348" t="s">
        <v>777</v>
      </c>
      <c r="E8" s="349" t="s">
        <v>570</v>
      </c>
      <c r="F8" s="71" t="str">
        <f>IFERROR(VLOOKUP(E8,Picklists!$D$3:$E$139,2,FALSE),"")</f>
        <v>B</v>
      </c>
      <c r="G8" s="5"/>
      <c r="H8" s="5"/>
      <c r="I8" s="17"/>
      <c r="J8" s="18" t="s">
        <v>37</v>
      </c>
      <c r="K8" s="31">
        <f>COUNTIF($F$8:$F$32,J8)</f>
        <v>1</v>
      </c>
      <c r="L8" s="6"/>
    </row>
    <row r="9" spans="2:12" ht="20.149999999999999" customHeight="1" x14ac:dyDescent="0.35">
      <c r="B9" s="16"/>
      <c r="C9" s="344">
        <v>2</v>
      </c>
      <c r="D9" s="348" t="s">
        <v>778</v>
      </c>
      <c r="E9" s="349" t="s">
        <v>539</v>
      </c>
      <c r="F9" s="71" t="str">
        <f>IFERROR(VLOOKUP(E9,Picklists!$D$3:$E$139,2,FALSE),"")</f>
        <v>A</v>
      </c>
      <c r="G9" s="5"/>
      <c r="H9" s="5"/>
      <c r="I9" s="17"/>
      <c r="J9" s="18" t="s">
        <v>38</v>
      </c>
      <c r="K9" s="31">
        <f t="shared" ref="K9:K12" si="0">COUNTIF($F$8:$F$32,J9)</f>
        <v>1</v>
      </c>
      <c r="L9" s="6"/>
    </row>
    <row r="10" spans="2:12" ht="20.149999999999999" customHeight="1" x14ac:dyDescent="0.35">
      <c r="B10" s="16"/>
      <c r="C10" s="344">
        <v>3</v>
      </c>
      <c r="D10" s="348"/>
      <c r="E10" s="349"/>
      <c r="F10" s="71" t="str">
        <f>IFERROR(VLOOKUP(E10,Picklists!$D$3:$E$139,2,FALSE),"")</f>
        <v/>
      </c>
      <c r="G10" s="5"/>
      <c r="H10" s="5"/>
      <c r="I10" s="17"/>
      <c r="J10" s="18" t="s">
        <v>36</v>
      </c>
      <c r="K10" s="31">
        <f t="shared" si="0"/>
        <v>0</v>
      </c>
      <c r="L10" s="6"/>
    </row>
    <row r="11" spans="2:12" ht="20.149999999999999" customHeight="1" x14ac:dyDescent="0.35">
      <c r="B11" s="16"/>
      <c r="C11" s="344">
        <v>4</v>
      </c>
      <c r="D11" s="348"/>
      <c r="E11" s="349"/>
      <c r="F11" s="71" t="str">
        <f>IFERROR(VLOOKUP(E11,Picklists!$D$3:$E$139,2,FALSE),"")</f>
        <v/>
      </c>
      <c r="G11" s="5"/>
      <c r="H11" s="5"/>
      <c r="I11" s="17"/>
      <c r="J11" s="18" t="s">
        <v>39</v>
      </c>
      <c r="K11" s="31">
        <f t="shared" si="0"/>
        <v>0</v>
      </c>
      <c r="L11" s="6"/>
    </row>
    <row r="12" spans="2:12" ht="20.149999999999999" customHeight="1" x14ac:dyDescent="0.35">
      <c r="B12" s="16"/>
      <c r="C12" s="344">
        <v>5</v>
      </c>
      <c r="D12" s="348"/>
      <c r="E12" s="349"/>
      <c r="F12" s="71" t="str">
        <f>IFERROR(VLOOKUP(E12,Picklists!$D$3:$E$139,2,FALSE),"")</f>
        <v/>
      </c>
      <c r="G12" s="5"/>
      <c r="H12" s="5"/>
      <c r="I12" s="17"/>
      <c r="J12" s="19" t="s">
        <v>40</v>
      </c>
      <c r="K12" s="31">
        <f t="shared" si="0"/>
        <v>0</v>
      </c>
      <c r="L12" s="6"/>
    </row>
    <row r="13" spans="2:12" ht="20.149999999999999" customHeight="1" x14ac:dyDescent="0.35">
      <c r="B13" s="16"/>
      <c r="C13" s="344">
        <v>6</v>
      </c>
      <c r="D13" s="348"/>
      <c r="E13" s="349"/>
      <c r="F13" s="71" t="str">
        <f>IFERROR(VLOOKUP(E13,Picklists!$D$3:$E$139,2,FALSE),"")</f>
        <v/>
      </c>
      <c r="G13" s="5"/>
      <c r="H13" s="5"/>
      <c r="I13" s="17"/>
      <c r="J13" s="20"/>
      <c r="K13" s="21"/>
      <c r="L13" s="6"/>
    </row>
    <row r="14" spans="2:12" ht="20.149999999999999" customHeight="1" x14ac:dyDescent="0.35">
      <c r="B14" s="16"/>
      <c r="C14" s="344">
        <v>7</v>
      </c>
      <c r="D14" s="348"/>
      <c r="E14" s="350"/>
      <c r="F14" s="71" t="str">
        <f>IFERROR(VLOOKUP(E14,Picklists!$D$3:$E$139,2,FALSE),"")</f>
        <v/>
      </c>
      <c r="G14" s="5"/>
      <c r="H14" s="5"/>
      <c r="I14" s="17"/>
      <c r="J14" s="5"/>
      <c r="K14" s="22"/>
      <c r="L14" s="6"/>
    </row>
    <row r="15" spans="2:12" ht="20.149999999999999" customHeight="1" x14ac:dyDescent="0.35">
      <c r="B15" s="16"/>
      <c r="C15" s="344">
        <v>8</v>
      </c>
      <c r="D15" s="348"/>
      <c r="E15" s="350"/>
      <c r="F15" s="71" t="str">
        <f>IFERROR(VLOOKUP(E15,Picklists!$D$3:$E$139,2,FALSE),"")</f>
        <v/>
      </c>
      <c r="G15" s="5"/>
      <c r="H15" s="5"/>
      <c r="I15" s="17"/>
      <c r="J15" s="5"/>
      <c r="K15" s="5"/>
      <c r="L15" s="6"/>
    </row>
    <row r="16" spans="2:12" ht="20.149999999999999" customHeight="1" x14ac:dyDescent="0.35">
      <c r="B16" s="16"/>
      <c r="C16" s="344">
        <v>9</v>
      </c>
      <c r="D16" s="348"/>
      <c r="E16" s="350"/>
      <c r="F16" s="71" t="str">
        <f>IFERROR(VLOOKUP(E16,Picklists!$D$3:$E$139,2,FALSE),"")</f>
        <v/>
      </c>
      <c r="G16" s="5"/>
      <c r="H16" s="5"/>
      <c r="I16" s="17"/>
      <c r="J16" s="741"/>
      <c r="K16" s="741"/>
      <c r="L16" s="6"/>
    </row>
    <row r="17" spans="2:12" ht="20.149999999999999" customHeight="1" x14ac:dyDescent="0.35">
      <c r="B17" s="16"/>
      <c r="C17" s="344">
        <v>10</v>
      </c>
      <c r="D17" s="348"/>
      <c r="E17" s="350"/>
      <c r="F17" s="71" t="str">
        <f>IFERROR(VLOOKUP(E17,Picklists!$D$3:$E$139,2,FALSE),"")</f>
        <v/>
      </c>
      <c r="G17" s="5"/>
      <c r="H17" s="5"/>
      <c r="I17" s="17"/>
      <c r="J17" s="741"/>
      <c r="K17" s="741"/>
      <c r="L17" s="6"/>
    </row>
    <row r="18" spans="2:12" ht="20.149999999999999" customHeight="1" x14ac:dyDescent="0.35">
      <c r="B18" s="16"/>
      <c r="C18" s="344">
        <v>11</v>
      </c>
      <c r="D18" s="348"/>
      <c r="E18" s="350"/>
      <c r="F18" s="71" t="str">
        <f>IFERROR(VLOOKUP(E18,Picklists!$D$3:$E$139,2,FALSE),"")</f>
        <v/>
      </c>
      <c r="G18" s="5"/>
      <c r="H18" s="5"/>
      <c r="I18" s="17"/>
      <c r="J18" s="741"/>
      <c r="K18" s="741"/>
      <c r="L18" s="6"/>
    </row>
    <row r="19" spans="2:12" ht="20.149999999999999" customHeight="1" x14ac:dyDescent="0.35">
      <c r="B19" s="16"/>
      <c r="C19" s="344">
        <v>12</v>
      </c>
      <c r="D19" s="348"/>
      <c r="E19" s="350"/>
      <c r="F19" s="71" t="str">
        <f>IFERROR(VLOOKUP(E19,Picklists!$D$3:$E$139,2,FALSE),"")</f>
        <v/>
      </c>
      <c r="G19" s="5"/>
      <c r="H19" s="5"/>
      <c r="I19" s="17"/>
      <c r="J19" s="741"/>
      <c r="K19" s="741"/>
      <c r="L19" s="6"/>
    </row>
    <row r="20" spans="2:12" ht="20.149999999999999" customHeight="1" x14ac:dyDescent="0.35">
      <c r="B20" s="16"/>
      <c r="C20" s="344">
        <v>13</v>
      </c>
      <c r="D20" s="348"/>
      <c r="E20" s="350"/>
      <c r="F20" s="71" t="str">
        <f>IFERROR(VLOOKUP(E20,Picklists!$D$3:$E$139,2,FALSE),"")</f>
        <v/>
      </c>
      <c r="G20" s="5"/>
      <c r="H20" s="5"/>
      <c r="I20" s="17"/>
      <c r="J20" s="741"/>
      <c r="K20" s="741"/>
      <c r="L20" s="6"/>
    </row>
    <row r="21" spans="2:12" ht="20.149999999999999" customHeight="1" x14ac:dyDescent="0.35">
      <c r="B21" s="16"/>
      <c r="C21" s="344">
        <v>14</v>
      </c>
      <c r="D21" s="348"/>
      <c r="E21" s="350"/>
      <c r="F21" s="71" t="str">
        <f>IFERROR(VLOOKUP(E21,Picklists!$D$3:$E$139,2,FALSE),"")</f>
        <v/>
      </c>
      <c r="G21" s="5"/>
      <c r="H21" s="5"/>
      <c r="I21" s="17"/>
      <c r="J21" s="23"/>
      <c r="K21" s="23"/>
      <c r="L21" s="6"/>
    </row>
    <row r="22" spans="2:12" ht="20.149999999999999" customHeight="1" x14ac:dyDescent="0.35">
      <c r="B22" s="16"/>
      <c r="C22" s="344">
        <v>15</v>
      </c>
      <c r="D22" s="348"/>
      <c r="E22" s="350"/>
      <c r="F22" s="71" t="str">
        <f>IFERROR(VLOOKUP(E22,Picklists!$D$3:$E$139,2,FALSE),"")</f>
        <v/>
      </c>
      <c r="G22" s="5"/>
      <c r="H22" s="5"/>
      <c r="I22" s="17"/>
      <c r="J22" s="24"/>
      <c r="K22" s="24"/>
      <c r="L22" s="6"/>
    </row>
    <row r="23" spans="2:12" ht="20.149999999999999" customHeight="1" x14ac:dyDescent="0.35">
      <c r="B23" s="16"/>
      <c r="C23" s="344">
        <v>16</v>
      </c>
      <c r="D23" s="348"/>
      <c r="E23" s="350"/>
      <c r="F23" s="71" t="str">
        <f>IFERROR(VLOOKUP(E23,Picklists!$D$3:$E$139,2,FALSE),"")</f>
        <v/>
      </c>
      <c r="G23" s="5"/>
      <c r="H23" s="5"/>
      <c r="I23" s="17"/>
      <c r="J23" s="24"/>
      <c r="K23" s="24"/>
      <c r="L23" s="6"/>
    </row>
    <row r="24" spans="2:12" ht="20.149999999999999" customHeight="1" x14ac:dyDescent="0.35">
      <c r="B24" s="16"/>
      <c r="C24" s="344">
        <v>17</v>
      </c>
      <c r="D24" s="348"/>
      <c r="E24" s="350"/>
      <c r="F24" s="71" t="str">
        <f>IFERROR(VLOOKUP(E24,Picklists!$D$3:$E$139,2,FALSE),"")</f>
        <v/>
      </c>
      <c r="G24" s="5"/>
      <c r="H24" s="5"/>
      <c r="I24" s="17"/>
      <c r="J24" s="24"/>
      <c r="K24" s="24"/>
      <c r="L24" s="6"/>
    </row>
    <row r="25" spans="2:12" ht="20.149999999999999" customHeight="1" x14ac:dyDescent="0.35">
      <c r="B25" s="16"/>
      <c r="C25" s="344">
        <v>18</v>
      </c>
      <c r="D25" s="348"/>
      <c r="E25" s="350"/>
      <c r="F25" s="71" t="str">
        <f>IFERROR(VLOOKUP(E25,Picklists!$D$3:$E$139,2,FALSE),"")</f>
        <v/>
      </c>
      <c r="G25" s="5"/>
      <c r="H25" s="5"/>
      <c r="I25" s="17"/>
      <c r="J25" s="742" t="s">
        <v>48</v>
      </c>
      <c r="K25" s="742"/>
      <c r="L25" s="6"/>
    </row>
    <row r="26" spans="2:12" ht="20.149999999999999" customHeight="1" x14ac:dyDescent="0.35">
      <c r="B26" s="16"/>
      <c r="C26" s="344">
        <v>19</v>
      </c>
      <c r="D26" s="348"/>
      <c r="E26" s="350"/>
      <c r="F26" s="71" t="str">
        <f>IFERROR(VLOOKUP(E26,Picklists!$D$3:$E$139,2,FALSE),"")</f>
        <v/>
      </c>
      <c r="G26" s="5"/>
      <c r="H26" s="5" t="str">
        <f t="shared" ref="H26:H32" si="1">IF(F26="E",5,(IF(F26="D",4,(IF(F26="C",3,(IF(F26="B",2,(IF(F26="A",1,"")))))))))</f>
        <v/>
      </c>
      <c r="I26" s="17"/>
      <c r="J26" s="742"/>
      <c r="K26" s="742"/>
      <c r="L26" s="6"/>
    </row>
    <row r="27" spans="2:12" ht="20.149999999999999" customHeight="1" x14ac:dyDescent="0.35">
      <c r="B27" s="16"/>
      <c r="C27" s="344">
        <v>20</v>
      </c>
      <c r="D27" s="351"/>
      <c r="E27" s="352"/>
      <c r="F27" s="71" t="str">
        <f>IFERROR(VLOOKUP(E27,Picklists!$D$3:$E$139,2,FALSE),"")</f>
        <v/>
      </c>
      <c r="G27" s="5"/>
      <c r="H27" s="5" t="str">
        <f>IF(F27="E",5,(IF(F27="D",4,(IF(F27="C",3,(IF(F27="B",2,(IF(F27="A",1,"")))))))))</f>
        <v/>
      </c>
      <c r="I27" s="17"/>
      <c r="J27" s="742"/>
      <c r="K27" s="742"/>
      <c r="L27" s="6"/>
    </row>
    <row r="28" spans="2:12" ht="20.149999999999999" customHeight="1" x14ac:dyDescent="0.35">
      <c r="B28" s="16"/>
      <c r="C28" s="344">
        <v>21</v>
      </c>
      <c r="D28" s="351"/>
      <c r="E28" s="352"/>
      <c r="F28" s="71" t="str">
        <f>IFERROR(VLOOKUP(E28,Picklists!$D$3:$E$139,2,FALSE),"")</f>
        <v/>
      </c>
      <c r="G28" s="5"/>
      <c r="H28" s="5" t="str">
        <f t="shared" si="1"/>
        <v/>
      </c>
      <c r="I28" s="17"/>
      <c r="J28" s="5"/>
      <c r="K28" s="5"/>
      <c r="L28" s="6"/>
    </row>
    <row r="29" spans="2:12" ht="20.149999999999999" customHeight="1" x14ac:dyDescent="0.35">
      <c r="B29" s="16"/>
      <c r="C29" s="344">
        <v>22</v>
      </c>
      <c r="D29" s="351"/>
      <c r="E29" s="352"/>
      <c r="F29" s="71" t="str">
        <f>IFERROR(VLOOKUP(E29,Picklists!$D$3:$E$139,2,FALSE),"")</f>
        <v/>
      </c>
      <c r="G29" s="5"/>
      <c r="H29" s="5" t="str">
        <f t="shared" si="1"/>
        <v/>
      </c>
      <c r="I29" s="17"/>
      <c r="J29" s="5"/>
      <c r="K29" s="5"/>
      <c r="L29" s="6"/>
    </row>
    <row r="30" spans="2:12" ht="20.149999999999999" customHeight="1" x14ac:dyDescent="0.35">
      <c r="B30" s="16"/>
      <c r="C30" s="344">
        <v>23</v>
      </c>
      <c r="D30" s="351"/>
      <c r="E30" s="352"/>
      <c r="F30" s="71" t="str">
        <f>IFERROR(VLOOKUP(E30,Picklists!$D$3:$E$139,2,FALSE),"")</f>
        <v/>
      </c>
      <c r="G30" s="5"/>
      <c r="H30" s="5" t="str">
        <f t="shared" si="1"/>
        <v/>
      </c>
      <c r="I30" s="17"/>
      <c r="J30" s="5"/>
      <c r="K30" s="5"/>
      <c r="L30" s="6"/>
    </row>
    <row r="31" spans="2:12" ht="20.149999999999999" customHeight="1" x14ac:dyDescent="0.35">
      <c r="B31" s="16"/>
      <c r="C31" s="344">
        <v>24</v>
      </c>
      <c r="D31" s="351"/>
      <c r="E31" s="352"/>
      <c r="F31" s="71" t="str">
        <f>IFERROR(VLOOKUP(E31,Picklists!$D$3:$E$139,2,FALSE),"")</f>
        <v/>
      </c>
      <c r="G31" s="5"/>
      <c r="H31" s="5" t="str">
        <f t="shared" si="1"/>
        <v/>
      </c>
      <c r="I31" s="17"/>
      <c r="J31" s="5"/>
      <c r="K31" s="5"/>
      <c r="L31" s="6"/>
    </row>
    <row r="32" spans="2:12" ht="20.149999999999999" customHeight="1" x14ac:dyDescent="0.35">
      <c r="B32" s="16"/>
      <c r="C32" s="344">
        <v>25</v>
      </c>
      <c r="D32" s="348"/>
      <c r="E32" s="350"/>
      <c r="F32" s="71" t="str">
        <f>IFERROR(VLOOKUP(E32,Picklists!$D$3:$E$139,2,FALSE),"")</f>
        <v/>
      </c>
      <c r="G32" s="5"/>
      <c r="H32" s="5"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x14ac:dyDescent="0.35">
      <c r="B35" s="4"/>
      <c r="C35" s="25"/>
      <c r="D35" s="5"/>
      <c r="E35" s="5"/>
      <c r="F35" s="22"/>
      <c r="G35" s="5"/>
      <c r="H35" s="5"/>
      <c r="I35" s="5"/>
      <c r="J35" s="5"/>
      <c r="K35" s="5"/>
      <c r="L35" s="6"/>
    </row>
    <row r="36" spans="2:12" x14ac:dyDescent="0.35">
      <c r="B36" s="4"/>
      <c r="C36" s="5"/>
      <c r="D36" s="5"/>
      <c r="E36" s="5"/>
      <c r="F36" s="25"/>
      <c r="G36" s="5"/>
      <c r="H36" s="5"/>
      <c r="I36" s="5"/>
      <c r="J36" s="5"/>
      <c r="K36" s="5"/>
      <c r="L36" s="6"/>
    </row>
    <row r="37" spans="2:12" x14ac:dyDescent="0.35">
      <c r="B37" s="4"/>
      <c r="C37" s="734"/>
      <c r="D37" s="734"/>
      <c r="E37" s="734"/>
      <c r="F37" s="25"/>
      <c r="G37" s="5"/>
      <c r="H37" s="5"/>
      <c r="I37" s="5"/>
      <c r="J37" s="5"/>
      <c r="K37" s="5"/>
      <c r="L37" s="6"/>
    </row>
    <row r="38" spans="2:12" x14ac:dyDescent="0.35">
      <c r="B38" s="4"/>
      <c r="C38" s="736"/>
      <c r="D38" s="736"/>
      <c r="E38" s="736"/>
      <c r="F38" s="25"/>
      <c r="G38" s="5"/>
      <c r="H38" s="5"/>
      <c r="I38" s="5"/>
      <c r="J38" s="5"/>
      <c r="K38" s="5"/>
      <c r="L38" s="6"/>
    </row>
    <row r="39" spans="2:12" x14ac:dyDescent="0.35">
      <c r="B39" s="4"/>
      <c r="C39" s="25"/>
      <c r="D39" s="26"/>
      <c r="E39" s="26"/>
      <c r="F39" s="22"/>
      <c r="G39" s="5"/>
      <c r="H39" s="5"/>
      <c r="I39" s="5"/>
      <c r="J39" s="5"/>
      <c r="K39" s="5"/>
      <c r="L39" s="6"/>
    </row>
    <row r="40" spans="2:12" ht="15" thickBot="1" x14ac:dyDescent="0.4">
      <c r="B40" s="8"/>
      <c r="C40" s="9"/>
      <c r="D40" s="9"/>
      <c r="E40" s="9"/>
      <c r="F40" s="46"/>
      <c r="G40" s="9"/>
      <c r="H40" s="9"/>
      <c r="I40" s="9"/>
      <c r="J40" s="9"/>
      <c r="K40" s="9"/>
      <c r="L40" s="10"/>
    </row>
  </sheetData>
  <sheetProtection algorithmName="SHA-512" hashValue="PBX5KenVfkcAB3yd+myt1D5HCK07JJIbIEhQQxllgnDzHx0YPvjTRt7vNTXLrNwYP9yG8dMv8T6UoVK1B7qWbQ==" saltValue="QHQvUQFhYYkxYpTS9INu/A=="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6">
    <mergeCell ref="C38:E38"/>
    <mergeCell ref="B2:K2"/>
    <mergeCell ref="J7:K7"/>
    <mergeCell ref="J16:K20"/>
    <mergeCell ref="J25:K27"/>
    <mergeCell ref="C37:E37"/>
  </mergeCells>
  <dataValidations count="2">
    <dataValidation allowBlank="1" sqref="F39:F40 F33" xr:uid="{EBC1C9A4-4723-4D17-B56E-392FE09EDFE9}"/>
    <dataValidation allowBlank="1" errorTitle="Select From List" prompt="Select from List" sqref="E39" xr:uid="{6F9C75C2-7345-477B-BFA7-FF389802C0CA}"/>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AA6D708-EF30-4349-8814-4A68221D9579}">
          <x14:formula1>
            <xm:f>Picklists!$D$3:$D$139</xm:f>
          </x14:formula1>
          <xm:sqref>E8:E32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9"/>
  <sheetViews>
    <sheetView workbookViewId="0">
      <selection activeCell="F18" sqref="F18:F19"/>
    </sheetView>
  </sheetViews>
  <sheetFormatPr defaultRowHeight="14.5" x14ac:dyDescent="0.35"/>
  <cols>
    <col min="4" max="4" width="31.453125" customWidth="1"/>
    <col min="5" max="5" width="19.90625" customWidth="1"/>
    <col min="6" max="6" width="28.90625" customWidth="1"/>
    <col min="7" max="7" width="22.54296875" customWidth="1"/>
  </cols>
  <sheetData>
    <row r="1" spans="2:8" ht="15" thickBot="1" x14ac:dyDescent="0.4"/>
    <row r="2" spans="2:8" ht="16" thickBot="1" x14ac:dyDescent="0.4">
      <c r="B2" s="737" t="s">
        <v>765</v>
      </c>
      <c r="C2" s="738"/>
      <c r="D2" s="738"/>
      <c r="E2" s="738"/>
      <c r="F2" s="738"/>
      <c r="G2" s="738"/>
      <c r="H2" s="750"/>
    </row>
    <row r="3" spans="2:8" x14ac:dyDescent="0.35">
      <c r="B3" s="1"/>
      <c r="C3" s="33"/>
      <c r="D3" s="34"/>
      <c r="E3" s="751"/>
      <c r="F3" s="751"/>
      <c r="G3" s="2"/>
      <c r="H3" s="3"/>
    </row>
    <row r="4" spans="2:8" x14ac:dyDescent="0.35">
      <c r="B4" s="4"/>
      <c r="C4" s="752" t="s">
        <v>53</v>
      </c>
      <c r="D4" s="752"/>
      <c r="E4" s="753" t="str">
        <f>+Introduction!E10</f>
        <v>Dairy Partners (Cymru Wales) Ltd</v>
      </c>
      <c r="F4" s="753"/>
      <c r="G4" s="742"/>
      <c r="H4" s="6"/>
    </row>
    <row r="5" spans="2:8" x14ac:dyDescent="0.35">
      <c r="B5" s="4"/>
      <c r="C5" s="752" t="s">
        <v>30</v>
      </c>
      <c r="D5" s="752"/>
      <c r="E5" s="753" t="str">
        <f>+Introduction!K10</f>
        <v>WP3231NB</v>
      </c>
      <c r="F5" s="753"/>
      <c r="G5" s="742"/>
      <c r="H5" s="6"/>
    </row>
    <row r="6" spans="2:8" x14ac:dyDescent="0.35">
      <c r="B6" s="4"/>
      <c r="C6" s="25"/>
      <c r="D6" s="25"/>
      <c r="E6" s="35"/>
      <c r="F6" s="5"/>
      <c r="G6" s="742"/>
      <c r="H6" s="6"/>
    </row>
    <row r="7" spans="2:8" x14ac:dyDescent="0.35">
      <c r="B7" s="4"/>
      <c r="C7" s="25"/>
      <c r="D7" s="25"/>
      <c r="E7" s="35"/>
      <c r="F7" s="35"/>
      <c r="G7" s="35"/>
      <c r="H7" s="6"/>
    </row>
    <row r="8" spans="2:8" ht="36.75" customHeight="1" x14ac:dyDescent="0.35">
      <c r="B8" s="4"/>
      <c r="C8" s="743" t="s">
        <v>759</v>
      </c>
      <c r="D8" s="744"/>
      <c r="E8" s="744"/>
      <c r="F8" s="744"/>
      <c r="G8" s="745"/>
      <c r="H8" s="6"/>
    </row>
    <row r="9" spans="2:8" ht="35.25" customHeight="1" x14ac:dyDescent="0.35">
      <c r="B9" s="4"/>
      <c r="C9" s="358"/>
      <c r="D9" s="359" t="s">
        <v>54</v>
      </c>
      <c r="E9" s="360" t="s">
        <v>55</v>
      </c>
      <c r="F9" s="361" t="s">
        <v>56</v>
      </c>
      <c r="G9" s="361" t="s">
        <v>57</v>
      </c>
      <c r="H9" s="6"/>
    </row>
    <row r="10" spans="2:8" x14ac:dyDescent="0.35">
      <c r="B10" s="36"/>
      <c r="C10" s="362">
        <v>1</v>
      </c>
      <c r="D10" s="363"/>
      <c r="E10" s="364"/>
      <c r="F10" s="364"/>
      <c r="G10" s="365" t="str">
        <f>IFERROR(VLOOKUP(F10,Picklists!D33:E81,2),"")</f>
        <v/>
      </c>
      <c r="H10" s="39"/>
    </row>
    <row r="11" spans="2:8" x14ac:dyDescent="0.35">
      <c r="B11" s="36"/>
      <c r="C11" s="362">
        <v>2</v>
      </c>
      <c r="D11" s="363"/>
      <c r="E11" s="364"/>
      <c r="F11" s="364"/>
      <c r="G11" s="365" t="str">
        <f>IFERROR(VLOOKUP(F11,Picklists!D34:E82,2),"")</f>
        <v/>
      </c>
      <c r="H11" s="39"/>
    </row>
    <row r="12" spans="2:8" x14ac:dyDescent="0.35">
      <c r="B12" s="4"/>
      <c r="C12" s="25"/>
      <c r="D12" s="25"/>
      <c r="E12" s="5"/>
      <c r="F12" s="5"/>
      <c r="G12" s="40"/>
      <c r="H12" s="6"/>
    </row>
    <row r="13" spans="2:8" x14ac:dyDescent="0.35">
      <c r="B13" s="4"/>
      <c r="C13" s="746" t="s">
        <v>58</v>
      </c>
      <c r="D13" s="747"/>
      <c r="E13" s="748"/>
      <c r="F13" s="52" t="s">
        <v>59</v>
      </c>
      <c r="G13" s="343"/>
      <c r="H13" s="6"/>
    </row>
    <row r="14" spans="2:8" x14ac:dyDescent="0.35">
      <c r="B14" s="4"/>
      <c r="C14" s="343"/>
      <c r="D14" s="25"/>
      <c r="E14" s="343"/>
      <c r="F14" s="41"/>
      <c r="G14" s="343"/>
      <c r="H14" s="6"/>
    </row>
    <row r="15" spans="2:8" ht="36" customHeight="1" x14ac:dyDescent="0.35">
      <c r="B15" s="4"/>
      <c r="C15" s="743" t="s">
        <v>681</v>
      </c>
      <c r="D15" s="744"/>
      <c r="E15" s="744"/>
      <c r="F15" s="745"/>
      <c r="G15" s="42"/>
      <c r="H15" s="6"/>
    </row>
    <row r="16" spans="2:8" ht="51" customHeight="1" x14ac:dyDescent="0.35">
      <c r="B16" s="4"/>
      <c r="C16" s="347"/>
      <c r="D16" s="49" t="s">
        <v>60</v>
      </c>
      <c r="E16" s="49" t="s">
        <v>678</v>
      </c>
      <c r="F16" s="15" t="s">
        <v>680</v>
      </c>
      <c r="G16" s="70"/>
      <c r="H16" s="6"/>
    </row>
    <row r="17" spans="2:8" x14ac:dyDescent="0.35">
      <c r="B17" s="4"/>
      <c r="C17" s="347">
        <v>1</v>
      </c>
      <c r="D17" s="353"/>
      <c r="E17" s="573"/>
      <c r="F17" s="354"/>
      <c r="G17" s="5"/>
      <c r="H17" s="39"/>
    </row>
    <row r="18" spans="2:8" x14ac:dyDescent="0.35">
      <c r="B18" s="4"/>
      <c r="C18" s="347">
        <v>2</v>
      </c>
      <c r="D18" s="353"/>
      <c r="E18" s="573"/>
      <c r="F18" s="354"/>
      <c r="G18" s="5"/>
      <c r="H18" s="39"/>
    </row>
    <row r="19" spans="2:8" x14ac:dyDescent="0.35">
      <c r="B19" s="4"/>
      <c r="C19" s="347">
        <v>3</v>
      </c>
      <c r="D19" s="353"/>
      <c r="E19" s="573"/>
      <c r="F19" s="354"/>
      <c r="G19" s="5"/>
      <c r="H19" s="39"/>
    </row>
    <row r="20" spans="2:8" x14ac:dyDescent="0.35">
      <c r="B20" s="4"/>
      <c r="C20" s="347">
        <v>4</v>
      </c>
      <c r="D20" s="353"/>
      <c r="E20" s="573"/>
      <c r="F20" s="354"/>
      <c r="G20" s="5"/>
      <c r="H20" s="39"/>
    </row>
    <row r="21" spans="2:8" x14ac:dyDescent="0.35">
      <c r="B21" s="4"/>
      <c r="C21" s="347">
        <v>5</v>
      </c>
      <c r="D21" s="353"/>
      <c r="E21" s="573"/>
      <c r="F21" s="354"/>
      <c r="G21" s="5"/>
      <c r="H21" s="39"/>
    </row>
    <row r="22" spans="2:8" x14ac:dyDescent="0.35">
      <c r="B22" s="4"/>
      <c r="C22" s="347">
        <v>6</v>
      </c>
      <c r="D22" s="353"/>
      <c r="E22" s="573"/>
      <c r="F22" s="354"/>
      <c r="G22" s="5"/>
      <c r="H22" s="39"/>
    </row>
    <row r="23" spans="2:8" x14ac:dyDescent="0.35">
      <c r="B23" s="4"/>
      <c r="C23" s="347">
        <v>7</v>
      </c>
      <c r="D23" s="353"/>
      <c r="E23" s="573"/>
      <c r="F23" s="354"/>
      <c r="G23" s="5"/>
      <c r="H23" s="39"/>
    </row>
    <row r="24" spans="2:8" x14ac:dyDescent="0.35">
      <c r="B24" s="4"/>
      <c r="C24" s="347">
        <v>8</v>
      </c>
      <c r="D24" s="353"/>
      <c r="E24" s="573"/>
      <c r="F24" s="354"/>
      <c r="G24" s="5"/>
      <c r="H24" s="39"/>
    </row>
    <row r="25" spans="2:8" x14ac:dyDescent="0.35">
      <c r="B25" s="4"/>
      <c r="C25" s="347">
        <v>9</v>
      </c>
      <c r="D25" s="353"/>
      <c r="E25" s="573"/>
      <c r="F25" s="354"/>
      <c r="G25" s="5"/>
      <c r="H25" s="39"/>
    </row>
    <row r="26" spans="2:8" x14ac:dyDescent="0.35">
      <c r="B26" s="4"/>
      <c r="C26" s="347">
        <v>10</v>
      </c>
      <c r="D26" s="353"/>
      <c r="E26" s="573"/>
      <c r="F26" s="354"/>
      <c r="G26" s="5"/>
      <c r="H26" s="39"/>
    </row>
    <row r="27" spans="2:8" x14ac:dyDescent="0.35">
      <c r="B27" s="4"/>
      <c r="C27" s="347">
        <v>11</v>
      </c>
      <c r="D27" s="353"/>
      <c r="E27" s="573"/>
      <c r="F27" s="354"/>
      <c r="G27" s="5"/>
      <c r="H27" s="39"/>
    </row>
    <row r="28" spans="2:8" x14ac:dyDescent="0.35">
      <c r="B28" s="4"/>
      <c r="C28" s="347">
        <v>12</v>
      </c>
      <c r="D28" s="353"/>
      <c r="E28" s="573"/>
      <c r="F28" s="354"/>
      <c r="G28" s="5"/>
      <c r="H28" s="39"/>
    </row>
    <row r="29" spans="2:8" x14ac:dyDescent="0.35">
      <c r="B29" s="4"/>
      <c r="C29" s="347">
        <v>13</v>
      </c>
      <c r="D29" s="353"/>
      <c r="E29" s="573"/>
      <c r="F29" s="354"/>
      <c r="G29" s="5"/>
      <c r="H29" s="39"/>
    </row>
    <row r="30" spans="2:8" x14ac:dyDescent="0.35">
      <c r="B30" s="4"/>
      <c r="C30" s="347">
        <v>14</v>
      </c>
      <c r="D30" s="353"/>
      <c r="E30" s="573"/>
      <c r="F30" s="354"/>
      <c r="G30" s="5"/>
      <c r="H30" s="39"/>
    </row>
    <row r="31" spans="2:8" x14ac:dyDescent="0.35">
      <c r="B31" s="4"/>
      <c r="C31" s="347">
        <v>15</v>
      </c>
      <c r="D31" s="353"/>
      <c r="E31" s="573"/>
      <c r="F31" s="354"/>
      <c r="G31" s="5"/>
      <c r="H31" s="39"/>
    </row>
    <row r="32" spans="2:8" x14ac:dyDescent="0.35">
      <c r="B32" s="4"/>
      <c r="C32" s="347">
        <v>16</v>
      </c>
      <c r="D32" s="353"/>
      <c r="E32" s="573"/>
      <c r="F32" s="354"/>
      <c r="G32" s="5"/>
      <c r="H32" s="39"/>
    </row>
    <row r="33" spans="2:8" x14ac:dyDescent="0.35">
      <c r="B33" s="4"/>
      <c r="C33" s="347">
        <v>17</v>
      </c>
      <c r="D33" s="353"/>
      <c r="E33" s="573"/>
      <c r="F33" s="354"/>
      <c r="G33" s="5"/>
      <c r="H33" s="39"/>
    </row>
    <row r="34" spans="2:8" x14ac:dyDescent="0.35">
      <c r="B34" s="4"/>
      <c r="C34" s="347">
        <v>18</v>
      </c>
      <c r="D34" s="353"/>
      <c r="E34" s="573"/>
      <c r="F34" s="354"/>
      <c r="G34" s="5"/>
      <c r="H34" s="39"/>
    </row>
    <row r="35" spans="2:8" x14ac:dyDescent="0.35">
      <c r="B35" s="4"/>
      <c r="C35" s="347">
        <v>19</v>
      </c>
      <c r="D35" s="353"/>
      <c r="E35" s="573"/>
      <c r="F35" s="354"/>
      <c r="G35" s="5"/>
      <c r="H35" s="39"/>
    </row>
    <row r="36" spans="2:8" x14ac:dyDescent="0.35">
      <c r="B36" s="4"/>
      <c r="C36" s="347">
        <v>20</v>
      </c>
      <c r="D36" s="47"/>
      <c r="E36" s="574"/>
      <c r="F36" s="50"/>
      <c r="G36" s="5"/>
      <c r="H36" s="39"/>
    </row>
    <row r="37" spans="2:8" x14ac:dyDescent="0.35">
      <c r="B37" s="4"/>
      <c r="C37" s="25"/>
      <c r="D37" s="44"/>
      <c r="E37" s="44"/>
      <c r="F37" s="5"/>
      <c r="G37" s="43"/>
      <c r="H37" s="39"/>
    </row>
    <row r="38" spans="2:8" x14ac:dyDescent="0.35">
      <c r="B38" s="4"/>
      <c r="C38" s="25"/>
      <c r="D38" s="749"/>
      <c r="E38" s="749"/>
      <c r="F38" s="5"/>
      <c r="G38" s="43"/>
      <c r="H38" s="39"/>
    </row>
    <row r="39" spans="2:8" ht="15" thickBot="1" x14ac:dyDescent="0.4">
      <c r="B39" s="8"/>
      <c r="C39" s="45"/>
      <c r="D39" s="46"/>
      <c r="E39" s="9"/>
      <c r="F39" s="9"/>
      <c r="G39" s="9"/>
      <c r="H39" s="10"/>
    </row>
  </sheetData>
  <sheetProtection algorithmName="SHA-512" hashValue="XGnJ78USIbTiPg6HOSRAEUJR2W1+xjUzJ+5Zb51xt7BmcbsMCOL5+4O9oHuyWNveuQocyD7gOeRNI6YdBS7wMg==" saltValue="twsROvD8MxP9ENFfBgECnQ==" spinCount="100000" sheet="1" objects="1" scenarios="1"/>
  <mergeCells count="11">
    <mergeCell ref="C8:G8"/>
    <mergeCell ref="C13:E13"/>
    <mergeCell ref="C15:F15"/>
    <mergeCell ref="D38:E38"/>
    <mergeCell ref="B2:H2"/>
    <mergeCell ref="E3:F3"/>
    <mergeCell ref="C4:D4"/>
    <mergeCell ref="E4:F4"/>
    <mergeCell ref="G4:G6"/>
    <mergeCell ref="C5:D5"/>
    <mergeCell ref="E5:F5"/>
  </mergeCells>
  <phoneticPr fontId="40" type="noConversion"/>
  <dataValidations count="5">
    <dataValidation allowBlank="1" sqref="G39" xr:uid="{0CFF239F-ECE4-41E7-B6AB-6E159C072809}"/>
    <dataValidation allowBlank="1" errorTitle="Select From List" prompt="Select from List" sqref="E37:F38 G17:G38" xr:uid="{D0CA53DC-5E8B-408C-9CCB-B55E3E136D4E}"/>
    <dataValidation type="list" allowBlank="1" showInputMessage="1" showErrorMessage="1" errorTitle="Select from List" prompt="Select from List" sqref="G12" xr:uid="{A0801B31-1073-4F14-A1FA-0EDD6435C21A}">
      <formula1>$D$85:$D$89</formula1>
    </dataValidation>
    <dataValidation type="list" allowBlank="1" errorTitle="Select From List" prompt="Select from List" sqref="F18:F36 F17" xr:uid="{5EEB976A-8913-451C-8C93-D9A2658DBFC7}">
      <formula1>INDIRECT(E17)</formula1>
    </dataValidation>
    <dataValidation type="list" allowBlank="1" errorTitle="Select From List" prompt="Select from List" sqref="E17:E36" xr:uid="{70A935D3-87B5-4C5E-98F6-06D2BF79B9CA}">
      <formula1>category</formula1>
    </dataValidation>
  </dataValidations>
  <pageMargins left="0.7" right="0.7" top="0.75" bottom="0.75" header="0.3" footer="0.3"/>
  <pageSetup paperSize="256" orientation="portrait" horizontalDpi="203" verticalDpi="203" r:id="rId1"/>
  <extLst>
    <ext xmlns:x14="http://schemas.microsoft.com/office/spreadsheetml/2009/9/main" uri="{CCE6A557-97BC-4b89-ADB6-D9C93CAAB3DF}">
      <x14:dataValidations xmlns:xm="http://schemas.microsoft.com/office/excel/2006/main" count="2">
        <x14:dataValidation type="list" allowBlank="1" showInputMessage="1" showErrorMessage="1" xr:uid="{244B6BD1-DDF8-40D3-B9F4-7C20CF3EF191}">
          <x14:formula1>
            <xm:f>Picklists!$U$4:$U$9</xm:f>
          </x14:formula1>
          <xm:sqref>D10:D11</xm:sqref>
        </x14:dataValidation>
        <x14:dataValidation type="list" allowBlank="1" showInputMessage="1" showErrorMessage="1" xr:uid="{8064FF46-9AB6-4B99-8FE9-82F1516E7064}">
          <x14:formula1>
            <xm:f>Picklists!$D$33:$D$81</xm:f>
          </x14:formula1>
          <xm:sqref>F10:F11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6"/>
  <sheetViews>
    <sheetView topLeftCell="A9" zoomScale="70" zoomScaleNormal="70" workbookViewId="0">
      <selection activeCell="L44" sqref="L44"/>
    </sheetView>
  </sheetViews>
  <sheetFormatPr defaultRowHeight="14.5" x14ac:dyDescent="0.35"/>
  <cols>
    <col min="2" max="2" width="11.36328125" customWidth="1"/>
    <col min="3" max="3" width="16.08984375" customWidth="1"/>
    <col min="4" max="4" width="21" customWidth="1"/>
    <col min="5" max="5" width="14.08984375" customWidth="1"/>
    <col min="6" max="6" width="9.08984375" style="312"/>
    <col min="7" max="7" width="20.36328125" customWidth="1"/>
    <col min="8" max="8" width="18.36328125" customWidth="1"/>
    <col min="9" max="9" width="14.08984375" customWidth="1"/>
    <col min="10" max="11" width="11.6328125" style="312" customWidth="1"/>
    <col min="12" max="12" width="24.6328125" customWidth="1"/>
    <col min="13" max="13" width="17.90625" style="11" customWidth="1"/>
    <col min="14" max="14" width="14.36328125" customWidth="1"/>
    <col min="15" max="15" width="10.90625" customWidth="1"/>
    <col min="16" max="16" width="34.6328125" style="11" customWidth="1"/>
    <col min="17" max="17" width="23.90625" style="11" customWidth="1"/>
  </cols>
  <sheetData>
    <row r="1" spans="1:23" ht="27.75" customHeight="1" x14ac:dyDescent="0.35">
      <c r="A1" s="427"/>
      <c r="B1" s="553"/>
      <c r="C1" s="553"/>
      <c r="D1" s="754" t="s">
        <v>84</v>
      </c>
      <c r="E1" s="754"/>
      <c r="F1" s="754"/>
      <c r="G1" s="754"/>
      <c r="H1" s="754"/>
      <c r="I1" s="553"/>
      <c r="J1" s="553"/>
      <c r="K1" s="452"/>
      <c r="L1" s="427"/>
      <c r="M1" s="373"/>
      <c r="N1" s="427"/>
      <c r="O1" s="427"/>
      <c r="P1" s="373" t="s">
        <v>94</v>
      </c>
      <c r="Q1" s="373" t="s">
        <v>95</v>
      </c>
      <c r="R1" s="427"/>
      <c r="S1" s="427"/>
      <c r="T1" s="427"/>
      <c r="U1" s="427"/>
      <c r="V1" s="427"/>
      <c r="W1" s="427"/>
    </row>
    <row r="2" spans="1:23" ht="135" customHeight="1" x14ac:dyDescent="0.35">
      <c r="A2" s="4"/>
      <c r="B2" s="5"/>
      <c r="C2" s="5"/>
      <c r="D2" s="73"/>
      <c r="E2" s="5"/>
      <c r="F2" s="328"/>
      <c r="G2" s="5"/>
      <c r="H2" s="5"/>
      <c r="I2" s="5"/>
      <c r="J2" s="328"/>
      <c r="K2" s="456"/>
      <c r="L2" s="427"/>
      <c r="M2" s="427"/>
      <c r="N2" s="427"/>
      <c r="O2" s="427"/>
      <c r="P2" s="337" t="s">
        <v>767</v>
      </c>
      <c r="Q2" s="337" t="s">
        <v>752</v>
      </c>
      <c r="R2" s="427"/>
      <c r="S2" s="427"/>
      <c r="T2" s="427"/>
      <c r="U2" s="427"/>
      <c r="V2" s="427"/>
      <c r="W2" s="427"/>
    </row>
    <row r="3" spans="1:23" ht="48.75" customHeight="1" x14ac:dyDescent="0.35">
      <c r="A3" s="4"/>
      <c r="B3" s="763" t="s">
        <v>750</v>
      </c>
      <c r="C3" s="764"/>
      <c r="D3" s="765" t="str">
        <f>+Introduction!E10</f>
        <v>Dairy Partners (Cymru Wales) Ltd</v>
      </c>
      <c r="E3" s="766"/>
      <c r="F3" s="327"/>
      <c r="G3" s="767" t="s">
        <v>753</v>
      </c>
      <c r="H3" s="768"/>
      <c r="I3" s="768"/>
      <c r="J3" s="336"/>
      <c r="K3" s="453"/>
      <c r="L3" s="427"/>
      <c r="M3" s="373"/>
      <c r="N3" s="427"/>
      <c r="O3" s="373"/>
      <c r="P3" s="552" t="s">
        <v>766</v>
      </c>
      <c r="Q3" s="455"/>
      <c r="R3" s="427"/>
      <c r="S3" s="427"/>
      <c r="T3" s="427"/>
      <c r="U3" s="427"/>
      <c r="V3" s="427"/>
      <c r="W3" s="427"/>
    </row>
    <row r="4" spans="1:23" ht="31.5" customHeight="1" x14ac:dyDescent="0.35">
      <c r="A4" s="4"/>
      <c r="B4" s="763" t="s">
        <v>751</v>
      </c>
      <c r="C4" s="764"/>
      <c r="D4" s="765" t="str">
        <f>+Introduction!K10</f>
        <v>WP3231NB</v>
      </c>
      <c r="E4" s="766"/>
      <c r="F4" s="327"/>
      <c r="G4" s="5"/>
      <c r="H4" s="5"/>
      <c r="I4" s="5"/>
      <c r="J4" s="57"/>
      <c r="K4" s="453"/>
      <c r="L4" s="427"/>
      <c r="M4" s="373"/>
      <c r="N4" s="427"/>
      <c r="O4" s="427"/>
      <c r="P4" s="355" t="s">
        <v>19</v>
      </c>
      <c r="Q4" s="373"/>
      <c r="R4" s="427"/>
      <c r="S4" s="427"/>
      <c r="T4" s="427"/>
      <c r="U4" s="427"/>
      <c r="V4" s="427"/>
      <c r="W4" s="427"/>
    </row>
    <row r="5" spans="1:23" ht="42" customHeight="1" x14ac:dyDescent="0.35">
      <c r="A5" s="4"/>
      <c r="B5" s="5"/>
      <c r="C5" s="297" t="s">
        <v>702</v>
      </c>
      <c r="D5" s="297"/>
      <c r="E5" s="297"/>
      <c r="F5" s="328"/>
      <c r="G5" s="297" t="s">
        <v>660</v>
      </c>
      <c r="H5" s="297"/>
      <c r="I5" s="297"/>
      <c r="J5" s="297"/>
      <c r="K5" s="456"/>
      <c r="L5" s="297" t="s">
        <v>661</v>
      </c>
      <c r="M5" s="298"/>
      <c r="N5" s="297"/>
      <c r="O5" s="297"/>
      <c r="P5" s="454"/>
      <c r="Q5" s="373"/>
      <c r="R5" s="427"/>
      <c r="S5" s="427"/>
      <c r="T5" s="427"/>
      <c r="U5" s="427"/>
      <c r="V5" s="427"/>
      <c r="W5" s="427"/>
    </row>
    <row r="6" spans="1:23" ht="39" x14ac:dyDescent="0.35">
      <c r="A6" s="4"/>
      <c r="B6" s="14" t="s">
        <v>85</v>
      </c>
      <c r="C6" s="54" t="s">
        <v>86</v>
      </c>
      <c r="D6" s="54" t="s">
        <v>87</v>
      </c>
      <c r="E6" s="54" t="s">
        <v>57</v>
      </c>
      <c r="F6" s="55"/>
      <c r="G6" s="15" t="s">
        <v>86</v>
      </c>
      <c r="H6" s="15" t="s">
        <v>87</v>
      </c>
      <c r="I6" s="15" t="s">
        <v>57</v>
      </c>
      <c r="J6" s="15" t="s">
        <v>101</v>
      </c>
      <c r="K6" s="457"/>
      <c r="L6" s="15" t="s">
        <v>86</v>
      </c>
      <c r="M6" s="15" t="s">
        <v>87</v>
      </c>
      <c r="N6" s="15" t="s">
        <v>57</v>
      </c>
      <c r="O6" s="15" t="s">
        <v>102</v>
      </c>
      <c r="P6" s="15" t="s">
        <v>94</v>
      </c>
      <c r="Q6" s="15" t="s">
        <v>95</v>
      </c>
      <c r="R6" s="427"/>
      <c r="S6" s="535" t="s">
        <v>737</v>
      </c>
      <c r="T6" s="535" t="s">
        <v>738</v>
      </c>
      <c r="U6" s="535" t="s">
        <v>739</v>
      </c>
      <c r="V6" s="535" t="s">
        <v>740</v>
      </c>
      <c r="W6" s="535" t="s">
        <v>736</v>
      </c>
    </row>
    <row r="7" spans="1:23" ht="62.5" x14ac:dyDescent="0.35">
      <c r="A7" s="4"/>
      <c r="B7" s="323">
        <v>1</v>
      </c>
      <c r="C7" s="366" t="str">
        <f>+'1 Listed activity'!D8</f>
        <v>Treatment and processing on milk for the production of dairy products (mozzarella).</v>
      </c>
      <c r="D7" s="366" t="str">
        <f>+'1 Listed activity'!E8</f>
        <v>6.8 Part A (1) e)</v>
      </c>
      <c r="E7" s="366" t="str">
        <f>+'1 Listed activity'!F8</f>
        <v>B</v>
      </c>
      <c r="F7" s="367">
        <f t="shared" ref="F7:F36" si="0">+B7</f>
        <v>1</v>
      </c>
      <c r="G7" s="368" t="str" cm="1">
        <f t="array" ref="G7:I36">_xlfn.SORTBY(C7:E36,D7:D36,-1)</f>
        <v>Treatment and processing on milk for the production of dairy products (mozzarella).</v>
      </c>
      <c r="H7" s="368" t="str">
        <v>6.8 Part A (1) e)</v>
      </c>
      <c r="I7" s="296" t="str">
        <v>B</v>
      </c>
      <c r="J7" s="369" t="str">
        <f>IF(H7=0,"",IF(COUNTIF($H$7:H7,H7)&gt;3,"*Capped",I7))</f>
        <v>B</v>
      </c>
      <c r="K7" s="367"/>
      <c r="L7" s="368" t="str" cm="1">
        <f t="array" ref="L7:O36">_xlfn.SORTBY(G7:J36,J7:J36,-1)</f>
        <v>Treatment and processing on milk for the production of dairy products (mozzarella).</v>
      </c>
      <c r="M7" s="368" t="str">
        <v>6.8 Part A (1) e)</v>
      </c>
      <c r="N7" s="370" t="str">
        <v>B</v>
      </c>
      <c r="O7" s="371" t="str">
        <v>B</v>
      </c>
      <c r="P7" s="371" t="str">
        <f>IF(O7="E","E",IF(AND(T7=1,$P$4="yes",O7="D"),"E",IF(AND(U7=1,$P$4="yes",O7="C"),"D",IF(AND(V7=1,$P$4="yes",O7="b"),"c",IF(AND(W7=1,$P$4="yes",O7="a"),"b",IF($P$4="no",O7,O7))))))</f>
        <v>B</v>
      </c>
      <c r="Q7" s="296" t="str">
        <f t="shared" ref="Q7:Q36" si="1">IF(P7=0,"",IF(AND(F7&gt;6,P7="E"),"D",IF(AND(F7&gt;6,P7="D"),"C",IF(AND(F7&gt;6,P7="C"),"B",IF(AND(F7&gt;6,P7="B"),"A",P7)))))</f>
        <v>B</v>
      </c>
      <c r="S7" s="536">
        <f>COUNTIF($O$7:O7,$S$6)</f>
        <v>0</v>
      </c>
      <c r="T7" s="536">
        <f>COUNTIF($O$7:O7,$T$6)</f>
        <v>0</v>
      </c>
      <c r="U7" s="536">
        <f>IF(T7=0,COUNTIF($O$7:O7,$U$6),0)</f>
        <v>0</v>
      </c>
      <c r="V7" s="536">
        <f>IF(U7=0,COUNTIF($O$7:O7,$V$6),0)</f>
        <v>1</v>
      </c>
      <c r="W7" s="536">
        <f>IF(V7=0,COUNTIF($O$7:O7,$W$6),0)</f>
        <v>0</v>
      </c>
    </row>
    <row r="8" spans="1:23" ht="50" x14ac:dyDescent="0.35">
      <c r="A8" s="4"/>
      <c r="B8" s="323">
        <v>2</v>
      </c>
      <c r="C8" s="366" t="str">
        <f>+'1 Listed activity'!D9</f>
        <v>Treatment of process effluent in the effluent treatment plant.</v>
      </c>
      <c r="D8" s="366" t="str">
        <f>+'1 Listed activity'!E9</f>
        <v>5.4 Part A (1) a) (i)</v>
      </c>
      <c r="E8" s="366" t="str">
        <f>+'1 Listed activity'!F9</f>
        <v>A</v>
      </c>
      <c r="F8" s="367">
        <f t="shared" si="0"/>
        <v>2</v>
      </c>
      <c r="G8" s="368" t="str">
        <v>Treatment of process effluent in the effluent treatment plant.</v>
      </c>
      <c r="H8" s="368" t="str">
        <v>5.4 Part A (1) a) (i)</v>
      </c>
      <c r="I8" s="296" t="str">
        <v>A</v>
      </c>
      <c r="J8" s="369" t="str">
        <f>IF(H8=0,"",IF(COUNTIF($H$7:H8,H8)&gt;3,"*Capped",I8))</f>
        <v>A</v>
      </c>
      <c r="K8" s="367"/>
      <c r="L8" s="368" t="str">
        <v>Treatment of process effluent in the effluent treatment plant.</v>
      </c>
      <c r="M8" s="368" t="str">
        <v>5.4 Part A (1) a) (i)</v>
      </c>
      <c r="N8" s="370" t="str">
        <v>A</v>
      </c>
      <c r="O8" s="371" t="str">
        <v>A</v>
      </c>
      <c r="P8" s="371" t="str">
        <f t="shared" ref="P8:P36" si="2">IF(O8="E","E",IF(AND(T8=1,$P$4="yes",O8="D"),"E",IF(AND(U8=1,$P$4="yes",O8="C"),"D",IF(AND(V8=1,$P$4="yes",O8="b"),"c",IF(AND(W8=1,$P$4="yes",O8="a"),"b",IF($P$4="no",O8,O8))))))</f>
        <v>A</v>
      </c>
      <c r="Q8" s="296" t="str">
        <f t="shared" si="1"/>
        <v>A</v>
      </c>
      <c r="S8" s="536">
        <f>COUNTIF($O$7:O8,$S$6)</f>
        <v>0</v>
      </c>
      <c r="T8" s="536">
        <f>COUNTIF($O$7:O8,$T$6)</f>
        <v>0</v>
      </c>
      <c r="U8" s="536">
        <f>IF(T8=0,COUNTIF($O$7:O8,$U$6),0)</f>
        <v>0</v>
      </c>
      <c r="V8" s="536">
        <f>IF(U8=0,COUNTIF($O$7:O8,$V$6),0)</f>
        <v>1</v>
      </c>
      <c r="W8" s="536">
        <f>IF(V8=0,COUNTIF($O$7:O8,$W$6),0)</f>
        <v>0</v>
      </c>
    </row>
    <row r="9" spans="1:23" x14ac:dyDescent="0.35">
      <c r="A9" s="4"/>
      <c r="B9" s="323">
        <v>3</v>
      </c>
      <c r="C9" s="366">
        <f>+'1 Listed activity'!D10</f>
        <v>0</v>
      </c>
      <c r="D9" s="366">
        <f>+'1 Listed activity'!E10</f>
        <v>0</v>
      </c>
      <c r="E9" s="366" t="str">
        <f>+'1 Listed activity'!F10</f>
        <v/>
      </c>
      <c r="F9" s="367">
        <f t="shared" si="0"/>
        <v>3</v>
      </c>
      <c r="G9" s="368">
        <v>0</v>
      </c>
      <c r="H9" s="368">
        <v>0</v>
      </c>
      <c r="I9" s="296" t="str">
        <v/>
      </c>
      <c r="J9" s="369" t="str">
        <f>IF(H9=0,"",IF(COUNTIF($H$7:H9,H9)&gt;3,"*Capped",I9))</f>
        <v/>
      </c>
      <c r="K9" s="367"/>
      <c r="L9" s="368">
        <v>0</v>
      </c>
      <c r="M9" s="368">
        <v>0</v>
      </c>
      <c r="N9" s="370" t="str">
        <v/>
      </c>
      <c r="O9" s="371" t="str">
        <v/>
      </c>
      <c r="P9" s="371" t="str">
        <f t="shared" si="2"/>
        <v/>
      </c>
      <c r="Q9" s="296" t="str">
        <f t="shared" si="1"/>
        <v/>
      </c>
      <c r="S9" s="536">
        <f>COUNTIF($O$7:O9,$S$6)</f>
        <v>0</v>
      </c>
      <c r="T9" s="536">
        <f>COUNTIF($O$7:O9,$T$6)</f>
        <v>0</v>
      </c>
      <c r="U9" s="536">
        <f>IF(T9=0,COUNTIF($O$7:O9,$U$6),0)</f>
        <v>0</v>
      </c>
      <c r="V9" s="536">
        <f>IF(U9=0,COUNTIF($O$7:O9,$V$6),0)</f>
        <v>1</v>
      </c>
      <c r="W9" s="536">
        <f>IF(V9=0,COUNTIF($O$7:O9,$W$6),0)</f>
        <v>0</v>
      </c>
    </row>
    <row r="10" spans="1:23" x14ac:dyDescent="0.35">
      <c r="A10" s="4"/>
      <c r="B10" s="323">
        <v>4</v>
      </c>
      <c r="C10" s="366">
        <f>+'1 Listed activity'!D11</f>
        <v>0</v>
      </c>
      <c r="D10" s="366">
        <f>+'1 Listed activity'!E11</f>
        <v>0</v>
      </c>
      <c r="E10" s="366" t="str">
        <f>+'1 Listed activity'!F11</f>
        <v/>
      </c>
      <c r="F10" s="367">
        <f t="shared" si="0"/>
        <v>4</v>
      </c>
      <c r="G10" s="368">
        <v>0</v>
      </c>
      <c r="H10" s="368">
        <v>0</v>
      </c>
      <c r="I10" s="296" t="str">
        <v/>
      </c>
      <c r="J10" s="369" t="str">
        <f>IF(H10=0,"",IF(COUNTIF($H$7:H10,H10)&gt;3,"*Capped",I10))</f>
        <v/>
      </c>
      <c r="K10" s="367"/>
      <c r="L10" s="368">
        <v>0</v>
      </c>
      <c r="M10" s="368">
        <v>0</v>
      </c>
      <c r="N10" s="370" t="str">
        <v/>
      </c>
      <c r="O10" s="371" t="str">
        <v/>
      </c>
      <c r="P10" s="371" t="str">
        <f t="shared" si="2"/>
        <v/>
      </c>
      <c r="Q10" s="296" t="str">
        <f t="shared" si="1"/>
        <v/>
      </c>
      <c r="S10" s="536">
        <f>COUNTIF($O$7:O10,$S$6)</f>
        <v>0</v>
      </c>
      <c r="T10" s="536">
        <f>COUNTIF($O$7:O10,$T$6)</f>
        <v>0</v>
      </c>
      <c r="U10" s="536">
        <f>IF(T10=0,COUNTIF($O$7:O10,$U$6),0)</f>
        <v>0</v>
      </c>
      <c r="V10" s="536">
        <f>IF(U10=0,COUNTIF($O$7:O10,$V$6),0)</f>
        <v>1</v>
      </c>
      <c r="W10" s="536">
        <f>IF(V10=0,COUNTIF($O$7:O10,$W$6),0)</f>
        <v>0</v>
      </c>
    </row>
    <row r="11" spans="1:23" x14ac:dyDescent="0.35">
      <c r="A11" s="4"/>
      <c r="B11" s="323">
        <v>5</v>
      </c>
      <c r="C11" s="366">
        <f>+'1 Listed activity'!D12</f>
        <v>0</v>
      </c>
      <c r="D11" s="366">
        <f>+'1 Listed activity'!E12</f>
        <v>0</v>
      </c>
      <c r="E11" s="366" t="str">
        <f>+'1 Listed activity'!F12</f>
        <v/>
      </c>
      <c r="F11" s="367">
        <f t="shared" si="0"/>
        <v>5</v>
      </c>
      <c r="G11" s="368">
        <v>0</v>
      </c>
      <c r="H11" s="368">
        <v>0</v>
      </c>
      <c r="I11" s="296" t="str">
        <v/>
      </c>
      <c r="J11" s="369" t="str">
        <f>IF(H11=0,"",IF(COUNTIF($H$7:H11,H11)&gt;3,"*Capped",I11))</f>
        <v/>
      </c>
      <c r="K11" s="367"/>
      <c r="L11" s="368">
        <v>0</v>
      </c>
      <c r="M11" s="368">
        <v>0</v>
      </c>
      <c r="N11" s="370" t="str">
        <v/>
      </c>
      <c r="O11" s="371" t="str">
        <v/>
      </c>
      <c r="P11" s="371" t="str">
        <f t="shared" si="2"/>
        <v/>
      </c>
      <c r="Q11" s="296" t="str">
        <f t="shared" si="1"/>
        <v/>
      </c>
      <c r="S11" s="536">
        <f>COUNTIF($O$7:O11,$S$6)</f>
        <v>0</v>
      </c>
      <c r="T11" s="536">
        <f>COUNTIF($O$7:O11,$T$6)</f>
        <v>0</v>
      </c>
      <c r="U11" s="536">
        <f>IF(T11=0,COUNTIF($O$7:O11,$U$6),0)</f>
        <v>0</v>
      </c>
      <c r="V11" s="536">
        <f>IF(U11=0,COUNTIF($O$7:O11,$V$6),0)</f>
        <v>1</v>
      </c>
      <c r="W11" s="536">
        <f>IF(V11=0,COUNTIF($O$7:O11,$W$6),0)</f>
        <v>0</v>
      </c>
    </row>
    <row r="12" spans="1:23" ht="15" thickBot="1" x14ac:dyDescent="0.4">
      <c r="A12" s="4"/>
      <c r="B12" s="323">
        <v>6</v>
      </c>
      <c r="C12" s="366">
        <f>+'1 Listed activity'!D13</f>
        <v>0</v>
      </c>
      <c r="D12" s="366">
        <f>+'1 Listed activity'!E13</f>
        <v>0</v>
      </c>
      <c r="E12" s="366" t="str">
        <f>+'1 Listed activity'!F13</f>
        <v/>
      </c>
      <c r="F12" s="367">
        <f t="shared" si="0"/>
        <v>6</v>
      </c>
      <c r="G12" s="368">
        <v>0</v>
      </c>
      <c r="H12" s="368">
        <v>0</v>
      </c>
      <c r="I12" s="296" t="str">
        <v/>
      </c>
      <c r="J12" s="369" t="str">
        <f>IF(H12=0,"",IF(COUNTIF($H$7:H12,H12)&gt;3,"*Capped",I12))</f>
        <v/>
      </c>
      <c r="K12" s="367"/>
      <c r="L12" s="368">
        <v>0</v>
      </c>
      <c r="M12" s="368">
        <v>0</v>
      </c>
      <c r="N12" s="370" t="str">
        <v/>
      </c>
      <c r="O12" s="371" t="str">
        <v/>
      </c>
      <c r="P12" s="371" t="str">
        <f t="shared" si="2"/>
        <v/>
      </c>
      <c r="Q12" s="372" t="str">
        <f t="shared" si="1"/>
        <v/>
      </c>
      <c r="S12" s="536">
        <f>COUNTIF($O$7:O12,$S$6)</f>
        <v>0</v>
      </c>
      <c r="T12" s="536">
        <f>COUNTIF($O$7:O12,$T$6)</f>
        <v>0</v>
      </c>
      <c r="U12" s="536">
        <f>IF(T12=0,COUNTIF($O$7:O12,$U$6),0)</f>
        <v>0</v>
      </c>
      <c r="V12" s="536">
        <f>IF(U12=0,COUNTIF($O$7:O12,$V$6),0)</f>
        <v>1</v>
      </c>
      <c r="W12" s="536">
        <f>IF(V12=0,COUNTIF($O$7:O12,$W$6),0)</f>
        <v>0</v>
      </c>
    </row>
    <row r="13" spans="1:23" x14ac:dyDescent="0.35">
      <c r="A13" s="4"/>
      <c r="B13" s="323">
        <v>7</v>
      </c>
      <c r="C13" s="366">
        <f>+'1 Listed activity'!D14</f>
        <v>0</v>
      </c>
      <c r="D13" s="366">
        <f>+'1 Listed activity'!E14</f>
        <v>0</v>
      </c>
      <c r="E13" s="366" t="str">
        <f>+'1 Listed activity'!F14</f>
        <v/>
      </c>
      <c r="F13" s="367">
        <f t="shared" si="0"/>
        <v>7</v>
      </c>
      <c r="G13" s="368">
        <v>0</v>
      </c>
      <c r="H13" s="368">
        <v>0</v>
      </c>
      <c r="I13" s="296" t="str">
        <v/>
      </c>
      <c r="J13" s="369" t="str">
        <f>IF(H13=0,"",IF(COUNTIF($H$7:H13,H13)&gt;3,"*Capped",I13))</f>
        <v/>
      </c>
      <c r="K13" s="367"/>
      <c r="L13" s="368">
        <v>0</v>
      </c>
      <c r="M13" s="368">
        <v>0</v>
      </c>
      <c r="N13" s="370" t="str">
        <v/>
      </c>
      <c r="O13" s="371" t="str">
        <v/>
      </c>
      <c r="P13" s="371" t="str">
        <f t="shared" si="2"/>
        <v/>
      </c>
      <c r="Q13" s="296" t="str">
        <f t="shared" si="1"/>
        <v/>
      </c>
      <c r="S13" s="536">
        <f>COUNTIF($O$7:O13,$S$6)</f>
        <v>0</v>
      </c>
      <c r="T13" s="536">
        <f>COUNTIF($O$7:O13,$T$6)</f>
        <v>0</v>
      </c>
      <c r="U13" s="536">
        <f>IF(T13=0,COUNTIF($O$7:O13,$U$6),0)</f>
        <v>0</v>
      </c>
      <c r="V13" s="536">
        <f>IF(U13=0,COUNTIF($O$7:O13,$V$6),0)</f>
        <v>1</v>
      </c>
      <c r="W13" s="536">
        <f>IF(V13=0,COUNTIF($O$7:O13,$W$6),0)</f>
        <v>0</v>
      </c>
    </row>
    <row r="14" spans="1:23" x14ac:dyDescent="0.35">
      <c r="A14" s="4"/>
      <c r="B14" s="323">
        <v>8</v>
      </c>
      <c r="C14" s="366">
        <f>+'1 Listed activity'!D15</f>
        <v>0</v>
      </c>
      <c r="D14" s="366">
        <f>+'1 Listed activity'!E15</f>
        <v>0</v>
      </c>
      <c r="E14" s="366" t="str">
        <f>+'1 Listed activity'!F15</f>
        <v/>
      </c>
      <c r="F14" s="367">
        <f t="shared" si="0"/>
        <v>8</v>
      </c>
      <c r="G14" s="368">
        <v>0</v>
      </c>
      <c r="H14" s="368">
        <v>0</v>
      </c>
      <c r="I14" s="296" t="str">
        <v/>
      </c>
      <c r="J14" s="369" t="str">
        <f>IF(H14=0,"",IF(COUNTIF($H$7:H14,H14)&gt;3,"*Capped",I14))</f>
        <v/>
      </c>
      <c r="K14" s="367"/>
      <c r="L14" s="368">
        <v>0</v>
      </c>
      <c r="M14" s="368">
        <v>0</v>
      </c>
      <c r="N14" s="370" t="str">
        <v/>
      </c>
      <c r="O14" s="371" t="str">
        <v/>
      </c>
      <c r="P14" s="371" t="str">
        <f t="shared" si="2"/>
        <v/>
      </c>
      <c r="Q14" s="296" t="str">
        <f t="shared" si="1"/>
        <v/>
      </c>
      <c r="S14" s="536">
        <f>COUNTIF($O$7:O14,$S$6)</f>
        <v>0</v>
      </c>
      <c r="T14" s="536">
        <f>COUNTIF($O$7:O14,$T$6)</f>
        <v>0</v>
      </c>
      <c r="U14" s="536">
        <f>IF(T14=0,COUNTIF($O$7:O14,$U$6),0)</f>
        <v>0</v>
      </c>
      <c r="V14" s="536">
        <f>IF(U14=0,COUNTIF($O$7:O14,$V$6),0)</f>
        <v>1</v>
      </c>
      <c r="W14" s="536">
        <f>IF(V14=0,COUNTIF($O$7:O14,$W$6),0)</f>
        <v>0</v>
      </c>
    </row>
    <row r="15" spans="1:23" x14ac:dyDescent="0.35">
      <c r="A15" s="4"/>
      <c r="B15" s="323">
        <v>9</v>
      </c>
      <c r="C15" s="366">
        <f>+'1 Listed activity'!D16</f>
        <v>0</v>
      </c>
      <c r="D15" s="366">
        <f>+'1 Listed activity'!E16</f>
        <v>0</v>
      </c>
      <c r="E15" s="366" t="str">
        <f>+'1 Listed activity'!F16</f>
        <v/>
      </c>
      <c r="F15" s="367">
        <f t="shared" si="0"/>
        <v>9</v>
      </c>
      <c r="G15" s="368">
        <v>0</v>
      </c>
      <c r="H15" s="368">
        <v>0</v>
      </c>
      <c r="I15" s="296" t="str">
        <v/>
      </c>
      <c r="J15" s="369" t="str">
        <f>IF(H15=0,"",IF(COUNTIF($H$7:H15,H15)&gt;3,"*Capped",I15))</f>
        <v/>
      </c>
      <c r="K15" s="367"/>
      <c r="L15" s="368">
        <v>0</v>
      </c>
      <c r="M15" s="368">
        <v>0</v>
      </c>
      <c r="N15" s="370" t="str">
        <v/>
      </c>
      <c r="O15" s="371" t="str">
        <v/>
      </c>
      <c r="P15" s="371" t="str">
        <f t="shared" si="2"/>
        <v/>
      </c>
      <c r="Q15" s="296" t="str">
        <f t="shared" si="1"/>
        <v/>
      </c>
      <c r="S15" s="536">
        <f>COUNTIF($O$7:O15,$S$6)</f>
        <v>0</v>
      </c>
      <c r="T15" s="536">
        <f>COUNTIF($O$7:O15,$T$6)</f>
        <v>0</v>
      </c>
      <c r="U15" s="536">
        <f>IF(T15=0,COUNTIF($O$7:O15,$U$6),0)</f>
        <v>0</v>
      </c>
      <c r="V15" s="536">
        <f>IF(U15=0,COUNTIF($O$7:O15,$V$6),0)</f>
        <v>1</v>
      </c>
      <c r="W15" s="536">
        <f>IF(V15=0,COUNTIF($O$7:O15,$W$6),0)</f>
        <v>0</v>
      </c>
    </row>
    <row r="16" spans="1:23" x14ac:dyDescent="0.35">
      <c r="A16" s="4"/>
      <c r="B16" s="323">
        <v>10</v>
      </c>
      <c r="C16" s="366">
        <f>+'1 Listed activity'!D17</f>
        <v>0</v>
      </c>
      <c r="D16" s="366">
        <f>+'1 Listed activity'!E17</f>
        <v>0</v>
      </c>
      <c r="E16" s="366" t="str">
        <f>+'1 Listed activity'!F17</f>
        <v/>
      </c>
      <c r="F16" s="367">
        <f t="shared" si="0"/>
        <v>10</v>
      </c>
      <c r="G16" s="368">
        <v>0</v>
      </c>
      <c r="H16" s="368">
        <v>0</v>
      </c>
      <c r="I16" s="296" t="str">
        <v/>
      </c>
      <c r="J16" s="369" t="str">
        <f>IF(H16=0,"",IF(COUNTIF($H$7:H16,H16)&gt;3,"*Capped",I16))</f>
        <v/>
      </c>
      <c r="K16" s="367"/>
      <c r="L16" s="368">
        <v>0</v>
      </c>
      <c r="M16" s="368">
        <v>0</v>
      </c>
      <c r="N16" s="370" t="str">
        <v/>
      </c>
      <c r="O16" s="371" t="str">
        <v/>
      </c>
      <c r="P16" s="371" t="str">
        <f t="shared" si="2"/>
        <v/>
      </c>
      <c r="Q16" s="296" t="str">
        <f t="shared" si="1"/>
        <v/>
      </c>
      <c r="S16" s="536">
        <f>COUNTIF($O$7:O16,$S$6)</f>
        <v>0</v>
      </c>
      <c r="T16" s="536">
        <f>COUNTIF($O$7:O16,$T$6)</f>
        <v>0</v>
      </c>
      <c r="U16" s="536">
        <f>IF(T16=0,COUNTIF($O$7:O16,$U$6),0)</f>
        <v>0</v>
      </c>
      <c r="V16" s="536">
        <f>IF(U16=0,COUNTIF($O$7:O16,$V$6),0)</f>
        <v>1</v>
      </c>
      <c r="W16" s="536">
        <f>IF(V16=0,COUNTIF($O$7:O16,$W$6),0)</f>
        <v>0</v>
      </c>
    </row>
    <row r="17" spans="1:23" x14ac:dyDescent="0.35">
      <c r="A17" s="4"/>
      <c r="B17" s="323">
        <v>11</v>
      </c>
      <c r="C17" s="366">
        <f>+'1 Listed activity'!D18</f>
        <v>0</v>
      </c>
      <c r="D17" s="366">
        <f>+'1 Listed activity'!E18</f>
        <v>0</v>
      </c>
      <c r="E17" s="366" t="str">
        <f>+'1 Listed activity'!F18</f>
        <v/>
      </c>
      <c r="F17" s="367">
        <f t="shared" si="0"/>
        <v>11</v>
      </c>
      <c r="G17" s="368">
        <v>0</v>
      </c>
      <c r="H17" s="368">
        <v>0</v>
      </c>
      <c r="I17" s="296" t="str">
        <v/>
      </c>
      <c r="J17" s="369" t="str">
        <f>IF(H17=0,"",IF(COUNTIF($H$7:H17,H17)&gt;3,"*Capped",I17))</f>
        <v/>
      </c>
      <c r="K17" s="367"/>
      <c r="L17" s="368">
        <v>0</v>
      </c>
      <c r="M17" s="368">
        <v>0</v>
      </c>
      <c r="N17" s="370" t="str">
        <v/>
      </c>
      <c r="O17" s="371" t="str">
        <v/>
      </c>
      <c r="P17" s="371" t="str">
        <f t="shared" si="2"/>
        <v/>
      </c>
      <c r="Q17" s="296" t="str">
        <f t="shared" si="1"/>
        <v/>
      </c>
      <c r="S17" s="536">
        <f>COUNTIF($O$7:O17,$S$6)</f>
        <v>0</v>
      </c>
      <c r="T17" s="536">
        <f>COUNTIF($O$7:O17,$T$6)</f>
        <v>0</v>
      </c>
      <c r="U17" s="536">
        <f>IF(T17=0,COUNTIF($O$7:O17,$U$6),0)</f>
        <v>0</v>
      </c>
      <c r="V17" s="536">
        <f>IF(U17=0,COUNTIF($O$7:O17,$V$6),0)</f>
        <v>1</v>
      </c>
      <c r="W17" s="536">
        <f>IF(V17=0,COUNTIF($O$7:O17,$W$6),0)</f>
        <v>0</v>
      </c>
    </row>
    <row r="18" spans="1:23" x14ac:dyDescent="0.35">
      <c r="A18" s="4"/>
      <c r="B18" s="323">
        <v>12</v>
      </c>
      <c r="C18" s="366">
        <f>+'1 Listed activity'!D19</f>
        <v>0</v>
      </c>
      <c r="D18" s="366">
        <f>+'1 Listed activity'!E19</f>
        <v>0</v>
      </c>
      <c r="E18" s="366" t="str">
        <f>+'1 Listed activity'!F19</f>
        <v/>
      </c>
      <c r="F18" s="367">
        <f t="shared" si="0"/>
        <v>12</v>
      </c>
      <c r="G18" s="368">
        <v>0</v>
      </c>
      <c r="H18" s="368">
        <v>0</v>
      </c>
      <c r="I18" s="296" t="str">
        <v/>
      </c>
      <c r="J18" s="369" t="str">
        <f>IF(H18=0,"",IF(COUNTIF($H$7:H18,H18)&gt;3,"*Capped",I18))</f>
        <v/>
      </c>
      <c r="K18" s="367"/>
      <c r="L18" s="368">
        <v>0</v>
      </c>
      <c r="M18" s="368">
        <v>0</v>
      </c>
      <c r="N18" s="370" t="str">
        <v/>
      </c>
      <c r="O18" s="371" t="str">
        <v/>
      </c>
      <c r="P18" s="371" t="str">
        <f t="shared" si="2"/>
        <v/>
      </c>
      <c r="Q18" s="296" t="str">
        <f t="shared" si="1"/>
        <v/>
      </c>
      <c r="S18" s="536">
        <f>COUNTIF($O$7:O18,$S$6)</f>
        <v>0</v>
      </c>
      <c r="T18" s="536">
        <f>COUNTIF($O$7:O18,$T$6)</f>
        <v>0</v>
      </c>
      <c r="U18" s="536">
        <f>IF(T18=0,COUNTIF($O$7:O18,$U$6),0)</f>
        <v>0</v>
      </c>
      <c r="V18" s="536">
        <f>IF(U18=0,COUNTIF($O$7:O18,$V$6),0)</f>
        <v>1</v>
      </c>
      <c r="W18" s="536">
        <f>IF(V18=0,COUNTIF($O$7:O18,$W$6),0)</f>
        <v>0</v>
      </c>
    </row>
    <row r="19" spans="1:23" x14ac:dyDescent="0.35">
      <c r="A19" s="4"/>
      <c r="B19" s="323">
        <v>13</v>
      </c>
      <c r="C19" s="366">
        <f>+'1 Listed activity'!D20</f>
        <v>0</v>
      </c>
      <c r="D19" s="366">
        <f>+'1 Listed activity'!E20</f>
        <v>0</v>
      </c>
      <c r="E19" s="366" t="str">
        <f>+'1 Listed activity'!F20</f>
        <v/>
      </c>
      <c r="F19" s="367">
        <f t="shared" si="0"/>
        <v>13</v>
      </c>
      <c r="G19" s="368">
        <v>0</v>
      </c>
      <c r="H19" s="368">
        <v>0</v>
      </c>
      <c r="I19" s="296" t="str">
        <v/>
      </c>
      <c r="J19" s="369" t="str">
        <f>IF(H19=0,"",IF(COUNTIF($H$7:H19,H19)&gt;3,"*Capped",I19))</f>
        <v/>
      </c>
      <c r="K19" s="367"/>
      <c r="L19" s="368">
        <v>0</v>
      </c>
      <c r="M19" s="368">
        <v>0</v>
      </c>
      <c r="N19" s="370" t="str">
        <v/>
      </c>
      <c r="O19" s="371" t="str">
        <v/>
      </c>
      <c r="P19" s="371" t="str">
        <f t="shared" si="2"/>
        <v/>
      </c>
      <c r="Q19" s="296" t="str">
        <f t="shared" si="1"/>
        <v/>
      </c>
      <c r="S19" s="536">
        <f>COUNTIF($O$7:O19,$S$6)</f>
        <v>0</v>
      </c>
      <c r="T19" s="536">
        <f>COUNTIF($O$7:O19,$T$6)</f>
        <v>0</v>
      </c>
      <c r="U19" s="536">
        <f>IF(T19=0,COUNTIF($O$7:O19,$U$6),0)</f>
        <v>0</v>
      </c>
      <c r="V19" s="536">
        <f>IF(U19=0,COUNTIF($O$7:O19,$V$6),0)</f>
        <v>1</v>
      </c>
      <c r="W19" s="536">
        <f>IF(V19=0,COUNTIF($O$7:O19,$W$6),0)</f>
        <v>0</v>
      </c>
    </row>
    <row r="20" spans="1:23" x14ac:dyDescent="0.35">
      <c r="A20" s="4"/>
      <c r="B20" s="323">
        <v>14</v>
      </c>
      <c r="C20" s="366"/>
      <c r="D20" s="366"/>
      <c r="E20" s="366"/>
      <c r="F20" s="367">
        <f t="shared" si="0"/>
        <v>14</v>
      </c>
      <c r="G20" s="368">
        <v>0</v>
      </c>
      <c r="H20" s="368">
        <v>0</v>
      </c>
      <c r="I20" s="296">
        <v>0</v>
      </c>
      <c r="J20" s="369" t="str">
        <f>IF(H20=0,"",IF(COUNTIF($H$7:H20,H20)&gt;3,"*Capped",I20))</f>
        <v/>
      </c>
      <c r="K20" s="367"/>
      <c r="L20" s="368">
        <v>0</v>
      </c>
      <c r="M20" s="368">
        <v>0</v>
      </c>
      <c r="N20" s="370">
        <v>0</v>
      </c>
      <c r="O20" s="371" t="str">
        <v/>
      </c>
      <c r="P20" s="371" t="str">
        <f t="shared" si="2"/>
        <v/>
      </c>
      <c r="Q20" s="296" t="str">
        <f t="shared" si="1"/>
        <v/>
      </c>
      <c r="S20" s="536">
        <f>COUNTIF($O$7:O20,$S$6)</f>
        <v>0</v>
      </c>
      <c r="T20" s="536">
        <f>COUNTIF($O$7:O20,$T$6)</f>
        <v>0</v>
      </c>
      <c r="U20" s="536">
        <f>IF(T20=0,COUNTIF($O$7:O20,$U$6),0)</f>
        <v>0</v>
      </c>
      <c r="V20" s="536">
        <f>IF(U20=0,COUNTIF($O$7:O20,$V$6),0)</f>
        <v>1</v>
      </c>
      <c r="W20" s="536">
        <f>IF(V20=0,COUNTIF($O$7:O20,$W$6),0)</f>
        <v>0</v>
      </c>
    </row>
    <row r="21" spans="1:23" x14ac:dyDescent="0.35">
      <c r="A21" s="4"/>
      <c r="B21" s="323">
        <v>15</v>
      </c>
      <c r="C21" s="366"/>
      <c r="D21" s="366"/>
      <c r="E21" s="366"/>
      <c r="F21" s="367">
        <f t="shared" si="0"/>
        <v>15</v>
      </c>
      <c r="G21" s="368">
        <v>0</v>
      </c>
      <c r="H21" s="368">
        <v>0</v>
      </c>
      <c r="I21" s="296">
        <v>0</v>
      </c>
      <c r="J21" s="369" t="str">
        <f>IF(H21=0,"",IF(COUNTIF($H$7:H21,H21)&gt;3,"*Capped",I21))</f>
        <v/>
      </c>
      <c r="K21" s="367"/>
      <c r="L21" s="368">
        <v>0</v>
      </c>
      <c r="M21" s="368">
        <v>0</v>
      </c>
      <c r="N21" s="370">
        <v>0</v>
      </c>
      <c r="O21" s="371" t="str">
        <v/>
      </c>
      <c r="P21" s="371" t="str">
        <f t="shared" si="2"/>
        <v/>
      </c>
      <c r="Q21" s="296" t="str">
        <f t="shared" si="1"/>
        <v/>
      </c>
      <c r="S21" s="536">
        <f>COUNTIF($O$7:O21,$S$6)</f>
        <v>0</v>
      </c>
      <c r="T21" s="536">
        <f>COUNTIF($O$7:O21,$T$6)</f>
        <v>0</v>
      </c>
      <c r="U21" s="536">
        <f>IF(T21=0,COUNTIF($O$7:O21,$U$6),0)</f>
        <v>0</v>
      </c>
      <c r="V21" s="536">
        <f>IF(U21=0,COUNTIF($O$7:O21,$V$6),0)</f>
        <v>1</v>
      </c>
      <c r="W21" s="536">
        <f>IF(V21=0,COUNTIF($O$7:O21,$W$6),0)</f>
        <v>0</v>
      </c>
    </row>
    <row r="22" spans="1:23" x14ac:dyDescent="0.35">
      <c r="A22" s="4"/>
      <c r="B22" s="323">
        <v>16</v>
      </c>
      <c r="C22" s="366"/>
      <c r="D22" s="366"/>
      <c r="E22" s="366"/>
      <c r="F22" s="367">
        <f t="shared" si="0"/>
        <v>16</v>
      </c>
      <c r="G22" s="368">
        <v>0</v>
      </c>
      <c r="H22" s="368">
        <v>0</v>
      </c>
      <c r="I22" s="296">
        <v>0</v>
      </c>
      <c r="J22" s="369" t="str">
        <f>IF(H22=0,"",IF(COUNTIF($H$7:H22,H22)&gt;3,"*Capped",I22))</f>
        <v/>
      </c>
      <c r="K22" s="367"/>
      <c r="L22" s="368">
        <v>0</v>
      </c>
      <c r="M22" s="368">
        <v>0</v>
      </c>
      <c r="N22" s="370">
        <v>0</v>
      </c>
      <c r="O22" s="371" t="str">
        <v/>
      </c>
      <c r="P22" s="371" t="str">
        <f t="shared" si="2"/>
        <v/>
      </c>
      <c r="Q22" s="296" t="str">
        <f t="shared" si="1"/>
        <v/>
      </c>
      <c r="S22" s="536">
        <f>COUNTIF($O$7:O22,$S$6)</f>
        <v>0</v>
      </c>
      <c r="T22" s="536">
        <f>COUNTIF($O$7:O22,$T$6)</f>
        <v>0</v>
      </c>
      <c r="U22" s="536">
        <f>IF(T22=0,COUNTIF($O$7:O22,$U$6),0)</f>
        <v>0</v>
      </c>
      <c r="V22" s="536">
        <f>IF(U22=0,COUNTIF($O$7:O22,$V$6),0)</f>
        <v>1</v>
      </c>
      <c r="W22" s="536">
        <f>IF(V22=0,COUNTIF($O$7:O22,$W$6),0)</f>
        <v>0</v>
      </c>
    </row>
    <row r="23" spans="1:23" x14ac:dyDescent="0.35">
      <c r="A23" s="4"/>
      <c r="B23" s="323">
        <v>17</v>
      </c>
      <c r="C23" s="366"/>
      <c r="D23" s="366"/>
      <c r="E23" s="366"/>
      <c r="F23" s="367">
        <f t="shared" si="0"/>
        <v>17</v>
      </c>
      <c r="G23" s="368">
        <v>0</v>
      </c>
      <c r="H23" s="368">
        <v>0</v>
      </c>
      <c r="I23" s="296">
        <v>0</v>
      </c>
      <c r="J23" s="369" t="str">
        <f>IF(H23=0,"",IF(COUNTIF($H$7:H23,H23)&gt;3,"*Capped",I23))</f>
        <v/>
      </c>
      <c r="K23" s="367"/>
      <c r="L23" s="368">
        <v>0</v>
      </c>
      <c r="M23" s="368">
        <v>0</v>
      </c>
      <c r="N23" s="370">
        <v>0</v>
      </c>
      <c r="O23" s="371" t="str">
        <v/>
      </c>
      <c r="P23" s="371" t="str">
        <f t="shared" si="2"/>
        <v/>
      </c>
      <c r="Q23" s="296" t="str">
        <f t="shared" si="1"/>
        <v/>
      </c>
      <c r="S23" s="536">
        <f>COUNTIF($O$7:O23,$S$6)</f>
        <v>0</v>
      </c>
      <c r="T23" s="536">
        <f>COUNTIF($O$7:O23,$T$6)</f>
        <v>0</v>
      </c>
      <c r="U23" s="536">
        <f>IF(T23=0,COUNTIF($O$7:O23,$U$6),0)</f>
        <v>0</v>
      </c>
      <c r="V23" s="536">
        <f>IF(U23=0,COUNTIF($O$7:O23,$V$6),0)</f>
        <v>1</v>
      </c>
      <c r="W23" s="536">
        <f>IF(V23=0,COUNTIF($O$7:O23,$W$6),0)</f>
        <v>0</v>
      </c>
    </row>
    <row r="24" spans="1:23" x14ac:dyDescent="0.35">
      <c r="A24" s="4"/>
      <c r="B24" s="323">
        <v>18</v>
      </c>
      <c r="C24" s="366"/>
      <c r="D24" s="366"/>
      <c r="E24" s="366"/>
      <c r="F24" s="367">
        <f t="shared" si="0"/>
        <v>18</v>
      </c>
      <c r="G24" s="368">
        <v>0</v>
      </c>
      <c r="H24" s="368">
        <v>0</v>
      </c>
      <c r="I24" s="296">
        <v>0</v>
      </c>
      <c r="J24" s="369" t="str">
        <f>IF(H24=0,"",IF(COUNTIF($H$7:H24,H24)&gt;3,"*Capped",I24))</f>
        <v/>
      </c>
      <c r="K24" s="367"/>
      <c r="L24" s="368">
        <v>0</v>
      </c>
      <c r="M24" s="368">
        <v>0</v>
      </c>
      <c r="N24" s="370">
        <v>0</v>
      </c>
      <c r="O24" s="371" t="str">
        <v/>
      </c>
      <c r="P24" s="371" t="str">
        <f t="shared" si="2"/>
        <v/>
      </c>
      <c r="Q24" s="296" t="str">
        <f t="shared" si="1"/>
        <v/>
      </c>
      <c r="S24" s="536">
        <f>COUNTIF($O$7:O24,$S$6)</f>
        <v>0</v>
      </c>
      <c r="T24" s="536">
        <f>COUNTIF($O$7:O24,$T$6)</f>
        <v>0</v>
      </c>
      <c r="U24" s="536">
        <f>IF(T24=0,COUNTIF($O$7:O24,$U$6),0)</f>
        <v>0</v>
      </c>
      <c r="V24" s="536">
        <f>IF(U24=0,COUNTIF($O$7:O24,$V$6),0)</f>
        <v>1</v>
      </c>
      <c r="W24" s="536">
        <f>IF(V24=0,COUNTIF($O$7:O24,$W$6),0)</f>
        <v>0</v>
      </c>
    </row>
    <row r="25" spans="1:23" x14ac:dyDescent="0.35">
      <c r="A25" s="4"/>
      <c r="B25" s="323">
        <v>19</v>
      </c>
      <c r="C25" s="366"/>
      <c r="D25" s="366"/>
      <c r="E25" s="366"/>
      <c r="F25" s="367">
        <f t="shared" si="0"/>
        <v>19</v>
      </c>
      <c r="G25" s="368">
        <v>0</v>
      </c>
      <c r="H25" s="368">
        <v>0</v>
      </c>
      <c r="I25" s="296">
        <v>0</v>
      </c>
      <c r="J25" s="369" t="str">
        <f>IF(H25=0,"",IF(COUNTIF($H$7:H25,H25)&gt;3,"*Capped",I25))</f>
        <v/>
      </c>
      <c r="K25" s="367"/>
      <c r="L25" s="368">
        <v>0</v>
      </c>
      <c r="M25" s="368">
        <v>0</v>
      </c>
      <c r="N25" s="370">
        <v>0</v>
      </c>
      <c r="O25" s="371" t="str">
        <v/>
      </c>
      <c r="P25" s="371" t="str">
        <f t="shared" si="2"/>
        <v/>
      </c>
      <c r="Q25" s="296" t="str">
        <f t="shared" si="1"/>
        <v/>
      </c>
      <c r="S25" s="536">
        <f>COUNTIF($O$7:O25,$S$6)</f>
        <v>0</v>
      </c>
      <c r="T25" s="536">
        <f>COUNTIF($O$7:O25,$T$6)</f>
        <v>0</v>
      </c>
      <c r="U25" s="536">
        <f>IF(T25=0,COUNTIF($O$7:O25,$U$6),0)</f>
        <v>0</v>
      </c>
      <c r="V25" s="536">
        <f>IF(U25=0,COUNTIF($O$7:O25,$V$6),0)</f>
        <v>1</v>
      </c>
      <c r="W25" s="536">
        <f>IF(V25=0,COUNTIF($O$7:O25,$W$6),0)</f>
        <v>0</v>
      </c>
    </row>
    <row r="26" spans="1:23" x14ac:dyDescent="0.35">
      <c r="A26" s="4"/>
      <c r="B26" s="323">
        <v>20</v>
      </c>
      <c r="C26" s="366"/>
      <c r="D26" s="366"/>
      <c r="E26" s="366"/>
      <c r="F26" s="367">
        <f t="shared" si="0"/>
        <v>20</v>
      </c>
      <c r="G26" s="368">
        <v>0</v>
      </c>
      <c r="H26" s="368">
        <v>0</v>
      </c>
      <c r="I26" s="296">
        <v>0</v>
      </c>
      <c r="J26" s="369" t="str">
        <f>IF(H26=0,"",IF(COUNTIF($H$7:H26,H26)&gt;3,"*Capped",I26))</f>
        <v/>
      </c>
      <c r="K26" s="367"/>
      <c r="L26" s="368">
        <v>0</v>
      </c>
      <c r="M26" s="368">
        <v>0</v>
      </c>
      <c r="N26" s="370">
        <v>0</v>
      </c>
      <c r="O26" s="371" t="str">
        <v/>
      </c>
      <c r="P26" s="371" t="str">
        <f t="shared" si="2"/>
        <v/>
      </c>
      <c r="Q26" s="296" t="str">
        <f t="shared" si="1"/>
        <v/>
      </c>
      <c r="S26" s="536">
        <f>COUNTIF($O$7:O26,$S$6)</f>
        <v>0</v>
      </c>
      <c r="T26" s="536">
        <f>COUNTIF($O$7:O26,$T$6)</f>
        <v>0</v>
      </c>
      <c r="U26" s="536">
        <f>IF(T26=0,COUNTIF($O$7:O26,$U$6),0)</f>
        <v>0</v>
      </c>
      <c r="V26" s="536">
        <f>IF(U26=0,COUNTIF($O$7:O26,$V$6),0)</f>
        <v>1</v>
      </c>
      <c r="W26" s="536">
        <f>IF(V26=0,COUNTIF($O$7:O26,$W$6),0)</f>
        <v>0</v>
      </c>
    </row>
    <row r="27" spans="1:23" x14ac:dyDescent="0.35">
      <c r="A27" s="4"/>
      <c r="B27" s="323">
        <v>21</v>
      </c>
      <c r="C27" s="366"/>
      <c r="D27" s="366"/>
      <c r="E27" s="366"/>
      <c r="F27" s="367">
        <f t="shared" si="0"/>
        <v>21</v>
      </c>
      <c r="G27" s="368">
        <v>0</v>
      </c>
      <c r="H27" s="368">
        <v>0</v>
      </c>
      <c r="I27" s="296">
        <v>0</v>
      </c>
      <c r="J27" s="369" t="str">
        <f>IF(H27=0,"",IF(COUNTIF($H$7:H27,H27)&gt;3,"*Capped",I27))</f>
        <v/>
      </c>
      <c r="K27" s="367"/>
      <c r="L27" s="368">
        <v>0</v>
      </c>
      <c r="M27" s="368">
        <v>0</v>
      </c>
      <c r="N27" s="370">
        <v>0</v>
      </c>
      <c r="O27" s="371" t="str">
        <v/>
      </c>
      <c r="P27" s="371" t="str">
        <f t="shared" si="2"/>
        <v/>
      </c>
      <c r="Q27" s="296" t="str">
        <f t="shared" si="1"/>
        <v/>
      </c>
      <c r="S27" s="536">
        <f>COUNTIF($O$7:O27,$S$6)</f>
        <v>0</v>
      </c>
      <c r="T27" s="536">
        <f>COUNTIF($O$7:O27,$T$6)</f>
        <v>0</v>
      </c>
      <c r="U27" s="536">
        <f>IF(T27=0,COUNTIF($O$7:O27,$U$6),0)</f>
        <v>0</v>
      </c>
      <c r="V27" s="536">
        <f>IF(U27=0,COUNTIF($O$7:O27,$V$6),0)</f>
        <v>1</v>
      </c>
      <c r="W27" s="536">
        <f>IF(V27=0,COUNTIF($O$7:O27,$W$6),0)</f>
        <v>0</v>
      </c>
    </row>
    <row r="28" spans="1:23" x14ac:dyDescent="0.35">
      <c r="A28" s="4"/>
      <c r="B28" s="323">
        <v>22</v>
      </c>
      <c r="C28" s="366"/>
      <c r="D28" s="366"/>
      <c r="E28" s="366"/>
      <c r="F28" s="367">
        <f t="shared" si="0"/>
        <v>22</v>
      </c>
      <c r="G28" s="368">
        <v>0</v>
      </c>
      <c r="H28" s="368">
        <v>0</v>
      </c>
      <c r="I28" s="296">
        <v>0</v>
      </c>
      <c r="J28" s="369" t="str">
        <f>IF(H28=0,"",IF(COUNTIF($H$7:H28,H28)&gt;3,"*Capped",I28))</f>
        <v/>
      </c>
      <c r="K28" s="367"/>
      <c r="L28" s="368">
        <v>0</v>
      </c>
      <c r="M28" s="368">
        <v>0</v>
      </c>
      <c r="N28" s="370">
        <v>0</v>
      </c>
      <c r="O28" s="371" t="str">
        <v/>
      </c>
      <c r="P28" s="371" t="str">
        <f t="shared" si="2"/>
        <v/>
      </c>
      <c r="Q28" s="296" t="str">
        <f t="shared" si="1"/>
        <v/>
      </c>
      <c r="S28" s="536">
        <f>COUNTIF($O$7:O28,$S$6)</f>
        <v>0</v>
      </c>
      <c r="T28" s="536">
        <f>COUNTIF($O$7:O28,$T$6)</f>
        <v>0</v>
      </c>
      <c r="U28" s="536">
        <f>IF(T28=0,COUNTIF($O$7:O28,$U$6),0)</f>
        <v>0</v>
      </c>
      <c r="V28" s="536">
        <f>IF(U28=0,COUNTIF($O$7:O28,$V$6),0)</f>
        <v>1</v>
      </c>
      <c r="W28" s="536">
        <f>IF(V28=0,COUNTIF($O$7:O28,$W$6),0)</f>
        <v>0</v>
      </c>
    </row>
    <row r="29" spans="1:23" x14ac:dyDescent="0.35">
      <c r="A29" s="4"/>
      <c r="B29" s="323">
        <v>23</v>
      </c>
      <c r="C29" s="366"/>
      <c r="D29" s="366"/>
      <c r="E29" s="366"/>
      <c r="F29" s="367">
        <f t="shared" si="0"/>
        <v>23</v>
      </c>
      <c r="G29" s="368">
        <v>0</v>
      </c>
      <c r="H29" s="368">
        <v>0</v>
      </c>
      <c r="I29" s="296">
        <v>0</v>
      </c>
      <c r="J29" s="369" t="str">
        <f>IF(H29=0,"",IF(COUNTIF($H$7:H29,H29)&gt;3,"*Capped",I29))</f>
        <v/>
      </c>
      <c r="K29" s="367"/>
      <c r="L29" s="368">
        <v>0</v>
      </c>
      <c r="M29" s="368">
        <v>0</v>
      </c>
      <c r="N29" s="370">
        <v>0</v>
      </c>
      <c r="O29" s="371" t="str">
        <v/>
      </c>
      <c r="P29" s="371" t="str">
        <f t="shared" si="2"/>
        <v/>
      </c>
      <c r="Q29" s="296" t="str">
        <f t="shared" si="1"/>
        <v/>
      </c>
      <c r="S29" s="536">
        <f>COUNTIF($O$7:O29,$S$6)</f>
        <v>0</v>
      </c>
      <c r="T29" s="536">
        <f>COUNTIF($O$7:O29,$T$6)</f>
        <v>0</v>
      </c>
      <c r="U29" s="536">
        <f>IF(T29=0,COUNTIF($O$7:O29,$U$6),0)</f>
        <v>0</v>
      </c>
      <c r="V29" s="536">
        <f>IF(U29=0,COUNTIF($O$7:O29,$V$6),0)</f>
        <v>1</v>
      </c>
      <c r="W29" s="536">
        <f>IF(V29=0,COUNTIF($O$7:O29,$W$6),0)</f>
        <v>0</v>
      </c>
    </row>
    <row r="30" spans="1:23" x14ac:dyDescent="0.35">
      <c r="A30" s="4"/>
      <c r="B30" s="323">
        <v>24</v>
      </c>
      <c r="C30" s="366"/>
      <c r="D30" s="366"/>
      <c r="E30" s="366"/>
      <c r="F30" s="367">
        <f t="shared" si="0"/>
        <v>24</v>
      </c>
      <c r="G30" s="368">
        <v>0</v>
      </c>
      <c r="H30" s="368">
        <v>0</v>
      </c>
      <c r="I30" s="296">
        <v>0</v>
      </c>
      <c r="J30" s="369" t="str">
        <f>IF(H30=0,"",IF(COUNTIF($H$7:H30,H30)&gt;3,"*Capped",I30))</f>
        <v/>
      </c>
      <c r="K30" s="367"/>
      <c r="L30" s="368">
        <v>0</v>
      </c>
      <c r="M30" s="368">
        <v>0</v>
      </c>
      <c r="N30" s="370">
        <v>0</v>
      </c>
      <c r="O30" s="371" t="str">
        <v/>
      </c>
      <c r="P30" s="371" t="str">
        <f t="shared" si="2"/>
        <v/>
      </c>
      <c r="Q30" s="296" t="str">
        <f t="shared" si="1"/>
        <v/>
      </c>
      <c r="S30" s="536">
        <f>COUNTIF($O$7:O30,$S$6)</f>
        <v>0</v>
      </c>
      <c r="T30" s="536">
        <f>COUNTIF($O$7:O30,$T$6)</f>
        <v>0</v>
      </c>
      <c r="U30" s="536">
        <f>IF(T30=0,COUNTIF($O$7:O30,$U$6),0)</f>
        <v>0</v>
      </c>
      <c r="V30" s="536">
        <f>IF(U30=0,COUNTIF($O$7:O30,$V$6),0)</f>
        <v>1</v>
      </c>
      <c r="W30" s="536">
        <f>IF(V30=0,COUNTIF($O$7:O30,$W$6),0)</f>
        <v>0</v>
      </c>
    </row>
    <row r="31" spans="1:23" x14ac:dyDescent="0.35">
      <c r="A31" s="4"/>
      <c r="B31" s="323">
        <v>25</v>
      </c>
      <c r="C31" s="366"/>
      <c r="D31" s="366"/>
      <c r="E31" s="366"/>
      <c r="F31" s="367">
        <f t="shared" si="0"/>
        <v>25</v>
      </c>
      <c r="G31" s="368">
        <v>0</v>
      </c>
      <c r="H31" s="368">
        <v>0</v>
      </c>
      <c r="I31" s="296">
        <v>0</v>
      </c>
      <c r="J31" s="369" t="str">
        <f>IF(H31=0,"",IF(COUNTIF($H$7:H31,H31)&gt;3,"*Capped",I31))</f>
        <v/>
      </c>
      <c r="K31" s="367"/>
      <c r="L31" s="368">
        <v>0</v>
      </c>
      <c r="M31" s="368">
        <v>0</v>
      </c>
      <c r="N31" s="370">
        <v>0</v>
      </c>
      <c r="O31" s="371" t="str">
        <v/>
      </c>
      <c r="P31" s="371" t="str">
        <f t="shared" si="2"/>
        <v/>
      </c>
      <c r="Q31" s="296" t="str">
        <f t="shared" si="1"/>
        <v/>
      </c>
      <c r="S31" s="536">
        <f>COUNTIF($O$7:O31,$S$6)</f>
        <v>0</v>
      </c>
      <c r="T31" s="536">
        <f>COUNTIF($O$7:O31,$T$6)</f>
        <v>0</v>
      </c>
      <c r="U31" s="536">
        <f>IF(T31=0,COUNTIF($O$7:O31,$U$6),0)</f>
        <v>0</v>
      </c>
      <c r="V31" s="536">
        <f>IF(U31=0,COUNTIF($O$7:O31,$V$6),0)</f>
        <v>1</v>
      </c>
      <c r="W31" s="536">
        <f>IF(V31=0,COUNTIF($O$7:O31,$W$6),0)</f>
        <v>0</v>
      </c>
    </row>
    <row r="32" spans="1:23" x14ac:dyDescent="0.35">
      <c r="A32" s="4"/>
      <c r="B32" s="323">
        <v>26</v>
      </c>
      <c r="C32" s="366"/>
      <c r="D32" s="366"/>
      <c r="E32" s="366"/>
      <c r="F32" s="367">
        <f t="shared" si="0"/>
        <v>26</v>
      </c>
      <c r="G32" s="368">
        <v>0</v>
      </c>
      <c r="H32" s="368">
        <v>0</v>
      </c>
      <c r="I32" s="296">
        <v>0</v>
      </c>
      <c r="J32" s="369" t="str">
        <f>IF(H32=0,"",IF(COUNTIF($H$7:H32,H32)&gt;3,"*Capped",I32))</f>
        <v/>
      </c>
      <c r="K32" s="367"/>
      <c r="L32" s="368">
        <v>0</v>
      </c>
      <c r="M32" s="368">
        <v>0</v>
      </c>
      <c r="N32" s="370">
        <v>0</v>
      </c>
      <c r="O32" s="371" t="str">
        <v/>
      </c>
      <c r="P32" s="371" t="str">
        <f t="shared" si="2"/>
        <v/>
      </c>
      <c r="Q32" s="296" t="str">
        <f t="shared" si="1"/>
        <v/>
      </c>
      <c r="S32" s="536">
        <f>COUNTIF($O$7:O32,$S$6)</f>
        <v>0</v>
      </c>
      <c r="T32" s="536">
        <f>COUNTIF($O$7:O32,$T$6)</f>
        <v>0</v>
      </c>
      <c r="U32" s="536">
        <f>IF(T32=0,COUNTIF($O$7:O32,$U$6),0)</f>
        <v>0</v>
      </c>
      <c r="V32" s="536">
        <f>IF(U32=0,COUNTIF($O$7:O32,$V$6),0)</f>
        <v>1</v>
      </c>
      <c r="W32" s="536">
        <f>IF(V32=0,COUNTIF($O$7:O32,$W$6),0)</f>
        <v>0</v>
      </c>
    </row>
    <row r="33" spans="1:23" x14ac:dyDescent="0.35">
      <c r="A33" s="4"/>
      <c r="B33" s="323">
        <v>27</v>
      </c>
      <c r="C33" s="366"/>
      <c r="D33" s="366"/>
      <c r="E33" s="366"/>
      <c r="F33" s="367">
        <f t="shared" si="0"/>
        <v>27</v>
      </c>
      <c r="G33" s="368">
        <v>0</v>
      </c>
      <c r="H33" s="368">
        <v>0</v>
      </c>
      <c r="I33" s="296">
        <v>0</v>
      </c>
      <c r="J33" s="369" t="str">
        <f>IF(H33=0,"",IF(COUNTIF($H$7:H33,H33)&gt;3,"*Capped",I33))</f>
        <v/>
      </c>
      <c r="K33" s="367"/>
      <c r="L33" s="368">
        <v>0</v>
      </c>
      <c r="M33" s="368">
        <v>0</v>
      </c>
      <c r="N33" s="370">
        <v>0</v>
      </c>
      <c r="O33" s="371" t="str">
        <v/>
      </c>
      <c r="P33" s="371" t="str">
        <f t="shared" si="2"/>
        <v/>
      </c>
      <c r="Q33" s="296" t="str">
        <f t="shared" si="1"/>
        <v/>
      </c>
      <c r="S33" s="536">
        <f>COUNTIF($O$7:O33,$S$6)</f>
        <v>0</v>
      </c>
      <c r="T33" s="536">
        <f>COUNTIF($O$7:O33,$T$6)</f>
        <v>0</v>
      </c>
      <c r="U33" s="536">
        <f>IF(T33=0,COUNTIF($O$7:O33,$U$6),0)</f>
        <v>0</v>
      </c>
      <c r="V33" s="536">
        <f>IF(U33=0,COUNTIF($O$7:O33,$V$6),0)</f>
        <v>1</v>
      </c>
      <c r="W33" s="536">
        <f>IF(V33=0,COUNTIF($O$7:O33,$W$6),0)</f>
        <v>0</v>
      </c>
    </row>
    <row r="34" spans="1:23" x14ac:dyDescent="0.35">
      <c r="A34" s="4"/>
      <c r="B34" s="323">
        <v>28</v>
      </c>
      <c r="C34" s="366"/>
      <c r="D34" s="366"/>
      <c r="E34" s="366"/>
      <c r="F34" s="367">
        <f t="shared" si="0"/>
        <v>28</v>
      </c>
      <c r="G34" s="368">
        <v>0</v>
      </c>
      <c r="H34" s="368">
        <v>0</v>
      </c>
      <c r="I34" s="296">
        <v>0</v>
      </c>
      <c r="J34" s="369" t="str">
        <f>IF(H34=0,"",IF(COUNTIF($H$7:H34,H34)&gt;3,"*Capped",I34))</f>
        <v/>
      </c>
      <c r="K34" s="367"/>
      <c r="L34" s="368">
        <v>0</v>
      </c>
      <c r="M34" s="368">
        <v>0</v>
      </c>
      <c r="N34" s="370">
        <v>0</v>
      </c>
      <c r="O34" s="371" t="str">
        <v/>
      </c>
      <c r="P34" s="371" t="str">
        <f t="shared" si="2"/>
        <v/>
      </c>
      <c r="Q34" s="296" t="str">
        <f t="shared" si="1"/>
        <v/>
      </c>
      <c r="S34" s="536">
        <f>COUNTIF($O$7:O34,$S$6)</f>
        <v>0</v>
      </c>
      <c r="T34" s="536">
        <f>COUNTIF($O$7:O34,$T$6)</f>
        <v>0</v>
      </c>
      <c r="U34" s="536">
        <f>IF(T34=0,COUNTIF($O$7:O34,$U$6),0)</f>
        <v>0</v>
      </c>
      <c r="V34" s="536">
        <f>IF(U34=0,COUNTIF($O$7:O34,$V$6),0)</f>
        <v>1</v>
      </c>
      <c r="W34" s="536">
        <f>IF(V34=0,COUNTIF($O$7:O34,$W$6),0)</f>
        <v>0</v>
      </c>
    </row>
    <row r="35" spans="1:23" x14ac:dyDescent="0.35">
      <c r="A35" s="4"/>
      <c r="B35" s="323">
        <v>29</v>
      </c>
      <c r="C35" s="366"/>
      <c r="D35" s="366"/>
      <c r="E35" s="366"/>
      <c r="F35" s="367">
        <f t="shared" si="0"/>
        <v>29</v>
      </c>
      <c r="G35" s="368">
        <v>0</v>
      </c>
      <c r="H35" s="368">
        <v>0</v>
      </c>
      <c r="I35" s="296">
        <v>0</v>
      </c>
      <c r="J35" s="369" t="str">
        <f>IF(H35=0,"",IF(COUNTIF($H$7:H35,H35)&gt;3,"*Capped",I35))</f>
        <v/>
      </c>
      <c r="K35" s="367"/>
      <c r="L35" s="368">
        <v>0</v>
      </c>
      <c r="M35" s="368">
        <v>0</v>
      </c>
      <c r="N35" s="370">
        <v>0</v>
      </c>
      <c r="O35" s="371" t="str">
        <v/>
      </c>
      <c r="P35" s="371" t="str">
        <f t="shared" si="2"/>
        <v/>
      </c>
      <c r="Q35" s="296" t="str">
        <f t="shared" si="1"/>
        <v/>
      </c>
      <c r="S35" s="536">
        <f>COUNTIF($O$7:O35,$S$6)</f>
        <v>0</v>
      </c>
      <c r="T35" s="536">
        <f>COUNTIF($O$7:O35,$T$6)</f>
        <v>0</v>
      </c>
      <c r="U35" s="536">
        <f>IF(T35=0,COUNTIF($O$7:O35,$U$6),0)</f>
        <v>0</v>
      </c>
      <c r="V35" s="536">
        <f>IF(U35=0,COUNTIF($O$7:O35,$V$6),0)</f>
        <v>1</v>
      </c>
      <c r="W35" s="536">
        <f>IF(V35=0,COUNTIF($O$7:O35,$W$6),0)</f>
        <v>0</v>
      </c>
    </row>
    <row r="36" spans="1:23" x14ac:dyDescent="0.35">
      <c r="A36" s="4"/>
      <c r="B36" s="323">
        <v>30</v>
      </c>
      <c r="C36" s="366"/>
      <c r="D36" s="366"/>
      <c r="E36" s="366"/>
      <c r="F36" s="367">
        <f t="shared" si="0"/>
        <v>30</v>
      </c>
      <c r="G36" s="368">
        <v>0</v>
      </c>
      <c r="H36" s="368">
        <v>0</v>
      </c>
      <c r="I36" s="296">
        <v>0</v>
      </c>
      <c r="J36" s="369" t="str">
        <f>IF(H36=0,"",IF(COUNTIF($H$7:H36,H36)&gt;3,"*Capped",I36))</f>
        <v/>
      </c>
      <c r="K36" s="367"/>
      <c r="L36" s="368">
        <v>0</v>
      </c>
      <c r="M36" s="368">
        <v>0</v>
      </c>
      <c r="N36" s="370">
        <v>0</v>
      </c>
      <c r="O36" s="371" t="str">
        <v/>
      </c>
      <c r="P36" s="371" t="str">
        <f t="shared" si="2"/>
        <v/>
      </c>
      <c r="Q36" s="296" t="str">
        <f t="shared" si="1"/>
        <v/>
      </c>
      <c r="S36" s="536">
        <f>COUNTIF($O$7:O36,$S$6)</f>
        <v>0</v>
      </c>
      <c r="T36" s="536">
        <f>COUNTIF($O$7:O36,$T$6)</f>
        <v>0</v>
      </c>
      <c r="U36" s="536">
        <f>IF(T36=0,COUNTIF($O$7:O36,$U$6),0)</f>
        <v>0</v>
      </c>
      <c r="V36" s="536">
        <f>IF(U36=0,COUNTIF($O$7:O36,$V$6),0)</f>
        <v>1</v>
      </c>
      <c r="W36" s="536">
        <f>IF(V36=0,COUNTIF($O$7:O36,$W$6),0)</f>
        <v>0</v>
      </c>
    </row>
    <row r="37" spans="1:23" x14ac:dyDescent="0.35">
      <c r="A37" s="4"/>
      <c r="B37" s="343"/>
      <c r="C37" s="25"/>
      <c r="D37" s="25"/>
      <c r="E37" s="40"/>
      <c r="F37" s="329"/>
      <c r="G37" s="40"/>
      <c r="H37" s="40"/>
      <c r="I37" s="40"/>
      <c r="J37" s="329"/>
      <c r="K37" s="333"/>
    </row>
    <row r="38" spans="1:23" x14ac:dyDescent="0.35">
      <c r="A38" s="4"/>
      <c r="B38" s="25"/>
      <c r="C38" s="25"/>
      <c r="D38" s="25"/>
      <c r="E38" s="5"/>
      <c r="F38" s="328"/>
      <c r="G38" s="5"/>
      <c r="H38" s="5"/>
      <c r="I38" s="5"/>
      <c r="J38" s="328"/>
    </row>
    <row r="39" spans="1:23" x14ac:dyDescent="0.35">
      <c r="A39" s="4"/>
      <c r="B39" s="56"/>
      <c r="C39" s="25"/>
      <c r="D39" s="25"/>
      <c r="E39" s="5"/>
      <c r="F39" s="328"/>
      <c r="G39" s="5"/>
      <c r="H39" s="5"/>
      <c r="I39" s="5"/>
      <c r="J39" s="328"/>
    </row>
    <row r="40" spans="1:23" x14ac:dyDescent="0.35">
      <c r="A40" s="4"/>
      <c r="B40" s="25"/>
      <c r="C40" s="25"/>
      <c r="D40" s="25"/>
      <c r="E40" s="5"/>
      <c r="F40" s="328"/>
      <c r="G40" s="5"/>
      <c r="H40" s="5"/>
      <c r="I40" s="5"/>
      <c r="J40" s="328"/>
    </row>
    <row r="41" spans="1:23" x14ac:dyDescent="0.35">
      <c r="A41" s="4"/>
      <c r="B41" s="57"/>
      <c r="C41" s="756" t="s">
        <v>90</v>
      </c>
      <c r="D41" s="757"/>
      <c r="E41" s="5" t="s">
        <v>694</v>
      </c>
      <c r="F41" s="758" t="s">
        <v>91</v>
      </c>
      <c r="G41" s="758"/>
      <c r="H41" s="758"/>
      <c r="I41" s="758"/>
      <c r="J41" s="58"/>
      <c r="K41" s="334"/>
    </row>
    <row r="42" spans="1:23" x14ac:dyDescent="0.35">
      <c r="A42" s="4"/>
      <c r="B42" s="59"/>
      <c r="C42" s="60" t="s">
        <v>92</v>
      </c>
      <c r="D42" s="305" t="str">
        <f>IF(COUNTIF(O7:O36,"*capped"),"Yes","no")</f>
        <v>no</v>
      </c>
      <c r="E42" s="5"/>
      <c r="F42" s="758"/>
      <c r="G42" s="758"/>
      <c r="H42" s="758"/>
      <c r="I42" s="758"/>
      <c r="J42" s="58"/>
      <c r="K42" s="334"/>
    </row>
    <row r="43" spans="1:23" x14ac:dyDescent="0.35">
      <c r="A43" s="4"/>
      <c r="B43" s="59"/>
      <c r="C43" s="60" t="s">
        <v>82</v>
      </c>
      <c r="D43" s="304" t="s">
        <v>19</v>
      </c>
      <c r="E43" s="5"/>
      <c r="F43" s="758"/>
      <c r="G43" s="758"/>
      <c r="H43" s="758"/>
      <c r="I43" s="758"/>
      <c r="J43" s="58"/>
      <c r="K43" s="334"/>
    </row>
    <row r="44" spans="1:23" x14ac:dyDescent="0.35">
      <c r="A44" s="4"/>
      <c r="B44" s="59"/>
      <c r="C44" s="60" t="s">
        <v>93</v>
      </c>
      <c r="D44" s="575" t="s">
        <v>768</v>
      </c>
      <c r="E44" s="5"/>
      <c r="F44" s="758"/>
      <c r="G44" s="758"/>
      <c r="H44" s="758"/>
      <c r="I44" s="758"/>
      <c r="J44" s="58"/>
      <c r="K44" s="334"/>
    </row>
    <row r="45" spans="1:23" x14ac:dyDescent="0.35">
      <c r="A45" s="4"/>
      <c r="B45" s="59"/>
      <c r="C45" s="60" t="s">
        <v>94</v>
      </c>
      <c r="D45" s="306" t="str">
        <f>+P4</f>
        <v>No</v>
      </c>
      <c r="E45" s="576" t="str">
        <f>IF(P4=0,"Incomplete","Complete")</f>
        <v>Complete</v>
      </c>
      <c r="F45" s="328"/>
      <c r="G45" s="61"/>
      <c r="H45" s="58"/>
      <c r="I45" s="58"/>
      <c r="J45" s="58"/>
      <c r="K45" s="334"/>
    </row>
    <row r="46" spans="1:23" ht="15.5" x14ac:dyDescent="0.35">
      <c r="A46" s="4"/>
      <c r="B46" s="62"/>
      <c r="C46" s="63" t="s">
        <v>95</v>
      </c>
      <c r="D46" s="307" t="str">
        <f>IF(AND(F13&gt;6,Q13="e"),"Yes",IF(AND(F13&gt;6,Q13="d"),"C",IF(AND(F13&gt;6,Q13="c"),"Yes",IF(AND(F13&gt;6,Q13,Q13="b"),"Yes",IF(AND(F13&gt;6,Q13,Q13="a"),"Yes","No")))))</f>
        <v>No</v>
      </c>
      <c r="E46" s="5"/>
      <c r="F46" s="328"/>
      <c r="G46" s="5"/>
      <c r="H46" s="58"/>
      <c r="I46" s="58"/>
      <c r="J46" s="58"/>
      <c r="K46" s="334"/>
    </row>
    <row r="47" spans="1:23" ht="15.5" x14ac:dyDescent="0.35">
      <c r="A47" s="4"/>
      <c r="B47" s="62"/>
      <c r="C47" s="64"/>
      <c r="D47" s="62"/>
      <c r="E47" s="5"/>
      <c r="F47" s="328"/>
      <c r="G47" s="5"/>
      <c r="H47" s="58"/>
      <c r="I47" s="58"/>
      <c r="J47" s="58"/>
      <c r="K47" s="334"/>
    </row>
    <row r="48" spans="1:23" ht="41.25" customHeight="1" x14ac:dyDescent="0.35">
      <c r="A48" s="4"/>
      <c r="B48" s="37"/>
      <c r="C48" s="759" t="s">
        <v>96</v>
      </c>
      <c r="D48" s="760"/>
      <c r="E48" s="761"/>
      <c r="F48" s="328"/>
      <c r="G48" s="762" t="s">
        <v>97</v>
      </c>
      <c r="H48" s="762"/>
      <c r="I48" s="22"/>
      <c r="J48" s="328"/>
    </row>
    <row r="49" spans="1:11" ht="26.5" x14ac:dyDescent="0.35">
      <c r="A49" s="4"/>
      <c r="B49" s="65" t="s">
        <v>57</v>
      </c>
      <c r="C49" s="66" t="s">
        <v>98</v>
      </c>
      <c r="D49" s="66" t="s">
        <v>99</v>
      </c>
      <c r="E49" s="67" t="s">
        <v>100</v>
      </c>
      <c r="F49" s="330"/>
      <c r="G49" s="762"/>
      <c r="H49" s="762"/>
      <c r="I49" s="5"/>
      <c r="J49" s="332"/>
      <c r="K49" s="335"/>
    </row>
    <row r="50" spans="1:11" x14ac:dyDescent="0.35">
      <c r="A50" s="4"/>
      <c r="B50" s="67" t="s">
        <v>37</v>
      </c>
      <c r="C50" s="284">
        <f t="shared" ref="C50:C55" si="3">COUNTIF(Q$7:Q$12,B50)</f>
        <v>1</v>
      </c>
      <c r="D50" s="284">
        <f t="shared" ref="D50:D55" si="4">COUNTIF(Q$13:Q$36,B50)</f>
        <v>0</v>
      </c>
      <c r="E50" s="284">
        <f t="shared" ref="E50:E55" si="5">C50+D50</f>
        <v>1</v>
      </c>
      <c r="F50" s="330"/>
      <c r="G50" s="755">
        <f>COUNTIF(E$7:E$37,"A")</f>
        <v>1</v>
      </c>
      <c r="H50" s="755"/>
      <c r="I50" s="5"/>
      <c r="J50" s="332"/>
      <c r="K50" s="335"/>
    </row>
    <row r="51" spans="1:11" x14ac:dyDescent="0.35">
      <c r="A51" s="4"/>
      <c r="B51" s="67" t="s">
        <v>38</v>
      </c>
      <c r="C51" s="284">
        <f t="shared" si="3"/>
        <v>1</v>
      </c>
      <c r="D51" s="284">
        <f t="shared" si="4"/>
        <v>0</v>
      </c>
      <c r="E51" s="284">
        <f t="shared" si="5"/>
        <v>1</v>
      </c>
      <c r="F51" s="330"/>
      <c r="G51" s="755">
        <f>COUNTIF(E$7:E$37,"B")</f>
        <v>1</v>
      </c>
      <c r="H51" s="755"/>
      <c r="I51" s="5"/>
      <c r="J51" s="332"/>
      <c r="K51" s="335"/>
    </row>
    <row r="52" spans="1:11" x14ac:dyDescent="0.35">
      <c r="A52" s="4"/>
      <c r="B52" s="67" t="s">
        <v>36</v>
      </c>
      <c r="C52" s="284">
        <f t="shared" si="3"/>
        <v>0</v>
      </c>
      <c r="D52" s="284">
        <f t="shared" si="4"/>
        <v>0</v>
      </c>
      <c r="E52" s="284">
        <f t="shared" si="5"/>
        <v>0</v>
      </c>
      <c r="F52" s="330"/>
      <c r="G52" s="755">
        <f>COUNTIF(E$7:E$37,"C")</f>
        <v>0</v>
      </c>
      <c r="H52" s="755"/>
      <c r="I52" s="5"/>
      <c r="J52" s="332"/>
      <c r="K52" s="335"/>
    </row>
    <row r="53" spans="1:11" x14ac:dyDescent="0.35">
      <c r="A53" s="4"/>
      <c r="B53" s="67" t="s">
        <v>39</v>
      </c>
      <c r="C53" s="284">
        <f t="shared" si="3"/>
        <v>0</v>
      </c>
      <c r="D53" s="284">
        <f t="shared" si="4"/>
        <v>0</v>
      </c>
      <c r="E53" s="284">
        <f t="shared" si="5"/>
        <v>0</v>
      </c>
      <c r="F53" s="330"/>
      <c r="G53" s="755">
        <f>COUNTIF(E$7:E$37,"D")</f>
        <v>0</v>
      </c>
      <c r="H53" s="755"/>
      <c r="I53" s="5"/>
      <c r="J53" s="332"/>
      <c r="K53" s="335"/>
    </row>
    <row r="54" spans="1:11" x14ac:dyDescent="0.35">
      <c r="A54" s="4"/>
      <c r="B54" s="67" t="s">
        <v>40</v>
      </c>
      <c r="C54" s="284">
        <f t="shared" si="3"/>
        <v>0</v>
      </c>
      <c r="D54" s="284">
        <f t="shared" si="4"/>
        <v>0</v>
      </c>
      <c r="E54" s="284">
        <f t="shared" si="5"/>
        <v>0</v>
      </c>
      <c r="F54" s="330"/>
      <c r="G54" s="755">
        <f>COUNTIF(E$7:E$37,"E")</f>
        <v>0</v>
      </c>
      <c r="H54" s="755"/>
      <c r="I54" s="5"/>
      <c r="J54" s="332"/>
      <c r="K54" s="335"/>
    </row>
    <row r="55" spans="1:11" x14ac:dyDescent="0.35">
      <c r="A55" s="4"/>
      <c r="B55" s="67" t="s">
        <v>88</v>
      </c>
      <c r="C55" s="284">
        <f t="shared" si="3"/>
        <v>0</v>
      </c>
      <c r="D55" s="284">
        <f t="shared" si="4"/>
        <v>0</v>
      </c>
      <c r="E55" s="284">
        <f t="shared" si="5"/>
        <v>0</v>
      </c>
      <c r="F55" s="330"/>
      <c r="G55" s="69"/>
      <c r="H55" s="69"/>
      <c r="I55" s="5"/>
      <c r="J55" s="332"/>
      <c r="K55" s="335"/>
    </row>
    <row r="56" spans="1:11" ht="15" thickBot="1" x14ac:dyDescent="0.4">
      <c r="A56" s="8"/>
      <c r="B56" s="9"/>
      <c r="C56" s="9"/>
      <c r="D56" s="9"/>
      <c r="E56" s="9"/>
      <c r="F56" s="331"/>
      <c r="G56" s="9"/>
      <c r="H56" s="9"/>
      <c r="I56" s="9"/>
      <c r="J56" s="331"/>
    </row>
  </sheetData>
  <sheetProtection algorithmName="SHA-512" hashValue="k5iEDRu11qkcCCk9wQluhFDS7P5OA57Qm5S17gRdc7DXVNiYaUlP/4l6i9IEwG/VlWmeSXQg+JS3QgjTm/epDA==" saltValue="7z7c5BlcL3Hd+Y9ffDKkCQ==" spinCount="100000" sheet="1" objects="1" scenarios="1"/>
  <mergeCells count="15">
    <mergeCell ref="D1:H1"/>
    <mergeCell ref="G52:H52"/>
    <mergeCell ref="G53:H53"/>
    <mergeCell ref="G54:H54"/>
    <mergeCell ref="C41:D41"/>
    <mergeCell ref="F41:I44"/>
    <mergeCell ref="C48:E48"/>
    <mergeCell ref="G48:H49"/>
    <mergeCell ref="G50:H50"/>
    <mergeCell ref="G51:H51"/>
    <mergeCell ref="B3:C3"/>
    <mergeCell ref="D3:E3"/>
    <mergeCell ref="G3:I3"/>
    <mergeCell ref="B4:C4"/>
    <mergeCell ref="D4:E4"/>
  </mergeCells>
  <phoneticPr fontId="40" type="noConversion"/>
  <conditionalFormatting sqref="E42:E46">
    <cfRule type="cellIs" dxfId="60" priority="4" operator="equal">
      <formula>"Complete"</formula>
    </cfRule>
    <cfRule type="cellIs" dxfId="59" priority="5" operator="equal">
      <formula>"Incoomplete"</formula>
    </cfRule>
  </conditionalFormatting>
  <conditionalFormatting sqref="E45">
    <cfRule type="containsText" dxfId="58" priority="1" operator="containsText" text="incomplete">
      <formula>NOT(ISERROR(SEARCH("incomplete",E45)))</formula>
    </cfRule>
  </conditionalFormatting>
  <conditionalFormatting sqref="P4">
    <cfRule type="cellIs" dxfId="57" priority="2" operator="equal">
      <formula>"No"</formula>
    </cfRule>
    <cfRule type="cellIs" dxfId="56"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22" sqref="L22"/>
    </sheetView>
  </sheetViews>
  <sheetFormatPr defaultRowHeight="14.5" x14ac:dyDescent="0.35"/>
  <cols>
    <col min="3" max="3" width="26.6328125" customWidth="1"/>
    <col min="4" max="4" width="14.36328125" customWidth="1"/>
    <col min="5" max="5" width="11" customWidth="1"/>
    <col min="6" max="6" width="13.36328125" customWidth="1"/>
    <col min="8" max="8" width="18.6328125" customWidth="1"/>
  </cols>
  <sheetData>
    <row r="1" spans="2:9" ht="15" thickBot="1" x14ac:dyDescent="0.4"/>
    <row r="2" spans="2:9" ht="18.5" thickBot="1" x14ac:dyDescent="0.4">
      <c r="B2" s="72"/>
      <c r="C2" s="770" t="s">
        <v>103</v>
      </c>
      <c r="D2" s="770"/>
      <c r="E2" s="770"/>
      <c r="F2" s="770"/>
      <c r="G2" s="770"/>
      <c r="H2" s="770"/>
      <c r="I2" s="346"/>
    </row>
    <row r="3" spans="2:9" x14ac:dyDescent="0.35">
      <c r="B3" s="4"/>
      <c r="C3" s="5"/>
      <c r="D3" s="5"/>
      <c r="E3" s="73"/>
      <c r="F3" s="5"/>
      <c r="G3" s="5"/>
      <c r="H3" s="5"/>
      <c r="I3" s="74"/>
    </row>
    <row r="4" spans="2:9" x14ac:dyDescent="0.35">
      <c r="B4" s="4"/>
      <c r="C4" s="48" t="s">
        <v>754</v>
      </c>
      <c r="D4" s="771" t="str">
        <f>+Introduction!E10</f>
        <v>Dairy Partners (Cymru Wales) Ltd</v>
      </c>
      <c r="E4" s="771"/>
      <c r="F4" s="772"/>
      <c r="G4" s="75"/>
      <c r="H4" s="773" t="s">
        <v>104</v>
      </c>
      <c r="I4" s="74"/>
    </row>
    <row r="5" spans="2:9" x14ac:dyDescent="0.35">
      <c r="B5" s="4"/>
      <c r="C5" s="76" t="s">
        <v>30</v>
      </c>
      <c r="D5" s="771" t="str">
        <f>+Introduction!K10</f>
        <v>WP3231NB</v>
      </c>
      <c r="E5" s="774"/>
      <c r="F5" s="772"/>
      <c r="G5" s="75"/>
      <c r="H5" s="773"/>
      <c r="I5" s="74"/>
    </row>
    <row r="6" spans="2:9" ht="38.25" customHeight="1" x14ac:dyDescent="0.35">
      <c r="B6" s="4"/>
      <c r="C6" s="769" t="s">
        <v>105</v>
      </c>
      <c r="D6" s="769"/>
      <c r="E6" s="769"/>
      <c r="F6" s="5"/>
      <c r="G6" s="5"/>
      <c r="H6" s="5"/>
      <c r="I6" s="74"/>
    </row>
    <row r="7" spans="2:9" ht="26" x14ac:dyDescent="0.35">
      <c r="B7" s="4"/>
      <c r="C7" s="78" t="s">
        <v>106</v>
      </c>
      <c r="D7" s="79" t="s">
        <v>107</v>
      </c>
      <c r="E7" s="80" t="s">
        <v>108</v>
      </c>
      <c r="F7" s="81" t="s">
        <v>109</v>
      </c>
      <c r="G7" s="82" t="s">
        <v>110</v>
      </c>
      <c r="H7" s="83" t="s">
        <v>111</v>
      </c>
      <c r="I7" s="84"/>
    </row>
    <row r="8" spans="2:9" ht="15" customHeight="1" x14ac:dyDescent="0.35">
      <c r="B8" s="4"/>
      <c r="C8" s="85" t="s">
        <v>112</v>
      </c>
      <c r="D8" s="86" t="s">
        <v>113</v>
      </c>
      <c r="E8" s="86">
        <v>10</v>
      </c>
      <c r="F8" s="87"/>
      <c r="G8" s="88">
        <f>IF(F8/E8&lt;1,0,(F8/E8))</f>
        <v>0</v>
      </c>
      <c r="H8" s="89"/>
      <c r="I8" s="74"/>
    </row>
    <row r="9" spans="2:9" ht="15" customHeight="1" x14ac:dyDescent="0.35">
      <c r="B9" s="4"/>
      <c r="C9" s="90" t="s">
        <v>114</v>
      </c>
      <c r="D9" s="91" t="s">
        <v>113</v>
      </c>
      <c r="E9" s="91">
        <v>10</v>
      </c>
      <c r="F9" s="87"/>
      <c r="G9" s="92">
        <f t="shared" ref="G9:G41" si="0">IF(F9/E9&lt;1,0,(F9/E9))</f>
        <v>0</v>
      </c>
      <c r="H9" s="89"/>
      <c r="I9" s="74"/>
    </row>
    <row r="10" spans="2:9" ht="15" customHeight="1" x14ac:dyDescent="0.35">
      <c r="B10" s="4"/>
      <c r="C10" s="90" t="s">
        <v>115</v>
      </c>
      <c r="D10" s="91" t="s">
        <v>113</v>
      </c>
      <c r="E10" s="91">
        <v>1000</v>
      </c>
      <c r="F10" s="87"/>
      <c r="G10" s="92">
        <f t="shared" si="0"/>
        <v>0</v>
      </c>
      <c r="H10" s="89"/>
      <c r="I10" s="74"/>
    </row>
    <row r="11" spans="2:9" ht="15" customHeight="1" x14ac:dyDescent="0.35">
      <c r="B11" s="4"/>
      <c r="C11" s="93"/>
      <c r="D11" s="94"/>
      <c r="E11" s="94"/>
      <c r="F11" s="94"/>
      <c r="G11" s="95"/>
      <c r="H11" s="96"/>
      <c r="I11" s="74"/>
    </row>
    <row r="12" spans="2:9" ht="15" customHeight="1" x14ac:dyDescent="0.35">
      <c r="B12" s="4"/>
      <c r="C12" s="93"/>
      <c r="D12" s="94"/>
      <c r="E12" s="94"/>
      <c r="F12" s="94"/>
      <c r="G12" s="95"/>
      <c r="H12" s="96"/>
      <c r="I12" s="74"/>
    </row>
    <row r="13" spans="2:9" ht="15" customHeight="1" x14ac:dyDescent="0.35">
      <c r="B13" s="4"/>
      <c r="C13" s="90" t="s">
        <v>116</v>
      </c>
      <c r="D13" s="91" t="s">
        <v>117</v>
      </c>
      <c r="E13" s="91">
        <v>1</v>
      </c>
      <c r="F13" s="87"/>
      <c r="G13" s="92">
        <f t="shared" si="0"/>
        <v>0</v>
      </c>
      <c r="H13" s="89"/>
      <c r="I13" s="74"/>
    </row>
    <row r="14" spans="2:9" ht="15" customHeight="1" x14ac:dyDescent="0.35">
      <c r="B14" s="4"/>
      <c r="C14" s="90" t="s">
        <v>118</v>
      </c>
      <c r="D14" s="91" t="s">
        <v>117</v>
      </c>
      <c r="E14" s="91">
        <v>1</v>
      </c>
      <c r="F14" s="87"/>
      <c r="G14" s="92">
        <f t="shared" si="0"/>
        <v>0</v>
      </c>
      <c r="H14" s="97"/>
      <c r="I14" s="74"/>
    </row>
    <row r="15" spans="2:9" ht="15" customHeight="1" x14ac:dyDescent="0.35">
      <c r="B15" s="4"/>
      <c r="C15" s="90" t="s">
        <v>119</v>
      </c>
      <c r="D15" s="91" t="s">
        <v>117</v>
      </c>
      <c r="E15" s="91">
        <v>1</v>
      </c>
      <c r="F15" s="87"/>
      <c r="G15" s="92">
        <f t="shared" si="0"/>
        <v>0</v>
      </c>
      <c r="H15" s="97"/>
      <c r="I15" s="74"/>
    </row>
    <row r="16" spans="2:9" ht="15" customHeight="1" x14ac:dyDescent="0.35">
      <c r="B16" s="4"/>
      <c r="C16" s="90" t="s">
        <v>120</v>
      </c>
      <c r="D16" s="91" t="s">
        <v>117</v>
      </c>
      <c r="E16" s="91">
        <v>1</v>
      </c>
      <c r="F16" s="87"/>
      <c r="G16" s="92">
        <f t="shared" si="0"/>
        <v>0</v>
      </c>
      <c r="H16" s="97"/>
      <c r="I16" s="74"/>
    </row>
    <row r="17" spans="2:9" ht="15" customHeight="1" x14ac:dyDescent="0.35">
      <c r="B17" s="4"/>
      <c r="C17" s="90"/>
      <c r="D17" s="91"/>
      <c r="E17" s="91"/>
      <c r="F17" s="91"/>
      <c r="G17" s="92"/>
      <c r="H17" s="98"/>
      <c r="I17" s="74"/>
    </row>
    <row r="18" spans="2:9" ht="15" customHeight="1" x14ac:dyDescent="0.35">
      <c r="B18" s="4"/>
      <c r="C18" s="90" t="s">
        <v>121</v>
      </c>
      <c r="D18" s="91" t="s">
        <v>117</v>
      </c>
      <c r="E18" s="91">
        <v>10</v>
      </c>
      <c r="F18" s="87"/>
      <c r="G18" s="92">
        <f t="shared" si="0"/>
        <v>0</v>
      </c>
      <c r="H18" s="97"/>
      <c r="I18" s="74"/>
    </row>
    <row r="19" spans="2:9" ht="15" customHeight="1" x14ac:dyDescent="0.35">
      <c r="B19" s="4"/>
      <c r="C19" s="90" t="s">
        <v>122</v>
      </c>
      <c r="D19" s="91" t="s">
        <v>117</v>
      </c>
      <c r="E19" s="91">
        <v>10</v>
      </c>
      <c r="F19" s="87"/>
      <c r="G19" s="92">
        <f t="shared" si="0"/>
        <v>0</v>
      </c>
      <c r="H19" s="97"/>
      <c r="I19" s="74"/>
    </row>
    <row r="20" spans="2:9" ht="15" customHeight="1" x14ac:dyDescent="0.35">
      <c r="B20" s="4"/>
      <c r="C20" s="90" t="s">
        <v>123</v>
      </c>
      <c r="D20" s="91" t="s">
        <v>117</v>
      </c>
      <c r="E20" s="91">
        <v>10</v>
      </c>
      <c r="F20" s="87"/>
      <c r="G20" s="92">
        <f t="shared" si="0"/>
        <v>0</v>
      </c>
      <c r="H20" s="97"/>
      <c r="I20" s="74"/>
    </row>
    <row r="21" spans="2:9" ht="15" customHeight="1" x14ac:dyDescent="0.35">
      <c r="B21" s="4"/>
      <c r="C21" s="90" t="s">
        <v>124</v>
      </c>
      <c r="D21" s="91" t="s">
        <v>117</v>
      </c>
      <c r="E21" s="91">
        <v>10</v>
      </c>
      <c r="F21" s="87"/>
      <c r="G21" s="92">
        <f t="shared" si="0"/>
        <v>0</v>
      </c>
      <c r="H21" s="97"/>
      <c r="I21" s="74"/>
    </row>
    <row r="22" spans="2:9" ht="15" customHeight="1" x14ac:dyDescent="0.35">
      <c r="B22" s="4"/>
      <c r="C22" s="90" t="s">
        <v>125</v>
      </c>
      <c r="D22" s="91" t="s">
        <v>117</v>
      </c>
      <c r="E22" s="91">
        <v>10</v>
      </c>
      <c r="F22" s="87"/>
      <c r="G22" s="92">
        <f t="shared" si="0"/>
        <v>0</v>
      </c>
      <c r="H22" s="97"/>
      <c r="I22" s="74"/>
    </row>
    <row r="23" spans="2:9" ht="15" customHeight="1" x14ac:dyDescent="0.35">
      <c r="B23" s="4"/>
      <c r="C23" s="90"/>
      <c r="D23" s="91"/>
      <c r="E23" s="91"/>
      <c r="F23" s="91"/>
      <c r="G23" s="92"/>
      <c r="H23" s="98"/>
      <c r="I23" s="74"/>
    </row>
    <row r="24" spans="2:9" ht="15" customHeight="1" x14ac:dyDescent="0.35">
      <c r="B24" s="4"/>
      <c r="C24" s="99" t="s">
        <v>126</v>
      </c>
      <c r="D24" s="91"/>
      <c r="E24" s="91"/>
      <c r="F24" s="100"/>
      <c r="G24" s="92"/>
      <c r="H24" s="97"/>
      <c r="I24" s="74"/>
    </row>
    <row r="25" spans="2:9" ht="15" customHeight="1" x14ac:dyDescent="0.35">
      <c r="B25" s="4"/>
      <c r="C25" s="101"/>
      <c r="D25" s="91" t="s">
        <v>117</v>
      </c>
      <c r="E25" s="91">
        <v>100</v>
      </c>
      <c r="F25" s="87"/>
      <c r="G25" s="92">
        <f t="shared" si="0"/>
        <v>0</v>
      </c>
      <c r="H25" s="97"/>
      <c r="I25" s="74"/>
    </row>
    <row r="26" spans="2:9" ht="15" customHeight="1" x14ac:dyDescent="0.35">
      <c r="B26" s="4"/>
      <c r="C26" s="101"/>
      <c r="D26" s="91" t="s">
        <v>117</v>
      </c>
      <c r="E26" s="91">
        <v>100</v>
      </c>
      <c r="F26" s="87"/>
      <c r="G26" s="92">
        <f t="shared" si="0"/>
        <v>0</v>
      </c>
      <c r="H26" s="97"/>
      <c r="I26" s="74"/>
    </row>
    <row r="27" spans="2:9" ht="15" customHeight="1" x14ac:dyDescent="0.35">
      <c r="B27" s="4"/>
      <c r="C27" s="101"/>
      <c r="D27" s="91" t="s">
        <v>117</v>
      </c>
      <c r="E27" s="91">
        <v>100</v>
      </c>
      <c r="F27" s="87"/>
      <c r="G27" s="92">
        <f t="shared" si="0"/>
        <v>0</v>
      </c>
      <c r="H27" s="97"/>
      <c r="I27" s="74"/>
    </row>
    <row r="28" spans="2:9" ht="15" customHeight="1" x14ac:dyDescent="0.35">
      <c r="B28" s="4"/>
      <c r="C28" s="101"/>
      <c r="D28" s="91" t="s">
        <v>117</v>
      </c>
      <c r="E28" s="91">
        <v>100</v>
      </c>
      <c r="F28" s="87"/>
      <c r="G28" s="92">
        <f t="shared" si="0"/>
        <v>0</v>
      </c>
      <c r="H28" s="97"/>
      <c r="I28" s="74"/>
    </row>
    <row r="29" spans="2:9" ht="15" customHeight="1" x14ac:dyDescent="0.35">
      <c r="B29" s="4"/>
      <c r="C29" s="102"/>
      <c r="D29" s="91" t="s">
        <v>117</v>
      </c>
      <c r="E29" s="91">
        <v>100</v>
      </c>
      <c r="F29" s="87"/>
      <c r="G29" s="92">
        <f t="shared" si="0"/>
        <v>0</v>
      </c>
      <c r="H29" s="97"/>
      <c r="I29" s="74"/>
    </row>
    <row r="30" spans="2:9" ht="15" customHeight="1" x14ac:dyDescent="0.35">
      <c r="B30" s="4"/>
      <c r="C30" s="90"/>
      <c r="D30" s="91"/>
      <c r="E30" s="91"/>
      <c r="F30" s="91"/>
      <c r="G30" s="92"/>
      <c r="H30" s="98"/>
      <c r="I30" s="74"/>
    </row>
    <row r="31" spans="2:9" ht="15" customHeight="1" x14ac:dyDescent="0.35">
      <c r="B31" s="4"/>
      <c r="C31" s="99" t="s">
        <v>129</v>
      </c>
      <c r="D31" s="91"/>
      <c r="E31" s="91"/>
      <c r="F31" s="87"/>
      <c r="G31" s="92"/>
      <c r="H31" s="97"/>
      <c r="I31" s="74"/>
    </row>
    <row r="32" spans="2:9" ht="15" customHeight="1" x14ac:dyDescent="0.35">
      <c r="B32" s="4"/>
      <c r="C32" s="90" t="s">
        <v>130</v>
      </c>
      <c r="D32" s="91" t="s">
        <v>131</v>
      </c>
      <c r="E32" s="91">
        <v>0.1</v>
      </c>
      <c r="F32" s="87"/>
      <c r="G32" s="92">
        <f t="shared" si="0"/>
        <v>0</v>
      </c>
      <c r="H32" s="97"/>
      <c r="I32" s="74"/>
    </row>
    <row r="33" spans="2:9" ht="15" customHeight="1" x14ac:dyDescent="0.35">
      <c r="B33" s="4"/>
      <c r="C33" s="90" t="s">
        <v>132</v>
      </c>
      <c r="D33" s="91" t="s">
        <v>133</v>
      </c>
      <c r="E33" s="91">
        <v>0.1</v>
      </c>
      <c r="F33" s="87"/>
      <c r="G33" s="92">
        <f t="shared" si="0"/>
        <v>0</v>
      </c>
      <c r="H33" s="97"/>
      <c r="I33" s="74"/>
    </row>
    <row r="34" spans="2:9" ht="15" customHeight="1" x14ac:dyDescent="0.35">
      <c r="B34" s="4"/>
      <c r="C34" s="90"/>
      <c r="D34" s="91"/>
      <c r="E34" s="91"/>
      <c r="F34" s="91"/>
      <c r="G34" s="92"/>
      <c r="H34" s="98"/>
      <c r="I34" s="74"/>
    </row>
    <row r="35" spans="2:9" ht="15" customHeight="1" x14ac:dyDescent="0.35">
      <c r="B35" s="4"/>
      <c r="C35" s="90" t="s">
        <v>134</v>
      </c>
      <c r="D35" s="91" t="s">
        <v>117</v>
      </c>
      <c r="E35" s="91">
        <v>1</v>
      </c>
      <c r="F35" s="87"/>
      <c r="G35" s="92">
        <f t="shared" si="0"/>
        <v>0</v>
      </c>
      <c r="H35" s="97"/>
      <c r="I35" s="74"/>
    </row>
    <row r="36" spans="2:9" ht="15" customHeight="1" x14ac:dyDescent="0.35">
      <c r="B36" s="4"/>
      <c r="C36" s="90" t="s">
        <v>135</v>
      </c>
      <c r="D36" s="91" t="s">
        <v>117</v>
      </c>
      <c r="E36" s="91">
        <v>1</v>
      </c>
      <c r="F36" s="87"/>
      <c r="G36" s="92">
        <f t="shared" si="0"/>
        <v>0</v>
      </c>
      <c r="H36" s="97"/>
      <c r="I36" s="74"/>
    </row>
    <row r="37" spans="2:9" ht="15" customHeight="1" x14ac:dyDescent="0.35">
      <c r="B37" s="4"/>
      <c r="C37" s="90" t="s">
        <v>136</v>
      </c>
      <c r="D37" s="91" t="s">
        <v>117</v>
      </c>
      <c r="E37" s="91">
        <v>1</v>
      </c>
      <c r="F37" s="87"/>
      <c r="G37" s="92">
        <f t="shared" si="0"/>
        <v>0</v>
      </c>
      <c r="H37" s="97"/>
      <c r="I37" s="74"/>
    </row>
    <row r="38" spans="2:9" ht="15" customHeight="1" x14ac:dyDescent="0.35">
      <c r="B38" s="4"/>
      <c r="C38" s="90" t="s">
        <v>137</v>
      </c>
      <c r="D38" s="91" t="s">
        <v>117</v>
      </c>
      <c r="E38" s="91">
        <v>1</v>
      </c>
      <c r="F38" s="87"/>
      <c r="G38" s="92">
        <f t="shared" si="0"/>
        <v>0</v>
      </c>
      <c r="H38" s="97"/>
      <c r="I38" s="74"/>
    </row>
    <row r="39" spans="2:9" ht="15" customHeight="1" x14ac:dyDescent="0.35">
      <c r="B39" s="4"/>
      <c r="C39" s="90" t="s">
        <v>138</v>
      </c>
      <c r="D39" s="91" t="s">
        <v>117</v>
      </c>
      <c r="E39" s="91">
        <v>1</v>
      </c>
      <c r="F39" s="87"/>
      <c r="G39" s="92">
        <f t="shared" si="0"/>
        <v>0</v>
      </c>
      <c r="H39" s="97"/>
      <c r="I39" s="74"/>
    </row>
    <row r="40" spans="2:9" ht="15" customHeight="1" x14ac:dyDescent="0.35">
      <c r="B40" s="4"/>
      <c r="C40" s="90"/>
      <c r="D40" s="91"/>
      <c r="E40" s="91"/>
      <c r="F40" s="91"/>
      <c r="G40" s="92"/>
      <c r="H40" s="98"/>
      <c r="I40" s="74"/>
    </row>
    <row r="41" spans="2:9" ht="15" customHeight="1" x14ac:dyDescent="0.35">
      <c r="B41" s="4"/>
      <c r="C41" s="90" t="s">
        <v>139</v>
      </c>
      <c r="D41" s="91" t="s">
        <v>117</v>
      </c>
      <c r="E41" s="91">
        <v>10</v>
      </c>
      <c r="F41" s="87"/>
      <c r="G41" s="92">
        <f t="shared" si="0"/>
        <v>0</v>
      </c>
      <c r="H41" s="97"/>
      <c r="I41" s="74"/>
    </row>
    <row r="42" spans="2:9" ht="15" customHeight="1" x14ac:dyDescent="0.35">
      <c r="B42" s="4"/>
      <c r="C42" s="90" t="s">
        <v>140</v>
      </c>
      <c r="D42" s="91" t="s">
        <v>117</v>
      </c>
      <c r="E42" s="91">
        <v>10</v>
      </c>
      <c r="F42" s="87"/>
      <c r="G42" s="92">
        <f>IF(F42/E42&lt;1,0,(F42/E42))</f>
        <v>0</v>
      </c>
      <c r="H42" s="97"/>
      <c r="I42" s="74"/>
    </row>
    <row r="43" spans="2:9" ht="15" customHeight="1" x14ac:dyDescent="0.35">
      <c r="B43" s="4"/>
      <c r="C43" s="90" t="s">
        <v>141</v>
      </c>
      <c r="D43" s="91" t="s">
        <v>117</v>
      </c>
      <c r="E43" s="91">
        <v>10</v>
      </c>
      <c r="F43" s="87"/>
      <c r="G43" s="92">
        <f>IF(F43/E43&lt;1,0,(F43/E43))</f>
        <v>0</v>
      </c>
      <c r="H43" s="97"/>
      <c r="I43" s="74"/>
    </row>
    <row r="44" spans="2:9" ht="15" customHeight="1" x14ac:dyDescent="0.35">
      <c r="B44" s="4"/>
      <c r="C44" s="90" t="s">
        <v>142</v>
      </c>
      <c r="D44" s="91" t="s">
        <v>117</v>
      </c>
      <c r="E44" s="91">
        <v>10</v>
      </c>
      <c r="F44" s="87"/>
      <c r="G44" s="92">
        <f t="shared" ref="G44:G52" si="1">IF(F44/E44&lt;1,0,(F44/E44))</f>
        <v>0</v>
      </c>
      <c r="H44" s="97"/>
      <c r="I44" s="74"/>
    </row>
    <row r="45" spans="2:9" ht="15" customHeight="1" x14ac:dyDescent="0.35">
      <c r="B45" s="4"/>
      <c r="C45" s="90" t="s">
        <v>143</v>
      </c>
      <c r="D45" s="91" t="s">
        <v>117</v>
      </c>
      <c r="E45" s="91">
        <v>10</v>
      </c>
      <c r="F45" s="87"/>
      <c r="G45" s="92">
        <f t="shared" si="1"/>
        <v>0</v>
      </c>
      <c r="H45" s="97"/>
      <c r="I45" s="74"/>
    </row>
    <row r="46" spans="2:9" ht="15" customHeight="1" x14ac:dyDescent="0.35">
      <c r="B46" s="4"/>
      <c r="C46" s="90" t="s">
        <v>144</v>
      </c>
      <c r="D46" s="91" t="s">
        <v>117</v>
      </c>
      <c r="E46" s="91">
        <v>10</v>
      </c>
      <c r="F46" s="87"/>
      <c r="G46" s="92">
        <f t="shared" si="1"/>
        <v>0</v>
      </c>
      <c r="H46" s="97"/>
      <c r="I46" s="74"/>
    </row>
    <row r="47" spans="2:9" ht="15" customHeight="1" x14ac:dyDescent="0.35">
      <c r="B47" s="4"/>
      <c r="C47" s="90" t="s">
        <v>145</v>
      </c>
      <c r="D47" s="91" t="s">
        <v>117</v>
      </c>
      <c r="E47" s="91">
        <v>10</v>
      </c>
      <c r="F47" s="87"/>
      <c r="G47" s="92">
        <f t="shared" si="1"/>
        <v>0</v>
      </c>
      <c r="H47" s="97"/>
      <c r="I47" s="74"/>
    </row>
    <row r="48" spans="2:9" ht="15" customHeight="1" x14ac:dyDescent="0.35">
      <c r="B48" s="4"/>
      <c r="C48" s="90" t="s">
        <v>146</v>
      </c>
      <c r="D48" s="91" t="s">
        <v>117</v>
      </c>
      <c r="E48" s="91">
        <v>10</v>
      </c>
      <c r="F48" s="87"/>
      <c r="G48" s="92">
        <f t="shared" si="1"/>
        <v>0</v>
      </c>
      <c r="H48" s="97"/>
      <c r="I48" s="74"/>
    </row>
    <row r="49" spans="2:9" ht="15" customHeight="1" x14ac:dyDescent="0.35">
      <c r="B49" s="4"/>
      <c r="C49" s="90" t="s">
        <v>147</v>
      </c>
      <c r="D49" s="91" t="s">
        <v>117</v>
      </c>
      <c r="E49" s="91">
        <v>10</v>
      </c>
      <c r="F49" s="87"/>
      <c r="G49" s="92">
        <f t="shared" si="1"/>
        <v>0</v>
      </c>
      <c r="H49" s="97"/>
      <c r="I49" s="74"/>
    </row>
    <row r="50" spans="2:9" ht="15" customHeight="1" x14ac:dyDescent="0.35">
      <c r="B50" s="4"/>
      <c r="C50" s="90" t="s">
        <v>148</v>
      </c>
      <c r="D50" s="91" t="s">
        <v>117</v>
      </c>
      <c r="E50" s="91">
        <v>10</v>
      </c>
      <c r="F50" s="87"/>
      <c r="G50" s="92">
        <f t="shared" si="1"/>
        <v>0</v>
      </c>
      <c r="H50" s="97"/>
      <c r="I50" s="74"/>
    </row>
    <row r="51" spans="2:9" ht="15" customHeight="1" x14ac:dyDescent="0.35">
      <c r="B51" s="4"/>
      <c r="C51" s="90" t="s">
        <v>149</v>
      </c>
      <c r="D51" s="91" t="s">
        <v>117</v>
      </c>
      <c r="E51" s="91">
        <v>10</v>
      </c>
      <c r="F51" s="87"/>
      <c r="G51" s="92">
        <f t="shared" si="1"/>
        <v>0</v>
      </c>
      <c r="H51" s="97"/>
      <c r="I51" s="74"/>
    </row>
    <row r="52" spans="2:9" ht="15" customHeight="1" x14ac:dyDescent="0.35">
      <c r="B52" s="4"/>
      <c r="C52" s="90" t="s">
        <v>150</v>
      </c>
      <c r="D52" s="91" t="s">
        <v>117</v>
      </c>
      <c r="E52" s="91">
        <v>10</v>
      </c>
      <c r="F52" s="87"/>
      <c r="G52" s="92">
        <f t="shared" si="1"/>
        <v>0</v>
      </c>
      <c r="H52" s="97"/>
      <c r="I52" s="74"/>
    </row>
    <row r="53" spans="2:9" ht="15" customHeight="1" x14ac:dyDescent="0.35">
      <c r="B53" s="4"/>
      <c r="C53" s="90"/>
      <c r="D53" s="91"/>
      <c r="E53" s="91"/>
      <c r="F53" s="91"/>
      <c r="G53" s="92"/>
      <c r="H53" s="98"/>
      <c r="I53" s="74"/>
    </row>
    <row r="54" spans="2:9" ht="15" customHeight="1" x14ac:dyDescent="0.35">
      <c r="B54" s="4"/>
      <c r="C54" s="90"/>
      <c r="D54" s="91"/>
      <c r="E54" s="91"/>
      <c r="F54" s="91"/>
      <c r="G54" s="92"/>
      <c r="H54" s="98"/>
      <c r="I54" s="74"/>
    </row>
    <row r="55" spans="2:9" ht="15" customHeight="1" x14ac:dyDescent="0.35">
      <c r="B55" s="4"/>
      <c r="C55" s="90" t="s">
        <v>151</v>
      </c>
      <c r="D55" s="91" t="s">
        <v>117</v>
      </c>
      <c r="E55" s="91">
        <v>100</v>
      </c>
      <c r="F55" s="87"/>
      <c r="G55" s="92">
        <f>IF(F55/E55&lt;1,0,(F55/E55))</f>
        <v>0</v>
      </c>
      <c r="H55" s="97"/>
      <c r="I55" s="74"/>
    </row>
    <row r="56" spans="2:9" ht="15" customHeight="1" x14ac:dyDescent="0.35">
      <c r="B56" s="4"/>
      <c r="C56" s="90" t="s">
        <v>152</v>
      </c>
      <c r="D56" s="91" t="s">
        <v>117</v>
      </c>
      <c r="E56" s="91">
        <v>100</v>
      </c>
      <c r="F56" s="87"/>
      <c r="G56" s="92">
        <f t="shared" ref="G56:G73" si="2">IF(F56/E56&lt;1,0,(F56/E56))</f>
        <v>0</v>
      </c>
      <c r="H56" s="97"/>
      <c r="I56" s="74"/>
    </row>
    <row r="57" spans="2:9" ht="15" customHeight="1" x14ac:dyDescent="0.35">
      <c r="B57" s="4"/>
      <c r="C57" s="90" t="s">
        <v>153</v>
      </c>
      <c r="D57" s="91" t="s">
        <v>117</v>
      </c>
      <c r="E57" s="91">
        <v>100</v>
      </c>
      <c r="F57" s="87"/>
      <c r="G57" s="92">
        <f t="shared" si="2"/>
        <v>0</v>
      </c>
      <c r="H57" s="97"/>
      <c r="I57" s="74"/>
    </row>
    <row r="58" spans="2:9" ht="15" customHeight="1" x14ac:dyDescent="0.35">
      <c r="B58" s="4"/>
      <c r="C58" s="90" t="s">
        <v>154</v>
      </c>
      <c r="D58" s="91" t="s">
        <v>117</v>
      </c>
      <c r="E58" s="91">
        <v>100</v>
      </c>
      <c r="F58" s="87"/>
      <c r="G58" s="92">
        <f t="shared" si="2"/>
        <v>0</v>
      </c>
      <c r="H58" s="97"/>
      <c r="I58" s="74"/>
    </row>
    <row r="59" spans="2:9" ht="15" customHeight="1" x14ac:dyDescent="0.35">
      <c r="B59" s="4"/>
      <c r="C59" s="90" t="s">
        <v>155</v>
      </c>
      <c r="D59" s="91" t="s">
        <v>117</v>
      </c>
      <c r="E59" s="91">
        <v>100</v>
      </c>
      <c r="F59" s="87"/>
      <c r="G59" s="92">
        <f t="shared" si="2"/>
        <v>0</v>
      </c>
      <c r="H59" s="97"/>
      <c r="I59" s="74"/>
    </row>
    <row r="60" spans="2:9" ht="15" customHeight="1" x14ac:dyDescent="0.35">
      <c r="B60" s="4"/>
      <c r="C60" s="90" t="s">
        <v>156</v>
      </c>
      <c r="D60" s="91" t="s">
        <v>117</v>
      </c>
      <c r="E60" s="91">
        <v>100</v>
      </c>
      <c r="F60" s="87"/>
      <c r="G60" s="92">
        <f t="shared" si="2"/>
        <v>0</v>
      </c>
      <c r="H60" s="97"/>
      <c r="I60" s="74"/>
    </row>
    <row r="61" spans="2:9" ht="15" customHeight="1" x14ac:dyDescent="0.35">
      <c r="B61" s="4"/>
      <c r="C61" s="90" t="s">
        <v>157</v>
      </c>
      <c r="D61" s="91" t="s">
        <v>117</v>
      </c>
      <c r="E61" s="91">
        <v>100</v>
      </c>
      <c r="F61" s="87"/>
      <c r="G61" s="92">
        <f t="shared" si="2"/>
        <v>0</v>
      </c>
      <c r="H61" s="97"/>
      <c r="I61" s="74"/>
    </row>
    <row r="62" spans="2:9" ht="15" customHeight="1" x14ac:dyDescent="0.35">
      <c r="B62" s="4"/>
      <c r="C62" s="90" t="s">
        <v>158</v>
      </c>
      <c r="D62" s="91" t="s">
        <v>117</v>
      </c>
      <c r="E62" s="91">
        <v>100</v>
      </c>
      <c r="F62" s="87"/>
      <c r="G62" s="92">
        <f t="shared" si="2"/>
        <v>0</v>
      </c>
      <c r="H62" s="97"/>
      <c r="I62" s="74"/>
    </row>
    <row r="63" spans="2:9" ht="15" customHeight="1" x14ac:dyDescent="0.35">
      <c r="B63" s="4"/>
      <c r="C63" s="90" t="s">
        <v>159</v>
      </c>
      <c r="D63" s="91" t="s">
        <v>117</v>
      </c>
      <c r="E63" s="91">
        <v>100</v>
      </c>
      <c r="F63" s="87"/>
      <c r="G63" s="92">
        <f t="shared" si="2"/>
        <v>0</v>
      </c>
      <c r="H63" s="97"/>
      <c r="I63" s="74"/>
    </row>
    <row r="64" spans="2:9" ht="15" customHeight="1" x14ac:dyDescent="0.35">
      <c r="B64" s="4"/>
      <c r="C64" s="90" t="s">
        <v>160</v>
      </c>
      <c r="D64" s="91" t="s">
        <v>117</v>
      </c>
      <c r="E64" s="91">
        <v>100</v>
      </c>
      <c r="F64" s="87"/>
      <c r="G64" s="92">
        <f t="shared" si="2"/>
        <v>0</v>
      </c>
      <c r="H64" s="97"/>
      <c r="I64" s="74"/>
    </row>
    <row r="65" spans="2:9" ht="15" customHeight="1" x14ac:dyDescent="0.35">
      <c r="B65" s="4"/>
      <c r="C65" s="90" t="s">
        <v>161</v>
      </c>
      <c r="D65" s="91" t="s">
        <v>117</v>
      </c>
      <c r="E65" s="91">
        <v>100</v>
      </c>
      <c r="F65" s="87"/>
      <c r="G65" s="92">
        <f t="shared" si="2"/>
        <v>0</v>
      </c>
      <c r="H65" s="97"/>
      <c r="I65" s="74"/>
    </row>
    <row r="66" spans="2:9" ht="15" customHeight="1" x14ac:dyDescent="0.35">
      <c r="B66" s="4"/>
      <c r="C66" s="90" t="s">
        <v>162</v>
      </c>
      <c r="D66" s="91" t="s">
        <v>117</v>
      </c>
      <c r="E66" s="91">
        <v>100</v>
      </c>
      <c r="F66" s="87"/>
      <c r="G66" s="92">
        <f t="shared" si="2"/>
        <v>0</v>
      </c>
      <c r="H66" s="97"/>
      <c r="I66" s="74"/>
    </row>
    <row r="67" spans="2:9" ht="15" customHeight="1" x14ac:dyDescent="0.35">
      <c r="B67" s="4"/>
      <c r="C67" s="90" t="s">
        <v>163</v>
      </c>
      <c r="D67" s="91" t="s">
        <v>117</v>
      </c>
      <c r="E67" s="91">
        <v>100</v>
      </c>
      <c r="F67" s="87"/>
      <c r="G67" s="92">
        <f t="shared" si="2"/>
        <v>0</v>
      </c>
      <c r="H67" s="97"/>
      <c r="I67" s="74"/>
    </row>
    <row r="68" spans="2:9" ht="15" customHeight="1" x14ac:dyDescent="0.35">
      <c r="B68" s="4"/>
      <c r="C68" s="90" t="s">
        <v>164</v>
      </c>
      <c r="D68" s="91" t="s">
        <v>117</v>
      </c>
      <c r="E68" s="91">
        <v>100</v>
      </c>
      <c r="F68" s="87"/>
      <c r="G68" s="92">
        <f t="shared" si="2"/>
        <v>0</v>
      </c>
      <c r="H68" s="97"/>
      <c r="I68" s="74"/>
    </row>
    <row r="69" spans="2:9" ht="15" customHeight="1" x14ac:dyDescent="0.35">
      <c r="B69" s="4"/>
      <c r="C69" s="90" t="s">
        <v>165</v>
      </c>
      <c r="D69" s="91" t="s">
        <v>117</v>
      </c>
      <c r="E69" s="91">
        <v>100</v>
      </c>
      <c r="F69" s="87"/>
      <c r="G69" s="92">
        <f t="shared" si="2"/>
        <v>0</v>
      </c>
      <c r="H69" s="97"/>
      <c r="I69" s="74"/>
    </row>
    <row r="70" spans="2:9" ht="15" customHeight="1" x14ac:dyDescent="0.35">
      <c r="B70" s="4"/>
      <c r="C70" s="90" t="s">
        <v>166</v>
      </c>
      <c r="D70" s="91" t="s">
        <v>117</v>
      </c>
      <c r="E70" s="91">
        <v>100</v>
      </c>
      <c r="F70" s="87"/>
      <c r="G70" s="92">
        <f t="shared" si="2"/>
        <v>0</v>
      </c>
      <c r="H70" s="97"/>
      <c r="I70" s="74"/>
    </row>
    <row r="71" spans="2:9" ht="15" customHeight="1" x14ac:dyDescent="0.35">
      <c r="B71" s="4"/>
      <c r="C71" s="90" t="s">
        <v>167</v>
      </c>
      <c r="D71" s="91" t="s">
        <v>117</v>
      </c>
      <c r="E71" s="91">
        <v>100</v>
      </c>
      <c r="F71" s="87"/>
      <c r="G71" s="92">
        <f t="shared" si="2"/>
        <v>0</v>
      </c>
      <c r="H71" s="97"/>
      <c r="I71" s="74"/>
    </row>
    <row r="72" spans="2:9" ht="15" customHeight="1" x14ac:dyDescent="0.35">
      <c r="B72" s="4"/>
      <c r="C72" s="90" t="s">
        <v>168</v>
      </c>
      <c r="D72" s="91" t="s">
        <v>117</v>
      </c>
      <c r="E72" s="91">
        <v>100</v>
      </c>
      <c r="F72" s="87"/>
      <c r="G72" s="92">
        <f t="shared" si="2"/>
        <v>0</v>
      </c>
      <c r="H72" s="97"/>
      <c r="I72" s="74"/>
    </row>
    <row r="73" spans="2:9" ht="15" customHeight="1" x14ac:dyDescent="0.35">
      <c r="B73" s="4"/>
      <c r="C73" s="90" t="s">
        <v>169</v>
      </c>
      <c r="D73" s="91" t="s">
        <v>117</v>
      </c>
      <c r="E73" s="91">
        <v>100</v>
      </c>
      <c r="F73" s="87"/>
      <c r="G73" s="92">
        <f t="shared" si="2"/>
        <v>0</v>
      </c>
      <c r="H73" s="97"/>
      <c r="I73" s="74"/>
    </row>
    <row r="74" spans="2:9" ht="15" customHeight="1" x14ac:dyDescent="0.35">
      <c r="B74" s="4"/>
      <c r="C74" s="90"/>
      <c r="D74" s="91" t="s">
        <v>117</v>
      </c>
      <c r="E74" s="91"/>
      <c r="F74" s="91"/>
      <c r="G74" s="92"/>
      <c r="H74" s="98"/>
      <c r="I74" s="74"/>
    </row>
    <row r="75" spans="2:9" ht="15" customHeight="1" x14ac:dyDescent="0.35">
      <c r="B75" s="4"/>
      <c r="C75" s="90" t="s">
        <v>170</v>
      </c>
      <c r="D75" s="91" t="s">
        <v>117</v>
      </c>
      <c r="E75" s="91">
        <v>500</v>
      </c>
      <c r="F75" s="87"/>
      <c r="G75" s="92">
        <f t="shared" ref="G75:G92" si="3">IF(F75/E75&lt;1,0,(F75/E75))</f>
        <v>0</v>
      </c>
      <c r="H75" s="97"/>
      <c r="I75" s="74"/>
    </row>
    <row r="76" spans="2:9" ht="15" customHeight="1" x14ac:dyDescent="0.35">
      <c r="B76" s="4"/>
      <c r="C76" s="90" t="s">
        <v>171</v>
      </c>
      <c r="D76" s="91" t="s">
        <v>117</v>
      </c>
      <c r="E76" s="91">
        <v>500</v>
      </c>
      <c r="F76" s="87"/>
      <c r="G76" s="92">
        <f t="shared" si="3"/>
        <v>0</v>
      </c>
      <c r="H76" s="97"/>
      <c r="I76" s="74"/>
    </row>
    <row r="77" spans="2:9" ht="15" customHeight="1" x14ac:dyDescent="0.35">
      <c r="B77" s="4"/>
      <c r="C77" s="90" t="s">
        <v>172</v>
      </c>
      <c r="D77" s="91" t="s">
        <v>117</v>
      </c>
      <c r="E77" s="91">
        <v>500</v>
      </c>
      <c r="F77" s="87"/>
      <c r="G77" s="92">
        <f t="shared" si="3"/>
        <v>0</v>
      </c>
      <c r="H77" s="97"/>
      <c r="I77" s="74"/>
    </row>
    <row r="78" spans="2:9" ht="15" customHeight="1" x14ac:dyDescent="0.35">
      <c r="B78" s="4"/>
      <c r="C78" s="90" t="s">
        <v>173</v>
      </c>
      <c r="D78" s="91" t="s">
        <v>117</v>
      </c>
      <c r="E78" s="91">
        <v>500</v>
      </c>
      <c r="F78" s="87"/>
      <c r="G78" s="92">
        <f t="shared" si="3"/>
        <v>0</v>
      </c>
      <c r="H78" s="97"/>
      <c r="I78" s="74"/>
    </row>
    <row r="79" spans="2:9" ht="15" customHeight="1" x14ac:dyDescent="0.35">
      <c r="B79" s="4"/>
      <c r="C79" s="90" t="s">
        <v>174</v>
      </c>
      <c r="D79" s="91" t="s">
        <v>117</v>
      </c>
      <c r="E79" s="91">
        <v>500</v>
      </c>
      <c r="F79" s="87"/>
      <c r="G79" s="92">
        <f t="shared" si="3"/>
        <v>0</v>
      </c>
      <c r="H79" s="97"/>
      <c r="I79" s="74"/>
    </row>
    <row r="80" spans="2:9" ht="15" customHeight="1" x14ac:dyDescent="0.35">
      <c r="B80" s="4"/>
      <c r="C80" s="90" t="s">
        <v>175</v>
      </c>
      <c r="D80" s="91" t="s">
        <v>117</v>
      </c>
      <c r="E80" s="91">
        <v>500</v>
      </c>
      <c r="F80" s="87"/>
      <c r="G80" s="92">
        <f t="shared" si="3"/>
        <v>0</v>
      </c>
      <c r="H80" s="97"/>
      <c r="I80" s="74"/>
    </row>
    <row r="81" spans="2:9" ht="15" customHeight="1" x14ac:dyDescent="0.35">
      <c r="B81" s="4"/>
      <c r="C81" s="90" t="s">
        <v>176</v>
      </c>
      <c r="D81" s="91" t="s">
        <v>117</v>
      </c>
      <c r="E81" s="91">
        <v>500</v>
      </c>
      <c r="F81" s="87"/>
      <c r="G81" s="92">
        <f t="shared" si="3"/>
        <v>0</v>
      </c>
      <c r="H81" s="97"/>
      <c r="I81" s="74"/>
    </row>
    <row r="82" spans="2:9" ht="15" customHeight="1" x14ac:dyDescent="0.35">
      <c r="B82" s="4"/>
      <c r="C82" s="90" t="s">
        <v>177</v>
      </c>
      <c r="D82" s="91" t="s">
        <v>117</v>
      </c>
      <c r="E82" s="91">
        <v>500</v>
      </c>
      <c r="F82" s="87"/>
      <c r="G82" s="92">
        <f t="shared" si="3"/>
        <v>0</v>
      </c>
      <c r="H82" s="97"/>
      <c r="I82" s="74"/>
    </row>
    <row r="83" spans="2:9" ht="15" customHeight="1" x14ac:dyDescent="0.35">
      <c r="B83" s="4"/>
      <c r="C83" s="90" t="s">
        <v>178</v>
      </c>
      <c r="D83" s="91" t="s">
        <v>117</v>
      </c>
      <c r="E83" s="91">
        <v>500</v>
      </c>
      <c r="F83" s="87"/>
      <c r="G83" s="92">
        <f t="shared" si="3"/>
        <v>0</v>
      </c>
      <c r="H83" s="97"/>
      <c r="I83" s="74"/>
    </row>
    <row r="84" spans="2:9" ht="15" customHeight="1" x14ac:dyDescent="0.35">
      <c r="B84" s="4"/>
      <c r="C84" s="90" t="s">
        <v>179</v>
      </c>
      <c r="D84" s="91" t="s">
        <v>117</v>
      </c>
      <c r="E84" s="91">
        <v>500</v>
      </c>
      <c r="F84" s="87"/>
      <c r="G84" s="92">
        <f t="shared" si="3"/>
        <v>0</v>
      </c>
      <c r="H84" s="97"/>
      <c r="I84" s="74"/>
    </row>
    <row r="85" spans="2:9" ht="15" customHeight="1" x14ac:dyDescent="0.35">
      <c r="B85" s="4"/>
      <c r="C85" s="90" t="s">
        <v>180</v>
      </c>
      <c r="D85" s="91" t="s">
        <v>117</v>
      </c>
      <c r="E85" s="91">
        <v>500</v>
      </c>
      <c r="F85" s="87"/>
      <c r="G85" s="92">
        <f t="shared" si="3"/>
        <v>0</v>
      </c>
      <c r="H85" s="97"/>
      <c r="I85" s="74"/>
    </row>
    <row r="86" spans="2:9" ht="15" customHeight="1" x14ac:dyDescent="0.35">
      <c r="B86" s="4"/>
      <c r="C86" s="90" t="s">
        <v>181</v>
      </c>
      <c r="D86" s="91" t="s">
        <v>117</v>
      </c>
      <c r="E86" s="91">
        <v>500</v>
      </c>
      <c r="F86" s="87"/>
      <c r="G86" s="92">
        <f t="shared" si="3"/>
        <v>0</v>
      </c>
      <c r="H86" s="97"/>
      <c r="I86" s="74"/>
    </row>
    <row r="87" spans="2:9" ht="15" customHeight="1" x14ac:dyDescent="0.35">
      <c r="B87" s="4"/>
      <c r="C87" s="90" t="s">
        <v>182</v>
      </c>
      <c r="D87" s="91" t="s">
        <v>117</v>
      </c>
      <c r="E87" s="91">
        <v>500</v>
      </c>
      <c r="F87" s="87"/>
      <c r="G87" s="92">
        <f t="shared" si="3"/>
        <v>0</v>
      </c>
      <c r="H87" s="97"/>
      <c r="I87" s="74"/>
    </row>
    <row r="88" spans="2:9" ht="15" customHeight="1" x14ac:dyDescent="0.35">
      <c r="B88" s="4"/>
      <c r="C88" s="90" t="s">
        <v>183</v>
      </c>
      <c r="D88" s="91" t="s">
        <v>117</v>
      </c>
      <c r="E88" s="91">
        <v>500</v>
      </c>
      <c r="F88" s="87"/>
      <c r="G88" s="92">
        <f t="shared" si="3"/>
        <v>0</v>
      </c>
      <c r="H88" s="97"/>
      <c r="I88" s="74"/>
    </row>
    <row r="89" spans="2:9" ht="15" customHeight="1" x14ac:dyDescent="0.35">
      <c r="B89" s="4"/>
      <c r="C89" s="90" t="s">
        <v>184</v>
      </c>
      <c r="D89" s="91" t="s">
        <v>117</v>
      </c>
      <c r="E89" s="91">
        <v>500</v>
      </c>
      <c r="F89" s="87"/>
      <c r="G89" s="92">
        <f t="shared" si="3"/>
        <v>0</v>
      </c>
      <c r="H89" s="97"/>
      <c r="I89" s="74"/>
    </row>
    <row r="90" spans="2:9" ht="15" customHeight="1" x14ac:dyDescent="0.35">
      <c r="B90" s="4"/>
      <c r="C90" s="90" t="s">
        <v>185</v>
      </c>
      <c r="D90" s="91" t="s">
        <v>117</v>
      </c>
      <c r="E90" s="91">
        <v>500</v>
      </c>
      <c r="F90" s="87"/>
      <c r="G90" s="92">
        <f t="shared" si="3"/>
        <v>0</v>
      </c>
      <c r="H90" s="97"/>
      <c r="I90" s="74"/>
    </row>
    <row r="91" spans="2:9" ht="15" customHeight="1" x14ac:dyDescent="0.35">
      <c r="B91" s="4"/>
      <c r="C91" s="90" t="s">
        <v>186</v>
      </c>
      <c r="D91" s="91" t="s">
        <v>117</v>
      </c>
      <c r="E91" s="91">
        <v>500</v>
      </c>
      <c r="F91" s="87"/>
      <c r="G91" s="92">
        <f t="shared" si="3"/>
        <v>0</v>
      </c>
      <c r="H91" s="97"/>
      <c r="I91" s="74"/>
    </row>
    <row r="92" spans="2:9" ht="15" customHeight="1" x14ac:dyDescent="0.35">
      <c r="B92" s="4"/>
      <c r="C92" s="90" t="s">
        <v>187</v>
      </c>
      <c r="D92" s="91" t="s">
        <v>117</v>
      </c>
      <c r="E92" s="91">
        <v>500</v>
      </c>
      <c r="F92" s="87"/>
      <c r="G92" s="92">
        <f t="shared" si="3"/>
        <v>0</v>
      </c>
      <c r="H92" s="97"/>
      <c r="I92" s="74"/>
    </row>
    <row r="93" spans="2:9" ht="15" customHeight="1" x14ac:dyDescent="0.35">
      <c r="B93" s="4"/>
      <c r="C93" s="90" t="s">
        <v>188</v>
      </c>
      <c r="D93" s="91" t="s">
        <v>117</v>
      </c>
      <c r="E93" s="91">
        <v>500</v>
      </c>
      <c r="F93" s="87"/>
      <c r="G93" s="92">
        <f>IF(F93/E93&lt;1,0,(F93/E93))</f>
        <v>0</v>
      </c>
      <c r="H93" s="97"/>
      <c r="I93" s="74"/>
    </row>
    <row r="94" spans="2:9" ht="15" customHeight="1" x14ac:dyDescent="0.35">
      <c r="B94" s="4"/>
      <c r="C94" s="90" t="s">
        <v>189</v>
      </c>
      <c r="D94" s="91" t="s">
        <v>117</v>
      </c>
      <c r="E94" s="91">
        <v>500</v>
      </c>
      <c r="F94" s="87"/>
      <c r="G94" s="92">
        <f>IF(F94/E94&lt;1,0,(F94/E94))</f>
        <v>0</v>
      </c>
      <c r="H94" s="97"/>
      <c r="I94" s="74"/>
    </row>
    <row r="95" spans="2:9" ht="15" customHeight="1" x14ac:dyDescent="0.35">
      <c r="B95" s="4"/>
      <c r="C95" s="90" t="s">
        <v>190</v>
      </c>
      <c r="D95" s="91" t="s">
        <v>117</v>
      </c>
      <c r="E95" s="91">
        <v>500</v>
      </c>
      <c r="F95" s="87"/>
      <c r="G95" s="92">
        <f>IF(F95/E95&lt;1,0,(F95/E95))</f>
        <v>0</v>
      </c>
      <c r="H95" s="97"/>
      <c r="I95" s="74"/>
    </row>
    <row r="96" spans="2:9" ht="15" customHeight="1" x14ac:dyDescent="0.35">
      <c r="B96" s="4"/>
      <c r="C96" s="90"/>
      <c r="D96" s="91"/>
      <c r="E96" s="91"/>
      <c r="F96" s="91"/>
      <c r="G96" s="92"/>
      <c r="H96" s="98"/>
      <c r="I96" s="74"/>
    </row>
    <row r="97" spans="2:9" ht="15" customHeight="1" x14ac:dyDescent="0.35">
      <c r="B97" s="4"/>
      <c r="C97" s="90"/>
      <c r="D97" s="91"/>
      <c r="E97" s="91"/>
      <c r="F97" s="91"/>
      <c r="G97" s="92"/>
      <c r="H97" s="98"/>
      <c r="I97" s="74"/>
    </row>
    <row r="98" spans="2:9" ht="15" customHeight="1" x14ac:dyDescent="0.35">
      <c r="B98" s="4"/>
      <c r="C98" s="99" t="s">
        <v>191</v>
      </c>
      <c r="D98" s="91"/>
      <c r="E98" s="91"/>
      <c r="F98" s="91"/>
      <c r="G98" s="92"/>
      <c r="H98" s="98"/>
      <c r="I98" s="74"/>
    </row>
    <row r="99" spans="2:9" ht="15" customHeight="1" x14ac:dyDescent="0.35">
      <c r="B99" s="4"/>
      <c r="C99" s="101"/>
      <c r="D99" s="91" t="s">
        <v>117</v>
      </c>
      <c r="E99" s="91">
        <v>1000</v>
      </c>
      <c r="F99" s="87"/>
      <c r="G99" s="92">
        <f t="shared" ref="G99:G114" si="4">IF(F99/E99&lt;1,0,(F99/E99))</f>
        <v>0</v>
      </c>
      <c r="H99" s="97"/>
      <c r="I99" s="74"/>
    </row>
    <row r="100" spans="2:9" ht="15" customHeight="1" x14ac:dyDescent="0.35">
      <c r="B100" s="4"/>
      <c r="C100" s="101"/>
      <c r="D100" s="91" t="s">
        <v>117</v>
      </c>
      <c r="E100" s="91">
        <v>1000</v>
      </c>
      <c r="F100" s="87"/>
      <c r="G100" s="92">
        <f t="shared" si="4"/>
        <v>0</v>
      </c>
      <c r="H100" s="97"/>
      <c r="I100" s="74"/>
    </row>
    <row r="101" spans="2:9" ht="15" customHeight="1" x14ac:dyDescent="0.35">
      <c r="B101" s="4"/>
      <c r="C101" s="102"/>
      <c r="D101" s="91" t="s">
        <v>117</v>
      </c>
      <c r="E101" s="91">
        <v>1000</v>
      </c>
      <c r="F101" s="87"/>
      <c r="G101" s="92">
        <f t="shared" si="4"/>
        <v>0</v>
      </c>
      <c r="H101" s="97"/>
      <c r="I101" s="74"/>
    </row>
    <row r="102" spans="2:9" ht="15" customHeight="1" x14ac:dyDescent="0.35">
      <c r="B102" s="4"/>
      <c r="C102" s="102"/>
      <c r="D102" s="91" t="s">
        <v>117</v>
      </c>
      <c r="E102" s="91">
        <v>1000</v>
      </c>
      <c r="F102" s="87"/>
      <c r="G102" s="92">
        <f t="shared" si="4"/>
        <v>0</v>
      </c>
      <c r="H102" s="97"/>
      <c r="I102" s="74"/>
    </row>
    <row r="103" spans="2:9" ht="15" customHeight="1" x14ac:dyDescent="0.35">
      <c r="B103" s="4"/>
      <c r="C103" s="102"/>
      <c r="D103" s="91" t="s">
        <v>117</v>
      </c>
      <c r="E103" s="91">
        <v>1000</v>
      </c>
      <c r="F103" s="87"/>
      <c r="G103" s="92">
        <f t="shared" si="4"/>
        <v>0</v>
      </c>
      <c r="H103" s="97"/>
      <c r="I103" s="74"/>
    </row>
    <row r="104" spans="2:9" ht="15" customHeight="1" x14ac:dyDescent="0.35">
      <c r="B104" s="4"/>
      <c r="C104" s="99" t="s">
        <v>192</v>
      </c>
      <c r="D104" s="91"/>
      <c r="E104" s="91"/>
      <c r="F104" s="91"/>
      <c r="G104" s="92"/>
      <c r="H104" s="98"/>
      <c r="I104" s="74"/>
    </row>
    <row r="105" spans="2:9" ht="15" customHeight="1" x14ac:dyDescent="0.35">
      <c r="B105" s="4"/>
      <c r="C105" s="90" t="s">
        <v>193</v>
      </c>
      <c r="D105" s="91" t="s">
        <v>117</v>
      </c>
      <c r="E105" s="91">
        <v>10</v>
      </c>
      <c r="F105" s="87"/>
      <c r="G105" s="92">
        <f t="shared" si="4"/>
        <v>0</v>
      </c>
      <c r="H105" s="97"/>
      <c r="I105" s="74"/>
    </row>
    <row r="106" spans="2:9" ht="15" customHeight="1" x14ac:dyDescent="0.35">
      <c r="B106" s="4"/>
      <c r="C106" s="90" t="s">
        <v>194</v>
      </c>
      <c r="D106" s="91" t="s">
        <v>117</v>
      </c>
      <c r="E106" s="91">
        <v>10</v>
      </c>
      <c r="F106" s="87"/>
      <c r="G106" s="92">
        <f t="shared" si="4"/>
        <v>0</v>
      </c>
      <c r="H106" s="97"/>
      <c r="I106" s="74"/>
    </row>
    <row r="107" spans="2:9" ht="15" customHeight="1" x14ac:dyDescent="0.35">
      <c r="B107" s="4"/>
      <c r="C107" s="90" t="s">
        <v>195</v>
      </c>
      <c r="D107" s="91" t="s">
        <v>117</v>
      </c>
      <c r="E107" s="91">
        <v>10</v>
      </c>
      <c r="F107" s="87"/>
      <c r="G107" s="92">
        <f t="shared" si="4"/>
        <v>0</v>
      </c>
      <c r="H107" s="97"/>
      <c r="I107" s="74"/>
    </row>
    <row r="108" spans="2:9" ht="15" customHeight="1" x14ac:dyDescent="0.35">
      <c r="B108" s="4"/>
      <c r="C108" s="90" t="s">
        <v>196</v>
      </c>
      <c r="D108" s="91" t="s">
        <v>117</v>
      </c>
      <c r="E108" s="91">
        <v>10</v>
      </c>
      <c r="F108" s="87"/>
      <c r="G108" s="92">
        <f t="shared" si="4"/>
        <v>0</v>
      </c>
      <c r="H108" s="97"/>
      <c r="I108" s="74"/>
    </row>
    <row r="109" spans="2:9" ht="15" customHeight="1" x14ac:dyDescent="0.35">
      <c r="B109" s="4"/>
      <c r="C109" s="90" t="s">
        <v>197</v>
      </c>
      <c r="D109" s="91" t="s">
        <v>117</v>
      </c>
      <c r="E109" s="91">
        <v>10</v>
      </c>
      <c r="F109" s="87"/>
      <c r="G109" s="92">
        <f t="shared" si="4"/>
        <v>0</v>
      </c>
      <c r="H109" s="97"/>
      <c r="I109" s="74"/>
    </row>
    <row r="110" spans="2:9" ht="15" customHeight="1" x14ac:dyDescent="0.35">
      <c r="B110" s="4"/>
      <c r="C110" s="90" t="s">
        <v>198</v>
      </c>
      <c r="D110" s="91" t="s">
        <v>117</v>
      </c>
      <c r="E110" s="91">
        <v>10</v>
      </c>
      <c r="F110" s="87"/>
      <c r="G110" s="92">
        <f t="shared" si="4"/>
        <v>0</v>
      </c>
      <c r="H110" s="97"/>
      <c r="I110" s="74"/>
    </row>
    <row r="111" spans="2:9" ht="15" customHeight="1" x14ac:dyDescent="0.35">
      <c r="B111" s="4"/>
      <c r="C111" s="90" t="s">
        <v>199</v>
      </c>
      <c r="D111" s="91" t="s">
        <v>117</v>
      </c>
      <c r="E111" s="91">
        <v>10</v>
      </c>
      <c r="F111" s="87"/>
      <c r="G111" s="92">
        <f t="shared" si="4"/>
        <v>0</v>
      </c>
      <c r="H111" s="97"/>
      <c r="I111" s="74"/>
    </row>
    <row r="112" spans="2:9" ht="15" customHeight="1" x14ac:dyDescent="0.35">
      <c r="B112" s="4"/>
      <c r="C112" s="90" t="s">
        <v>200</v>
      </c>
      <c r="D112" s="91" t="s">
        <v>117</v>
      </c>
      <c r="E112" s="91">
        <v>1000</v>
      </c>
      <c r="F112" s="87"/>
      <c r="G112" s="92">
        <f t="shared" si="4"/>
        <v>0</v>
      </c>
      <c r="H112" s="97"/>
      <c r="I112" s="74"/>
    </row>
    <row r="113" spans="2:9" ht="15" customHeight="1" x14ac:dyDescent="0.35">
      <c r="B113" s="4"/>
      <c r="C113" s="90" t="s">
        <v>201</v>
      </c>
      <c r="D113" s="91" t="s">
        <v>117</v>
      </c>
      <c r="E113" s="91">
        <v>10</v>
      </c>
      <c r="F113" s="87"/>
      <c r="G113" s="92">
        <f t="shared" si="4"/>
        <v>0</v>
      </c>
      <c r="H113" s="97"/>
      <c r="I113" s="74"/>
    </row>
    <row r="114" spans="2:9" ht="15" customHeight="1" x14ac:dyDescent="0.35">
      <c r="B114" s="4"/>
      <c r="C114" s="90" t="s">
        <v>202</v>
      </c>
      <c r="D114" s="91" t="s">
        <v>117</v>
      </c>
      <c r="E114" s="91">
        <v>100</v>
      </c>
      <c r="F114" s="87"/>
      <c r="G114" s="92">
        <f t="shared" si="4"/>
        <v>0</v>
      </c>
      <c r="H114" s="97"/>
      <c r="I114" s="74"/>
    </row>
    <row r="115" spans="2:9" ht="15" customHeight="1" x14ac:dyDescent="0.35">
      <c r="B115" s="4"/>
      <c r="C115" s="90" t="s">
        <v>203</v>
      </c>
      <c r="D115" s="91" t="s">
        <v>117</v>
      </c>
      <c r="E115" s="91">
        <v>100</v>
      </c>
      <c r="F115" s="87"/>
      <c r="G115" s="92">
        <f>IF(F115/E115&lt;1,0,(F115/E115))</f>
        <v>0</v>
      </c>
      <c r="H115" s="97"/>
      <c r="I115" s="74"/>
    </row>
    <row r="116" spans="2:9" ht="15" customHeight="1" x14ac:dyDescent="0.35">
      <c r="B116" s="4"/>
      <c r="C116" s="90" t="s">
        <v>204</v>
      </c>
      <c r="D116" s="91" t="s">
        <v>117</v>
      </c>
      <c r="E116" s="91">
        <v>100</v>
      </c>
      <c r="F116" s="87"/>
      <c r="G116" s="92">
        <f>IF(F116/E116&lt;1,0,(F116/E116))</f>
        <v>0</v>
      </c>
      <c r="H116" s="97"/>
      <c r="I116" s="74"/>
    </row>
    <row r="117" spans="2:9" ht="15" customHeight="1" x14ac:dyDescent="0.35">
      <c r="B117" s="4"/>
      <c r="C117" s="90"/>
      <c r="D117" s="91"/>
      <c r="E117" s="91"/>
      <c r="F117" s="91"/>
      <c r="G117" s="92"/>
      <c r="H117" s="98"/>
      <c r="I117" s="74"/>
    </row>
    <row r="118" spans="2:9" ht="15" customHeight="1" x14ac:dyDescent="0.35">
      <c r="B118" s="4"/>
      <c r="C118" s="99" t="s">
        <v>205</v>
      </c>
      <c r="D118" s="91"/>
      <c r="E118" s="91"/>
      <c r="F118" s="91"/>
      <c r="G118" s="92"/>
      <c r="H118" s="98"/>
      <c r="I118" s="74"/>
    </row>
    <row r="119" spans="2:9" ht="15" customHeight="1" x14ac:dyDescent="0.35">
      <c r="B119" s="4"/>
      <c r="C119" s="102" t="s">
        <v>206</v>
      </c>
      <c r="D119" s="91" t="s">
        <v>117</v>
      </c>
      <c r="E119" s="91">
        <v>0.1</v>
      </c>
      <c r="F119" s="100"/>
      <c r="G119" s="92">
        <f>IF(E119&gt;0,IF(F119/E119&lt;1,0,(F119/E119)),)</f>
        <v>0</v>
      </c>
      <c r="H119" s="97"/>
      <c r="I119" s="74"/>
    </row>
    <row r="120" spans="2:9" ht="15" customHeight="1" x14ac:dyDescent="0.35">
      <c r="B120" s="4"/>
      <c r="C120" s="102" t="s">
        <v>207</v>
      </c>
      <c r="D120" s="91" t="s">
        <v>117</v>
      </c>
      <c r="E120" s="91">
        <v>1</v>
      </c>
      <c r="F120" s="100"/>
      <c r="G120" s="92">
        <f>IF(E120&gt;0,IF(F120/E120&lt;1,0,(F120/E120)),)</f>
        <v>0</v>
      </c>
      <c r="H120" s="97"/>
      <c r="I120" s="74"/>
    </row>
    <row r="121" spans="2:9" ht="15" customHeight="1" x14ac:dyDescent="0.35">
      <c r="B121" s="4"/>
      <c r="C121" s="102" t="s">
        <v>208</v>
      </c>
      <c r="D121" s="91" t="s">
        <v>117</v>
      </c>
      <c r="E121" s="91">
        <v>10</v>
      </c>
      <c r="F121" s="100"/>
      <c r="G121" s="92">
        <f>IF(E121&gt;0,IF(F121/E121&lt;1,0,(F121/E121)),)</f>
        <v>0</v>
      </c>
      <c r="H121" s="97"/>
      <c r="I121" s="74"/>
    </row>
    <row r="122" spans="2:9" ht="15" customHeight="1" x14ac:dyDescent="0.35">
      <c r="B122" s="4"/>
      <c r="C122" s="102" t="s">
        <v>209</v>
      </c>
      <c r="D122" s="91" t="s">
        <v>117</v>
      </c>
      <c r="E122" s="91">
        <v>100</v>
      </c>
      <c r="F122" s="100"/>
      <c r="G122" s="92">
        <f>IF(E122&gt;0,IF(F122/E122&lt;1,0,(F122/E122)),)</f>
        <v>0</v>
      </c>
      <c r="H122" s="97"/>
      <c r="I122" s="74"/>
    </row>
    <row r="123" spans="2:9" ht="15" customHeight="1" x14ac:dyDescent="0.35">
      <c r="B123" s="4"/>
      <c r="C123" s="102" t="s">
        <v>210</v>
      </c>
      <c r="D123" s="91" t="s">
        <v>117</v>
      </c>
      <c r="E123" s="91">
        <v>1000</v>
      </c>
      <c r="F123" s="100"/>
      <c r="G123" s="92">
        <f>IF(E123&gt;0,IF(F123/E123&lt;1,0,(F123/E123)),)</f>
        <v>0</v>
      </c>
      <c r="H123" s="97"/>
      <c r="I123" s="74"/>
    </row>
    <row r="124" spans="2:9" ht="30.75" customHeight="1" x14ac:dyDescent="0.35">
      <c r="B124" s="4"/>
      <c r="C124" s="775" t="s">
        <v>269</v>
      </c>
      <c r="D124" s="776"/>
      <c r="E124" s="776"/>
      <c r="F124" s="776"/>
      <c r="G124" s="776"/>
      <c r="H124" s="777"/>
      <c r="I124" s="74"/>
    </row>
    <row r="125" spans="2:9" ht="15" customHeight="1" x14ac:dyDescent="0.35">
      <c r="B125" s="4"/>
      <c r="C125" s="103" t="s">
        <v>89</v>
      </c>
      <c r="D125" s="91" t="s">
        <v>89</v>
      </c>
      <c r="E125" s="104" t="s">
        <v>89</v>
      </c>
      <c r="F125" s="100"/>
      <c r="G125" s="92">
        <v>0</v>
      </c>
      <c r="H125" s="105"/>
      <c r="I125" s="74"/>
    </row>
    <row r="126" spans="2:9" ht="15" customHeight="1" x14ac:dyDescent="0.35">
      <c r="B126" s="4"/>
      <c r="C126" s="90" t="s">
        <v>89</v>
      </c>
      <c r="D126" s="91" t="s">
        <v>89</v>
      </c>
      <c r="E126" s="104" t="s">
        <v>89</v>
      </c>
      <c r="F126" s="100"/>
      <c r="G126" s="92">
        <v>0</v>
      </c>
      <c r="H126" s="105"/>
      <c r="I126" s="74"/>
    </row>
    <row r="127" spans="2:9" ht="15" customHeight="1" x14ac:dyDescent="0.35">
      <c r="B127" s="4"/>
      <c r="C127" s="90" t="s">
        <v>89</v>
      </c>
      <c r="D127" s="91" t="s">
        <v>89</v>
      </c>
      <c r="E127" s="104" t="s">
        <v>89</v>
      </c>
      <c r="F127" s="100"/>
      <c r="G127" s="92">
        <v>0</v>
      </c>
      <c r="H127" s="105"/>
      <c r="I127" s="74"/>
    </row>
    <row r="128" spans="2:9" ht="15" customHeight="1" x14ac:dyDescent="0.35">
      <c r="B128" s="4"/>
      <c r="C128" s="90" t="s">
        <v>89</v>
      </c>
      <c r="D128" s="91" t="s">
        <v>89</v>
      </c>
      <c r="E128" s="104" t="s">
        <v>89</v>
      </c>
      <c r="F128" s="100"/>
      <c r="G128" s="92">
        <v>0</v>
      </c>
      <c r="H128" s="105"/>
      <c r="I128" s="74"/>
    </row>
    <row r="129" spans="2:9" ht="15" customHeight="1" x14ac:dyDescent="0.35">
      <c r="B129" s="4"/>
      <c r="C129" s="106"/>
      <c r="D129" s="107"/>
      <c r="E129" s="107"/>
      <c r="F129" s="108" t="s">
        <v>100</v>
      </c>
      <c r="G129" s="109">
        <f>SUM(G8:G128)</f>
        <v>0</v>
      </c>
      <c r="H129" s="110"/>
      <c r="I129" s="74"/>
    </row>
    <row r="130" spans="2:9" x14ac:dyDescent="0.35">
      <c r="B130" s="4"/>
      <c r="C130" s="5"/>
      <c r="D130" s="5"/>
      <c r="E130" s="5"/>
      <c r="F130" s="5"/>
      <c r="G130" s="5"/>
      <c r="H130" s="5"/>
      <c r="I130" s="74"/>
    </row>
    <row r="131" spans="2:9" x14ac:dyDescent="0.35">
      <c r="B131" s="4"/>
      <c r="C131" s="733"/>
      <c r="D131" s="733"/>
      <c r="E131" s="733"/>
      <c r="F131" s="733"/>
      <c r="G131" s="733"/>
      <c r="H131" s="733"/>
      <c r="I131" s="74"/>
    </row>
  </sheetData>
  <sheetProtection algorithmName="SHA-512" hashValue="3V1SBk7+MDrFLdCF1awockLZxTL9/OKBQ6Iw1bxBTx2B2vlDc88uFBJ3yZkf6VNBBqhBije9WWYUPDgIgyQ8Zg==" saltValue="VVO1x71q2ylFDCiB+N18Tg=="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292100</xdr:colOff>
                    <xdr:row>5</xdr:row>
                    <xdr:rowOff>349250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M12" sqref="M12"/>
    </sheetView>
  </sheetViews>
  <sheetFormatPr defaultRowHeight="14.5" x14ac:dyDescent="0.35"/>
  <cols>
    <col min="2" max="2" width="29" customWidth="1"/>
    <col min="4" max="4" width="11.90625" customWidth="1"/>
    <col min="5" max="5" width="10.54296875" customWidth="1"/>
    <col min="7" max="7" width="24.6328125" customWidth="1"/>
  </cols>
  <sheetData>
    <row r="2" spans="2:7" ht="15" thickBot="1" x14ac:dyDescent="0.4"/>
    <row r="3" spans="2:7" ht="18.5" thickBot="1" x14ac:dyDescent="0.4">
      <c r="B3" s="782" t="s">
        <v>211</v>
      </c>
      <c r="C3" s="770"/>
      <c r="D3" s="770"/>
      <c r="E3" s="770"/>
      <c r="F3" s="770"/>
      <c r="G3" s="783"/>
    </row>
    <row r="4" spans="2:7" x14ac:dyDescent="0.35">
      <c r="B4" s="4"/>
      <c r="C4" s="5"/>
      <c r="D4" s="73"/>
      <c r="E4" s="5"/>
      <c r="F4" s="5"/>
      <c r="G4" s="6"/>
    </row>
    <row r="5" spans="2:7" x14ac:dyDescent="0.35">
      <c r="B5" s="577" t="s">
        <v>754</v>
      </c>
      <c r="C5" s="753" t="str">
        <f>+Introduction!E10</f>
        <v>Dairy Partners (Cymru Wales) Ltd</v>
      </c>
      <c r="D5" s="753"/>
      <c r="E5" s="784" t="s">
        <v>104</v>
      </c>
      <c r="F5" s="785"/>
      <c r="G5" s="786"/>
    </row>
    <row r="6" spans="2:7" x14ac:dyDescent="0.35">
      <c r="B6" s="577" t="s">
        <v>30</v>
      </c>
      <c r="C6" s="753" t="str">
        <f>+Introduction!K10</f>
        <v>WP3231NB</v>
      </c>
      <c r="D6" s="753"/>
      <c r="E6" s="787"/>
      <c r="F6" s="788"/>
      <c r="G6" s="789"/>
    </row>
    <row r="7" spans="2:7" ht="33.75" customHeight="1" thickBot="1" x14ac:dyDescent="0.4">
      <c r="B7" s="780" t="s">
        <v>105</v>
      </c>
      <c r="C7" s="781"/>
      <c r="D7" s="781"/>
      <c r="E7" s="9"/>
      <c r="F7" s="9"/>
      <c r="G7" s="10"/>
    </row>
    <row r="8" spans="2:7" ht="29" x14ac:dyDescent="0.35">
      <c r="B8" s="578" t="s">
        <v>106</v>
      </c>
      <c r="C8" s="579" t="s">
        <v>107</v>
      </c>
      <c r="D8" s="580" t="s">
        <v>108</v>
      </c>
      <c r="E8" s="580" t="s">
        <v>109</v>
      </c>
      <c r="F8" s="580" t="s">
        <v>110</v>
      </c>
      <c r="G8" s="581" t="s">
        <v>111</v>
      </c>
    </row>
    <row r="9" spans="2:7" x14ac:dyDescent="0.35">
      <c r="B9" s="582" t="s">
        <v>212</v>
      </c>
      <c r="C9" s="112" t="s">
        <v>117</v>
      </c>
      <c r="D9" s="112">
        <v>1E-3</v>
      </c>
      <c r="E9" s="113"/>
      <c r="F9" s="114">
        <f>IF(E9/D9&lt;1,0,(E9/D9))</f>
        <v>0</v>
      </c>
      <c r="G9" s="583"/>
    </row>
    <row r="10" spans="2:7" x14ac:dyDescent="0.35">
      <c r="B10" s="584" t="s">
        <v>213</v>
      </c>
      <c r="C10" s="117" t="s">
        <v>117</v>
      </c>
      <c r="D10" s="117">
        <v>1E-3</v>
      </c>
      <c r="E10" s="118"/>
      <c r="F10" s="119">
        <f>IF(E10/D10&lt;1,0,(E10/D10))</f>
        <v>0</v>
      </c>
      <c r="G10" s="585"/>
    </row>
    <row r="11" spans="2:7" x14ac:dyDescent="0.35">
      <c r="B11" s="584" t="s">
        <v>214</v>
      </c>
      <c r="C11" s="117" t="s">
        <v>117</v>
      </c>
      <c r="D11" s="117">
        <v>1E-3</v>
      </c>
      <c r="E11" s="118"/>
      <c r="F11" s="119">
        <f t="shared" ref="F11:F74" si="0">IF(E11/D11&lt;1,0,(E11/D11))</f>
        <v>0</v>
      </c>
      <c r="G11" s="585"/>
    </row>
    <row r="12" spans="2:7" x14ac:dyDescent="0.35">
      <c r="B12" s="584" t="s">
        <v>215</v>
      </c>
      <c r="C12" s="117" t="s">
        <v>117</v>
      </c>
      <c r="D12" s="117">
        <v>1E-3</v>
      </c>
      <c r="E12" s="118"/>
      <c r="F12" s="119">
        <f t="shared" si="0"/>
        <v>0</v>
      </c>
      <c r="G12" s="585"/>
    </row>
    <row r="13" spans="2:7" x14ac:dyDescent="0.35">
      <c r="B13" s="584" t="s">
        <v>216</v>
      </c>
      <c r="C13" s="117" t="s">
        <v>117</v>
      </c>
      <c r="D13" s="117">
        <v>1E-3</v>
      </c>
      <c r="E13" s="118"/>
      <c r="F13" s="119">
        <f t="shared" si="0"/>
        <v>0</v>
      </c>
      <c r="G13" s="585"/>
    </row>
    <row r="14" spans="2:7" x14ac:dyDescent="0.35">
      <c r="B14" s="584" t="s">
        <v>217</v>
      </c>
      <c r="C14" s="117" t="s">
        <v>117</v>
      </c>
      <c r="D14" s="117">
        <v>1E-3</v>
      </c>
      <c r="E14" s="118"/>
      <c r="F14" s="119">
        <f t="shared" si="0"/>
        <v>0</v>
      </c>
      <c r="G14" s="585"/>
    </row>
    <row r="15" spans="2:7" x14ac:dyDescent="0.35">
      <c r="B15" s="584" t="s">
        <v>218</v>
      </c>
      <c r="C15" s="117" t="s">
        <v>117</v>
      </c>
      <c r="D15" s="117">
        <v>1E-3</v>
      </c>
      <c r="E15" s="118"/>
      <c r="F15" s="119">
        <f t="shared" si="0"/>
        <v>0</v>
      </c>
      <c r="G15" s="585"/>
    </row>
    <row r="16" spans="2:7" x14ac:dyDescent="0.35">
      <c r="B16" s="584" t="s">
        <v>219</v>
      </c>
      <c r="C16" s="117" t="s">
        <v>117</v>
      </c>
      <c r="D16" s="117">
        <v>1E-3</v>
      </c>
      <c r="E16" s="118"/>
      <c r="F16" s="119">
        <f t="shared" si="0"/>
        <v>0</v>
      </c>
      <c r="G16" s="585"/>
    </row>
    <row r="17" spans="2:7" x14ac:dyDescent="0.35">
      <c r="B17" s="584" t="s">
        <v>220</v>
      </c>
      <c r="C17" s="117" t="s">
        <v>117</v>
      </c>
      <c r="D17" s="117">
        <v>1E-3</v>
      </c>
      <c r="E17" s="118"/>
      <c r="F17" s="119">
        <f t="shared" si="0"/>
        <v>0</v>
      </c>
      <c r="G17" s="585"/>
    </row>
    <row r="18" spans="2:7" x14ac:dyDescent="0.35">
      <c r="B18" s="584" t="s">
        <v>221</v>
      </c>
      <c r="C18" s="117" t="s">
        <v>117</v>
      </c>
      <c r="D18" s="117">
        <v>1E-3</v>
      </c>
      <c r="E18" s="118"/>
      <c r="F18" s="119">
        <f t="shared" si="0"/>
        <v>0</v>
      </c>
      <c r="G18" s="585"/>
    </row>
    <row r="19" spans="2:7" x14ac:dyDescent="0.35">
      <c r="B19" s="584"/>
      <c r="C19" s="117"/>
      <c r="D19" s="117"/>
      <c r="E19" s="117"/>
      <c r="F19" s="119"/>
      <c r="G19" s="586"/>
    </row>
    <row r="20" spans="2:7" x14ac:dyDescent="0.35">
      <c r="B20" s="584" t="s">
        <v>222</v>
      </c>
      <c r="C20" s="117" t="s">
        <v>117</v>
      </c>
      <c r="D20" s="117">
        <v>0.01</v>
      </c>
      <c r="E20" s="118"/>
      <c r="F20" s="119">
        <f t="shared" si="0"/>
        <v>0</v>
      </c>
      <c r="G20" s="585"/>
    </row>
    <row r="21" spans="2:7" x14ac:dyDescent="0.35">
      <c r="B21" s="584" t="s">
        <v>223</v>
      </c>
      <c r="C21" s="117" t="s">
        <v>117</v>
      </c>
      <c r="D21" s="117">
        <v>0.01</v>
      </c>
      <c r="E21" s="118"/>
      <c r="F21" s="119">
        <f t="shared" si="0"/>
        <v>0</v>
      </c>
      <c r="G21" s="585"/>
    </row>
    <row r="22" spans="2:7" x14ac:dyDescent="0.35">
      <c r="B22" s="584" t="s">
        <v>224</v>
      </c>
      <c r="C22" s="117" t="s">
        <v>117</v>
      </c>
      <c r="D22" s="117">
        <v>0.01</v>
      </c>
      <c r="E22" s="118"/>
      <c r="F22" s="119">
        <f t="shared" si="0"/>
        <v>0</v>
      </c>
      <c r="G22" s="585"/>
    </row>
    <row r="23" spans="2:7" x14ac:dyDescent="0.35">
      <c r="B23" s="584" t="s">
        <v>225</v>
      </c>
      <c r="C23" s="117" t="s">
        <v>117</v>
      </c>
      <c r="D23" s="117">
        <v>0.01</v>
      </c>
      <c r="E23" s="118"/>
      <c r="F23" s="119">
        <f t="shared" si="0"/>
        <v>0</v>
      </c>
      <c r="G23" s="585"/>
    </row>
    <row r="24" spans="2:7" x14ac:dyDescent="0.35">
      <c r="B24" s="584" t="s">
        <v>226</v>
      </c>
      <c r="C24" s="117" t="s">
        <v>117</v>
      </c>
      <c r="D24" s="117">
        <v>0.01</v>
      </c>
      <c r="E24" s="118"/>
      <c r="F24" s="119">
        <f t="shared" si="0"/>
        <v>0</v>
      </c>
      <c r="G24" s="585"/>
    </row>
    <row r="25" spans="2:7" x14ac:dyDescent="0.35">
      <c r="B25" s="584" t="s">
        <v>227</v>
      </c>
      <c r="C25" s="117" t="s">
        <v>117</v>
      </c>
      <c r="D25" s="117">
        <v>0.01</v>
      </c>
      <c r="E25" s="118"/>
      <c r="F25" s="119">
        <f t="shared" si="0"/>
        <v>0</v>
      </c>
      <c r="G25" s="585"/>
    </row>
    <row r="26" spans="2:7" x14ac:dyDescent="0.35">
      <c r="B26" s="584" t="s">
        <v>228</v>
      </c>
      <c r="C26" s="117" t="s">
        <v>117</v>
      </c>
      <c r="D26" s="117">
        <v>0.01</v>
      </c>
      <c r="E26" s="118"/>
      <c r="F26" s="119">
        <f t="shared" si="0"/>
        <v>0</v>
      </c>
      <c r="G26" s="585"/>
    </row>
    <row r="27" spans="2:7" x14ac:dyDescent="0.35">
      <c r="B27" s="584" t="s">
        <v>229</v>
      </c>
      <c r="C27" s="117" t="s">
        <v>117</v>
      </c>
      <c r="D27" s="117">
        <v>0.01</v>
      </c>
      <c r="E27" s="118"/>
      <c r="F27" s="119">
        <f t="shared" si="0"/>
        <v>0</v>
      </c>
      <c r="G27" s="585"/>
    </row>
    <row r="28" spans="2:7" x14ac:dyDescent="0.35">
      <c r="B28" s="584" t="s">
        <v>230</v>
      </c>
      <c r="C28" s="117" t="s">
        <v>117</v>
      </c>
      <c r="D28" s="117">
        <v>0.01</v>
      </c>
      <c r="E28" s="118"/>
      <c r="F28" s="119">
        <f t="shared" si="0"/>
        <v>0</v>
      </c>
      <c r="G28" s="585"/>
    </row>
    <row r="29" spans="2:7" x14ac:dyDescent="0.35">
      <c r="B29" s="584" t="s">
        <v>231</v>
      </c>
      <c r="C29" s="117" t="s">
        <v>117</v>
      </c>
      <c r="D29" s="117">
        <v>0.01</v>
      </c>
      <c r="E29" s="118"/>
      <c r="F29" s="119">
        <f t="shared" si="0"/>
        <v>0</v>
      </c>
      <c r="G29" s="585"/>
    </row>
    <row r="30" spans="2:7" x14ac:dyDescent="0.35">
      <c r="B30" s="584" t="s">
        <v>232</v>
      </c>
      <c r="C30" s="117" t="s">
        <v>117</v>
      </c>
      <c r="D30" s="117">
        <v>0.01</v>
      </c>
      <c r="E30" s="118"/>
      <c r="F30" s="119">
        <f t="shared" si="0"/>
        <v>0</v>
      </c>
      <c r="G30" s="585"/>
    </row>
    <row r="31" spans="2:7" x14ac:dyDescent="0.35">
      <c r="B31" s="584" t="s">
        <v>233</v>
      </c>
      <c r="C31" s="117" t="s">
        <v>117</v>
      </c>
      <c r="D31" s="117">
        <v>0.01</v>
      </c>
      <c r="E31" s="118"/>
      <c r="F31" s="119">
        <f t="shared" si="0"/>
        <v>0</v>
      </c>
      <c r="G31" s="585"/>
    </row>
    <row r="32" spans="2:7" x14ac:dyDescent="0.35">
      <c r="B32" s="584" t="s">
        <v>234</v>
      </c>
      <c r="C32" s="117" t="s">
        <v>117</v>
      </c>
      <c r="D32" s="117">
        <v>0.01</v>
      </c>
      <c r="E32" s="118"/>
      <c r="F32" s="119">
        <f t="shared" si="0"/>
        <v>0</v>
      </c>
      <c r="G32" s="585"/>
    </row>
    <row r="33" spans="2:7" x14ac:dyDescent="0.35">
      <c r="B33" s="584" t="s">
        <v>235</v>
      </c>
      <c r="C33" s="117" t="s">
        <v>117</v>
      </c>
      <c r="D33" s="117">
        <v>0.01</v>
      </c>
      <c r="E33" s="118"/>
      <c r="F33" s="119">
        <f t="shared" si="0"/>
        <v>0</v>
      </c>
      <c r="G33" s="585"/>
    </row>
    <row r="34" spans="2:7" x14ac:dyDescent="0.35">
      <c r="B34" s="584" t="s">
        <v>236</v>
      </c>
      <c r="C34" s="117" t="s">
        <v>117</v>
      </c>
      <c r="D34" s="117">
        <v>0.01</v>
      </c>
      <c r="E34" s="118"/>
      <c r="F34" s="119">
        <f t="shared" si="0"/>
        <v>0</v>
      </c>
      <c r="G34" s="585"/>
    </row>
    <row r="35" spans="2:7" x14ac:dyDescent="0.35">
      <c r="B35" s="584" t="s">
        <v>237</v>
      </c>
      <c r="C35" s="117" t="s">
        <v>117</v>
      </c>
      <c r="D35" s="117">
        <v>0.01</v>
      </c>
      <c r="E35" s="118"/>
      <c r="F35" s="119">
        <f t="shared" si="0"/>
        <v>0</v>
      </c>
      <c r="G35" s="585"/>
    </row>
    <row r="36" spans="2:7" x14ac:dyDescent="0.35">
      <c r="B36" s="584"/>
      <c r="C36" s="117"/>
      <c r="D36" s="117"/>
      <c r="E36" s="117"/>
      <c r="F36" s="119"/>
      <c r="G36" s="586"/>
    </row>
    <row r="37" spans="2:7" x14ac:dyDescent="0.35">
      <c r="B37" s="584" t="s">
        <v>238</v>
      </c>
      <c r="C37" s="117" t="s">
        <v>117</v>
      </c>
      <c r="D37" s="117">
        <v>0.1</v>
      </c>
      <c r="E37" s="118"/>
      <c r="F37" s="119">
        <f t="shared" si="0"/>
        <v>0</v>
      </c>
      <c r="G37" s="585"/>
    </row>
    <row r="38" spans="2:7" ht="29" x14ac:dyDescent="0.35">
      <c r="B38" s="587" t="s">
        <v>239</v>
      </c>
      <c r="C38" s="117" t="s">
        <v>117</v>
      </c>
      <c r="D38" s="117">
        <v>0.1</v>
      </c>
      <c r="E38" s="118"/>
      <c r="F38" s="119">
        <f t="shared" si="0"/>
        <v>0</v>
      </c>
      <c r="G38" s="585"/>
    </row>
    <row r="39" spans="2:7" x14ac:dyDescent="0.35">
      <c r="B39" s="587" t="s">
        <v>240</v>
      </c>
      <c r="C39" s="117" t="s">
        <v>117</v>
      </c>
      <c r="D39" s="117">
        <v>0.1</v>
      </c>
      <c r="E39" s="118"/>
      <c r="F39" s="119">
        <f t="shared" si="0"/>
        <v>0</v>
      </c>
      <c r="G39" s="585"/>
    </row>
    <row r="40" spans="2:7" x14ac:dyDescent="0.35">
      <c r="B40" s="587" t="s">
        <v>241</v>
      </c>
      <c r="C40" s="117" t="s">
        <v>117</v>
      </c>
      <c r="D40" s="117">
        <v>0.1</v>
      </c>
      <c r="E40" s="118"/>
      <c r="F40" s="119">
        <f t="shared" si="0"/>
        <v>0</v>
      </c>
      <c r="G40" s="585"/>
    </row>
    <row r="41" spans="2:7" x14ac:dyDescent="0.35">
      <c r="B41" s="584"/>
      <c r="C41" s="117" t="s">
        <v>117</v>
      </c>
      <c r="D41" s="117"/>
      <c r="E41" s="117"/>
      <c r="F41" s="119"/>
      <c r="G41" s="586"/>
    </row>
    <row r="42" spans="2:7" x14ac:dyDescent="0.35">
      <c r="B42" s="584" t="s">
        <v>141</v>
      </c>
      <c r="C42" s="117" t="s">
        <v>117</v>
      </c>
      <c r="D42" s="117">
        <v>1</v>
      </c>
      <c r="E42" s="118"/>
      <c r="F42" s="119">
        <f t="shared" si="0"/>
        <v>0</v>
      </c>
      <c r="G42" s="585"/>
    </row>
    <row r="43" spans="2:7" x14ac:dyDescent="0.35">
      <c r="B43" s="584" t="s">
        <v>242</v>
      </c>
      <c r="C43" s="117" t="s">
        <v>117</v>
      </c>
      <c r="D43" s="117">
        <v>1</v>
      </c>
      <c r="E43" s="118"/>
      <c r="F43" s="119">
        <f t="shared" si="0"/>
        <v>0</v>
      </c>
      <c r="G43" s="585"/>
    </row>
    <row r="44" spans="2:7" x14ac:dyDescent="0.35">
      <c r="B44" s="584" t="s">
        <v>243</v>
      </c>
      <c r="C44" s="117" t="s">
        <v>117</v>
      </c>
      <c r="D44" s="117">
        <v>1</v>
      </c>
      <c r="E44" s="118"/>
      <c r="F44" s="119">
        <f t="shared" si="0"/>
        <v>0</v>
      </c>
      <c r="G44" s="585"/>
    </row>
    <row r="45" spans="2:7" x14ac:dyDescent="0.35">
      <c r="B45" s="584" t="s">
        <v>244</v>
      </c>
      <c r="C45" s="117" t="s">
        <v>117</v>
      </c>
      <c r="D45" s="117">
        <v>1</v>
      </c>
      <c r="E45" s="118"/>
      <c r="F45" s="119">
        <f t="shared" si="0"/>
        <v>0</v>
      </c>
      <c r="G45" s="585"/>
    </row>
    <row r="46" spans="2:7" x14ac:dyDescent="0.35">
      <c r="B46" s="584" t="s">
        <v>144</v>
      </c>
      <c r="C46" s="117" t="s">
        <v>117</v>
      </c>
      <c r="D46" s="117">
        <v>1</v>
      </c>
      <c r="E46" s="118"/>
      <c r="F46" s="119">
        <f t="shared" si="0"/>
        <v>0</v>
      </c>
      <c r="G46" s="585"/>
    </row>
    <row r="47" spans="2:7" x14ac:dyDescent="0.35">
      <c r="B47" s="584" t="s">
        <v>245</v>
      </c>
      <c r="C47" s="117" t="s">
        <v>117</v>
      </c>
      <c r="D47" s="117">
        <v>1</v>
      </c>
      <c r="E47" s="118"/>
      <c r="F47" s="119">
        <f t="shared" si="0"/>
        <v>0</v>
      </c>
      <c r="G47" s="585"/>
    </row>
    <row r="48" spans="2:7" x14ac:dyDescent="0.35">
      <c r="B48" s="584" t="s">
        <v>246</v>
      </c>
      <c r="C48" s="117" t="s">
        <v>117</v>
      </c>
      <c r="D48" s="117">
        <v>1</v>
      </c>
      <c r="E48" s="118"/>
      <c r="F48" s="119">
        <f t="shared" si="0"/>
        <v>0</v>
      </c>
      <c r="G48" s="585"/>
    </row>
    <row r="49" spans="2:7" x14ac:dyDescent="0.35">
      <c r="B49" s="584" t="s">
        <v>247</v>
      </c>
      <c r="C49" s="117" t="s">
        <v>117</v>
      </c>
      <c r="D49" s="117">
        <v>1</v>
      </c>
      <c r="E49" s="118"/>
      <c r="F49" s="119">
        <f t="shared" si="0"/>
        <v>0</v>
      </c>
      <c r="G49" s="585"/>
    </row>
    <row r="50" spans="2:7" x14ac:dyDescent="0.35">
      <c r="B50" s="584" t="s">
        <v>248</v>
      </c>
      <c r="C50" s="117" t="s">
        <v>117</v>
      </c>
      <c r="D50" s="117">
        <v>1</v>
      </c>
      <c r="E50" s="118"/>
      <c r="F50" s="119">
        <f t="shared" si="0"/>
        <v>0</v>
      </c>
      <c r="G50" s="585"/>
    </row>
    <row r="51" spans="2:7" x14ac:dyDescent="0.35">
      <c r="B51" s="584" t="s">
        <v>249</v>
      </c>
      <c r="C51" s="117" t="s">
        <v>117</v>
      </c>
      <c r="D51" s="117">
        <v>1</v>
      </c>
      <c r="E51" s="118"/>
      <c r="F51" s="119">
        <f t="shared" si="0"/>
        <v>0</v>
      </c>
      <c r="G51" s="585"/>
    </row>
    <row r="52" spans="2:7" x14ac:dyDescent="0.35">
      <c r="B52" s="584" t="s">
        <v>250</v>
      </c>
      <c r="C52" s="117" t="s">
        <v>117</v>
      </c>
      <c r="D52" s="117">
        <v>1</v>
      </c>
      <c r="E52" s="118"/>
      <c r="F52" s="119">
        <f t="shared" si="0"/>
        <v>0</v>
      </c>
      <c r="G52" s="585"/>
    </row>
    <row r="53" spans="2:7" x14ac:dyDescent="0.35">
      <c r="B53" s="584" t="s">
        <v>251</v>
      </c>
      <c r="C53" s="117" t="s">
        <v>117</v>
      </c>
      <c r="D53" s="117">
        <v>1</v>
      </c>
      <c r="E53" s="118"/>
      <c r="F53" s="119">
        <f t="shared" si="0"/>
        <v>0</v>
      </c>
      <c r="G53" s="585"/>
    </row>
    <row r="54" spans="2:7" x14ac:dyDescent="0.35">
      <c r="B54" s="584" t="s">
        <v>252</v>
      </c>
      <c r="C54" s="117" t="s">
        <v>117</v>
      </c>
      <c r="D54" s="117">
        <v>1</v>
      </c>
      <c r="E54" s="118"/>
      <c r="F54" s="119">
        <f t="shared" si="0"/>
        <v>0</v>
      </c>
      <c r="G54" s="585"/>
    </row>
    <row r="55" spans="2:7" x14ac:dyDescent="0.35">
      <c r="B55" s="584" t="s">
        <v>253</v>
      </c>
      <c r="C55" s="117" t="s">
        <v>117</v>
      </c>
      <c r="D55" s="117">
        <v>1</v>
      </c>
      <c r="E55" s="118"/>
      <c r="F55" s="119">
        <f t="shared" si="0"/>
        <v>0</v>
      </c>
      <c r="G55" s="585"/>
    </row>
    <row r="56" spans="2:7" x14ac:dyDescent="0.35">
      <c r="B56" s="584" t="s">
        <v>254</v>
      </c>
      <c r="C56" s="117" t="s">
        <v>117</v>
      </c>
      <c r="D56" s="117">
        <v>1</v>
      </c>
      <c r="E56" s="118"/>
      <c r="F56" s="119">
        <f t="shared" si="0"/>
        <v>0</v>
      </c>
      <c r="G56" s="585"/>
    </row>
    <row r="57" spans="2:7" x14ac:dyDescent="0.35">
      <c r="B57" s="584" t="s">
        <v>255</v>
      </c>
      <c r="C57" s="117" t="s">
        <v>117</v>
      </c>
      <c r="D57" s="117">
        <v>1</v>
      </c>
      <c r="E57" s="118"/>
      <c r="F57" s="119">
        <f t="shared" si="0"/>
        <v>0</v>
      </c>
      <c r="G57" s="585"/>
    </row>
    <row r="58" spans="2:7" x14ac:dyDescent="0.35">
      <c r="B58" s="584" t="s">
        <v>256</v>
      </c>
      <c r="C58" s="117" t="s">
        <v>117</v>
      </c>
      <c r="D58" s="117">
        <v>1</v>
      </c>
      <c r="E58" s="118"/>
      <c r="F58" s="119">
        <f t="shared" si="0"/>
        <v>0</v>
      </c>
      <c r="G58" s="585"/>
    </row>
    <row r="59" spans="2:7" x14ac:dyDescent="0.35">
      <c r="B59" s="584" t="s">
        <v>257</v>
      </c>
      <c r="C59" s="117" t="s">
        <v>117</v>
      </c>
      <c r="D59" s="117">
        <v>1</v>
      </c>
      <c r="E59" s="118"/>
      <c r="F59" s="119">
        <f t="shared" si="0"/>
        <v>0</v>
      </c>
      <c r="G59" s="585"/>
    </row>
    <row r="60" spans="2:7" x14ac:dyDescent="0.35">
      <c r="B60" s="584" t="s">
        <v>258</v>
      </c>
      <c r="C60" s="117" t="s">
        <v>117</v>
      </c>
      <c r="D60" s="117">
        <v>1</v>
      </c>
      <c r="E60" s="118"/>
      <c r="F60" s="119">
        <f t="shared" si="0"/>
        <v>0</v>
      </c>
      <c r="G60" s="585"/>
    </row>
    <row r="61" spans="2:7" x14ac:dyDescent="0.35">
      <c r="B61" s="584" t="s">
        <v>118</v>
      </c>
      <c r="C61" s="117" t="s">
        <v>117</v>
      </c>
      <c r="D61" s="117">
        <v>1</v>
      </c>
      <c r="E61" s="118"/>
      <c r="F61" s="119">
        <f t="shared" si="0"/>
        <v>0</v>
      </c>
      <c r="G61" s="588"/>
    </row>
    <row r="62" spans="2:7" x14ac:dyDescent="0.35">
      <c r="B62" s="584" t="s">
        <v>120</v>
      </c>
      <c r="C62" s="117" t="s">
        <v>117</v>
      </c>
      <c r="D62" s="117">
        <v>1</v>
      </c>
      <c r="E62" s="118"/>
      <c r="F62" s="119">
        <f t="shared" si="0"/>
        <v>0</v>
      </c>
      <c r="G62" s="588"/>
    </row>
    <row r="63" spans="2:7" x14ac:dyDescent="0.35">
      <c r="B63" s="584"/>
      <c r="C63" s="117"/>
      <c r="D63" s="117"/>
      <c r="E63" s="117"/>
      <c r="F63" s="119"/>
      <c r="G63" s="586"/>
    </row>
    <row r="64" spans="2:7" x14ac:dyDescent="0.35">
      <c r="B64" s="584" t="s">
        <v>259</v>
      </c>
      <c r="C64" s="117" t="s">
        <v>117</v>
      </c>
      <c r="D64" s="117">
        <v>20</v>
      </c>
      <c r="E64" s="118"/>
      <c r="F64" s="119">
        <f t="shared" si="0"/>
        <v>0</v>
      </c>
      <c r="G64" s="585"/>
    </row>
    <row r="65" spans="2:7" x14ac:dyDescent="0.35">
      <c r="B65" s="584" t="s">
        <v>260</v>
      </c>
      <c r="C65" s="117" t="s">
        <v>117</v>
      </c>
      <c r="D65" s="117">
        <v>20</v>
      </c>
      <c r="E65" s="118"/>
      <c r="F65" s="119">
        <f t="shared" si="0"/>
        <v>0</v>
      </c>
      <c r="G65" s="585"/>
    </row>
    <row r="66" spans="2:7" x14ac:dyDescent="0.35">
      <c r="B66" s="584" t="s">
        <v>261</v>
      </c>
      <c r="C66" s="117" t="s">
        <v>117</v>
      </c>
      <c r="D66" s="117">
        <v>20</v>
      </c>
      <c r="E66" s="118"/>
      <c r="F66" s="119">
        <f t="shared" si="0"/>
        <v>0</v>
      </c>
      <c r="G66" s="585"/>
    </row>
    <row r="67" spans="2:7" x14ac:dyDescent="0.35">
      <c r="B67" s="584" t="s">
        <v>262</v>
      </c>
      <c r="C67" s="117" t="s">
        <v>117</v>
      </c>
      <c r="D67" s="117">
        <v>20</v>
      </c>
      <c r="E67" s="118"/>
      <c r="F67" s="119">
        <f t="shared" si="0"/>
        <v>0</v>
      </c>
      <c r="G67" s="585"/>
    </row>
    <row r="68" spans="2:7" x14ac:dyDescent="0.35">
      <c r="B68" s="584" t="s">
        <v>187</v>
      </c>
      <c r="C68" s="117" t="s">
        <v>117</v>
      </c>
      <c r="D68" s="117">
        <v>20</v>
      </c>
      <c r="E68" s="118"/>
      <c r="F68" s="119">
        <f t="shared" si="0"/>
        <v>0</v>
      </c>
      <c r="G68" s="585"/>
    </row>
    <row r="69" spans="2:7" x14ac:dyDescent="0.35">
      <c r="B69" s="584" t="s">
        <v>263</v>
      </c>
      <c r="C69" s="117" t="s">
        <v>117</v>
      </c>
      <c r="D69" s="117">
        <v>20</v>
      </c>
      <c r="E69" s="118"/>
      <c r="F69" s="119">
        <f t="shared" si="0"/>
        <v>0</v>
      </c>
      <c r="G69" s="585"/>
    </row>
    <row r="70" spans="2:7" x14ac:dyDescent="0.35">
      <c r="B70" s="584" t="s">
        <v>122</v>
      </c>
      <c r="C70" s="117" t="s">
        <v>117</v>
      </c>
      <c r="D70" s="117">
        <v>20</v>
      </c>
      <c r="E70" s="118"/>
      <c r="F70" s="119">
        <f t="shared" si="0"/>
        <v>0</v>
      </c>
      <c r="G70" s="588"/>
    </row>
    <row r="71" spans="2:7" x14ac:dyDescent="0.35">
      <c r="B71" s="584" t="s">
        <v>123</v>
      </c>
      <c r="C71" s="117" t="s">
        <v>117</v>
      </c>
      <c r="D71" s="117">
        <v>20</v>
      </c>
      <c r="E71" s="118"/>
      <c r="F71" s="119">
        <f t="shared" si="0"/>
        <v>0</v>
      </c>
      <c r="G71" s="588"/>
    </row>
    <row r="72" spans="2:7" x14ac:dyDescent="0.35">
      <c r="B72" s="584" t="s">
        <v>127</v>
      </c>
      <c r="C72" s="117" t="s">
        <v>117</v>
      </c>
      <c r="D72" s="117">
        <v>20</v>
      </c>
      <c r="E72" s="118"/>
      <c r="F72" s="119">
        <f t="shared" si="0"/>
        <v>0</v>
      </c>
      <c r="G72" s="588"/>
    </row>
    <row r="73" spans="2:7" x14ac:dyDescent="0.35">
      <c r="B73" s="584" t="s">
        <v>119</v>
      </c>
      <c r="C73" s="117" t="s">
        <v>117</v>
      </c>
      <c r="D73" s="117">
        <v>20</v>
      </c>
      <c r="E73" s="118"/>
      <c r="F73" s="119">
        <f t="shared" si="0"/>
        <v>0</v>
      </c>
      <c r="G73" s="588"/>
    </row>
    <row r="74" spans="2:7" x14ac:dyDescent="0.35">
      <c r="B74" s="584" t="s">
        <v>124</v>
      </c>
      <c r="C74" s="117" t="s">
        <v>117</v>
      </c>
      <c r="D74" s="117">
        <v>20</v>
      </c>
      <c r="E74" s="118"/>
      <c r="F74" s="119">
        <f t="shared" si="0"/>
        <v>0</v>
      </c>
      <c r="G74" s="588"/>
    </row>
    <row r="75" spans="2:7" x14ac:dyDescent="0.35">
      <c r="B75" s="584" t="s">
        <v>128</v>
      </c>
      <c r="C75" s="117" t="s">
        <v>117</v>
      </c>
      <c r="D75" s="117">
        <v>20</v>
      </c>
      <c r="E75" s="118"/>
      <c r="F75" s="119">
        <f>IF(E75/D75&lt;1,0,(E75/D75))</f>
        <v>0</v>
      </c>
      <c r="G75" s="588"/>
    </row>
    <row r="76" spans="2:7" x14ac:dyDescent="0.35">
      <c r="B76" s="584"/>
      <c r="C76" s="117"/>
      <c r="D76" s="117"/>
      <c r="E76" s="118"/>
      <c r="F76" s="119"/>
      <c r="G76" s="585"/>
    </row>
    <row r="77" spans="2:7" x14ac:dyDescent="0.35">
      <c r="B77" s="790" t="s">
        <v>264</v>
      </c>
      <c r="C77" s="791"/>
      <c r="D77" s="123"/>
      <c r="E77" s="123"/>
      <c r="F77" s="124"/>
      <c r="G77" s="589"/>
    </row>
    <row r="78" spans="2:7" x14ac:dyDescent="0.35">
      <c r="B78" s="590" t="s">
        <v>755</v>
      </c>
      <c r="C78" s="117" t="s">
        <v>117</v>
      </c>
      <c r="D78" s="117">
        <v>0.01</v>
      </c>
      <c r="E78" s="118"/>
      <c r="F78" s="119">
        <f>IF(D78&gt;0,IF(E78/D78&lt;1,0,(E78/D78)),)</f>
        <v>0</v>
      </c>
      <c r="G78" s="585"/>
    </row>
    <row r="79" spans="2:7" x14ac:dyDescent="0.35">
      <c r="B79" s="590" t="s">
        <v>265</v>
      </c>
      <c r="C79" s="117" t="s">
        <v>117</v>
      </c>
      <c r="D79" s="117">
        <v>0.1</v>
      </c>
      <c r="E79" s="118"/>
      <c r="F79" s="119">
        <f t="shared" ref="F79:F85" si="1">IF(D79&gt;0,IF(E79/D79&lt;1,0,(E79/D79)),)</f>
        <v>0</v>
      </c>
      <c r="G79" s="585"/>
    </row>
    <row r="80" spans="2:7" x14ac:dyDescent="0.35">
      <c r="B80" s="590" t="s">
        <v>266</v>
      </c>
      <c r="C80" s="117" t="s">
        <v>117</v>
      </c>
      <c r="D80" s="117">
        <v>1</v>
      </c>
      <c r="E80" s="118"/>
      <c r="F80" s="119">
        <f t="shared" si="1"/>
        <v>0</v>
      </c>
      <c r="G80" s="585"/>
    </row>
    <row r="81" spans="2:7" x14ac:dyDescent="0.35">
      <c r="B81" s="590" t="s">
        <v>267</v>
      </c>
      <c r="C81" s="117" t="s">
        <v>117</v>
      </c>
      <c r="D81" s="117">
        <v>20</v>
      </c>
      <c r="E81" s="118"/>
      <c r="F81" s="119">
        <f t="shared" si="1"/>
        <v>0</v>
      </c>
      <c r="G81" s="585"/>
    </row>
    <row r="82" spans="2:7" x14ac:dyDescent="0.35">
      <c r="B82" s="590" t="s">
        <v>268</v>
      </c>
      <c r="C82" s="117" t="s">
        <v>117</v>
      </c>
      <c r="D82" s="117">
        <v>100</v>
      </c>
      <c r="E82" s="118"/>
      <c r="F82" s="119">
        <f t="shared" si="1"/>
        <v>0</v>
      </c>
      <c r="G82" s="585"/>
    </row>
    <row r="83" spans="2:7" x14ac:dyDescent="0.35">
      <c r="B83" s="590"/>
      <c r="C83" s="117" t="s">
        <v>117</v>
      </c>
      <c r="D83" s="117"/>
      <c r="E83" s="118"/>
      <c r="F83" s="119">
        <f t="shared" si="1"/>
        <v>0</v>
      </c>
      <c r="G83" s="585"/>
    </row>
    <row r="84" spans="2:7" x14ac:dyDescent="0.35">
      <c r="B84" s="590"/>
      <c r="C84" s="117" t="s">
        <v>117</v>
      </c>
      <c r="D84" s="117"/>
      <c r="E84" s="118"/>
      <c r="F84" s="119">
        <f t="shared" si="1"/>
        <v>0</v>
      </c>
      <c r="G84" s="585"/>
    </row>
    <row r="85" spans="2:7" x14ac:dyDescent="0.35">
      <c r="B85" s="590"/>
      <c r="C85" s="117" t="s">
        <v>117</v>
      </c>
      <c r="D85" s="117"/>
      <c r="E85" s="118"/>
      <c r="F85" s="119">
        <f t="shared" si="1"/>
        <v>0</v>
      </c>
      <c r="G85" s="585"/>
    </row>
    <row r="86" spans="2:7" ht="30.75" customHeight="1" x14ac:dyDescent="0.35">
      <c r="B86" s="778" t="s">
        <v>269</v>
      </c>
      <c r="C86" s="776"/>
      <c r="D86" s="776"/>
      <c r="E86" s="776"/>
      <c r="F86" s="776"/>
      <c r="G86" s="779"/>
    </row>
    <row r="87" spans="2:7" x14ac:dyDescent="0.35">
      <c r="B87" s="584" t="s">
        <v>89</v>
      </c>
      <c r="C87" s="117" t="s">
        <v>89</v>
      </c>
      <c r="D87" s="126" t="s">
        <v>89</v>
      </c>
      <c r="E87" s="118"/>
      <c r="F87" s="119">
        <v>0</v>
      </c>
      <c r="G87" s="585"/>
    </row>
    <row r="88" spans="2:7" x14ac:dyDescent="0.35">
      <c r="B88" s="584" t="s">
        <v>89</v>
      </c>
      <c r="C88" s="117" t="s">
        <v>89</v>
      </c>
      <c r="D88" s="126" t="s">
        <v>89</v>
      </c>
      <c r="E88" s="118"/>
      <c r="F88" s="119">
        <v>0</v>
      </c>
      <c r="G88" s="585"/>
    </row>
    <row r="89" spans="2:7" x14ac:dyDescent="0.35">
      <c r="B89" s="584" t="s">
        <v>89</v>
      </c>
      <c r="C89" s="117" t="s">
        <v>89</v>
      </c>
      <c r="D89" s="126" t="s">
        <v>89</v>
      </c>
      <c r="E89" s="118"/>
      <c r="F89" s="119">
        <v>0</v>
      </c>
      <c r="G89" s="585"/>
    </row>
    <row r="90" spans="2:7" x14ac:dyDescent="0.35">
      <c r="B90" s="584" t="s">
        <v>89</v>
      </c>
      <c r="C90" s="117" t="s">
        <v>89</v>
      </c>
      <c r="D90" s="126" t="s">
        <v>89</v>
      </c>
      <c r="E90" s="118"/>
      <c r="F90" s="119">
        <v>0</v>
      </c>
      <c r="G90" s="585"/>
    </row>
    <row r="91" spans="2:7" x14ac:dyDescent="0.35">
      <c r="B91" s="584"/>
      <c r="C91" s="117"/>
      <c r="D91" s="126"/>
      <c r="E91" s="127" t="s">
        <v>100</v>
      </c>
      <c r="F91" s="128">
        <f>SUM(F9:F90)</f>
        <v>0</v>
      </c>
      <c r="G91" s="591"/>
    </row>
    <row r="92" spans="2:7" ht="15" thickBot="1" x14ac:dyDescent="0.4">
      <c r="B92" s="592"/>
      <c r="C92" s="460"/>
      <c r="D92" s="460"/>
      <c r="E92" s="461"/>
      <c r="F92" s="462"/>
      <c r="G92" s="593"/>
    </row>
  </sheetData>
  <sheetProtection algorithmName="SHA-512" hashValue="GSxlsU7n8bhZDiHZyHec+U9IxS2AyjZADXYA3OuxVk9GVOtHU80W3rSxHO8S+E0gSCxm+BTbjXEg+i5JbaYUzA==" saltValue="HIvr7Y6dFYiUo/qvrI0Tug=="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273050</xdr:colOff>
                    <xdr:row>6</xdr:row>
                    <xdr:rowOff>349250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H22" sqref="H22"/>
    </sheetView>
  </sheetViews>
  <sheetFormatPr defaultRowHeight="14.5" x14ac:dyDescent="0.35"/>
  <cols>
    <col min="3" max="3" width="19.08984375" customWidth="1"/>
    <col min="5" max="5" width="12.453125" customWidth="1"/>
    <col min="6" max="6" width="10.453125" customWidth="1"/>
    <col min="8" max="8" width="27.6328125" customWidth="1"/>
  </cols>
  <sheetData>
    <row r="2" spans="2:9" ht="15" thickBot="1" x14ac:dyDescent="0.4"/>
    <row r="3" spans="2:9" ht="18.5" thickBot="1" x14ac:dyDescent="0.45">
      <c r="B3" s="792" t="s">
        <v>270</v>
      </c>
      <c r="C3" s="793"/>
      <c r="D3" s="793"/>
      <c r="E3" s="793"/>
      <c r="F3" s="793"/>
      <c r="G3" s="793"/>
      <c r="H3" s="793"/>
      <c r="I3" s="794"/>
    </row>
    <row r="4" spans="2:9" x14ac:dyDescent="0.35">
      <c r="B4" s="1"/>
      <c r="C4" s="2"/>
      <c r="D4" s="2"/>
      <c r="E4" s="53"/>
      <c r="F4" s="2"/>
      <c r="G4" s="2"/>
      <c r="H4" s="458"/>
      <c r="I4" s="3"/>
    </row>
    <row r="5" spans="2:9" x14ac:dyDescent="0.35">
      <c r="B5" s="4"/>
      <c r="C5" s="12" t="s">
        <v>754</v>
      </c>
      <c r="D5" s="797" t="str">
        <f>+Introduction!E10</f>
        <v>Dairy Partners (Cymru Wales) Ltd</v>
      </c>
      <c r="E5" s="798"/>
      <c r="F5" s="784" t="s">
        <v>104</v>
      </c>
      <c r="G5" s="785"/>
      <c r="H5" s="795"/>
      <c r="I5" s="6"/>
    </row>
    <row r="6" spans="2:9" x14ac:dyDescent="0.35">
      <c r="B6" s="4"/>
      <c r="C6" s="12" t="s">
        <v>30</v>
      </c>
      <c r="D6" s="799" t="str">
        <f>+Introduction!K10</f>
        <v>WP3231NB</v>
      </c>
      <c r="E6" s="800"/>
      <c r="F6" s="787"/>
      <c r="G6" s="788"/>
      <c r="H6" s="796"/>
      <c r="I6" s="6"/>
    </row>
    <row r="7" spans="2:9" ht="42.75" customHeight="1" x14ac:dyDescent="0.35">
      <c r="B7" s="4"/>
      <c r="C7" s="769" t="s">
        <v>105</v>
      </c>
      <c r="D7" s="769"/>
      <c r="E7" s="769"/>
      <c r="F7" s="5"/>
      <c r="G7" s="5"/>
      <c r="H7" s="5"/>
      <c r="I7" s="6"/>
    </row>
    <row r="8" spans="2:9" ht="26.5" x14ac:dyDescent="0.35">
      <c r="B8" s="4"/>
      <c r="C8" s="130" t="s">
        <v>271</v>
      </c>
      <c r="D8" s="131" t="s">
        <v>107</v>
      </c>
      <c r="E8" s="132" t="s">
        <v>108</v>
      </c>
      <c r="F8" s="132" t="s">
        <v>109</v>
      </c>
      <c r="G8" s="132" t="s">
        <v>110</v>
      </c>
      <c r="H8" s="133" t="s">
        <v>111</v>
      </c>
      <c r="I8" s="6"/>
    </row>
    <row r="9" spans="2:9" x14ac:dyDescent="0.35">
      <c r="B9" s="4"/>
      <c r="C9" s="134" t="s">
        <v>272</v>
      </c>
      <c r="D9" s="135" t="s">
        <v>273</v>
      </c>
      <c r="E9" s="135">
        <v>1000</v>
      </c>
      <c r="F9" s="136"/>
      <c r="G9" s="137">
        <f>IF(F9/E9&lt;1,0,(F9/E9))</f>
        <v>0</v>
      </c>
      <c r="H9" s="138"/>
      <c r="I9" s="6"/>
    </row>
    <row r="10" spans="2:9" ht="29" x14ac:dyDescent="0.35">
      <c r="B10" s="4"/>
      <c r="C10" s="122" t="s">
        <v>274</v>
      </c>
      <c r="D10" s="117" t="s">
        <v>273</v>
      </c>
      <c r="E10" s="117">
        <v>350</v>
      </c>
      <c r="F10" s="118"/>
      <c r="G10" s="119">
        <f>IF(F10/E10&lt;1,0,(F10/E10))</f>
        <v>0</v>
      </c>
      <c r="H10" s="139"/>
      <c r="I10" s="6"/>
    </row>
    <row r="11" spans="2:9" x14ac:dyDescent="0.35">
      <c r="B11" s="4"/>
      <c r="C11" s="116" t="s">
        <v>275</v>
      </c>
      <c r="D11" s="117" t="s">
        <v>273</v>
      </c>
      <c r="E11" s="117">
        <v>100</v>
      </c>
      <c r="F11" s="118"/>
      <c r="G11" s="119">
        <f>IF(F11/E11&lt;1,0,(F11/E11))</f>
        <v>0</v>
      </c>
      <c r="H11" s="139"/>
      <c r="I11" s="6"/>
    </row>
    <row r="12" spans="2:9" ht="29" x14ac:dyDescent="0.35">
      <c r="B12" s="4"/>
      <c r="C12" s="122" t="s">
        <v>276</v>
      </c>
      <c r="D12" s="117" t="s">
        <v>273</v>
      </c>
      <c r="E12" s="117">
        <v>100</v>
      </c>
      <c r="F12" s="118"/>
      <c r="G12" s="119">
        <f>IF(F12/E12&lt;1,0,(F12/E12))</f>
        <v>0</v>
      </c>
      <c r="H12" s="139"/>
      <c r="I12" s="6"/>
    </row>
    <row r="13" spans="2:9" x14ac:dyDescent="0.35">
      <c r="B13" s="4"/>
      <c r="C13" s="122"/>
      <c r="D13" s="117"/>
      <c r="E13" s="117"/>
      <c r="F13" s="117"/>
      <c r="G13" s="119"/>
      <c r="H13" s="140"/>
      <c r="I13" s="6"/>
    </row>
    <row r="14" spans="2:9" ht="15" thickBot="1" x14ac:dyDescent="0.4">
      <c r="B14" s="8"/>
      <c r="C14" s="459"/>
      <c r="D14" s="460"/>
      <c r="E14" s="460"/>
      <c r="F14" s="461" t="s">
        <v>100</v>
      </c>
      <c r="G14" s="462">
        <f>SUM(G9:G12)</f>
        <v>0</v>
      </c>
      <c r="H14" s="463"/>
      <c r="I14" s="10"/>
    </row>
  </sheetData>
  <sheetProtection algorithmName="SHA-512" hashValue="z4SQeOBcvlUG18p2I6npzJmuXE7wMuHAyyVZYjyWuCUijJmUKEcrJyJv9DYlK9vBofxws45qSIAIsSSx53BBtg==" saltValue="K4d1+TXTy5sz4d33BPoK8w=="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292100</xdr:colOff>
                    <xdr:row>6</xdr:row>
                    <xdr:rowOff>349250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11" workbookViewId="0">
      <selection activeCell="L16" sqref="L16"/>
    </sheetView>
  </sheetViews>
  <sheetFormatPr defaultRowHeight="14.5" x14ac:dyDescent="0.35"/>
  <cols>
    <col min="3" max="3" width="27.08984375" customWidth="1"/>
    <col min="5" max="5" width="11.6328125" customWidth="1"/>
    <col min="6" max="6" width="11.08984375" customWidth="1"/>
    <col min="8" max="8" width="17.90625" customWidth="1"/>
  </cols>
  <sheetData>
    <row r="1" spans="2:9" ht="15" thickBot="1" x14ac:dyDescent="0.4"/>
    <row r="2" spans="2:9" ht="18.5" thickBot="1" x14ac:dyDescent="0.45">
      <c r="B2" s="792" t="s">
        <v>277</v>
      </c>
      <c r="C2" s="793"/>
      <c r="D2" s="793"/>
      <c r="E2" s="793"/>
      <c r="F2" s="793"/>
      <c r="G2" s="793"/>
      <c r="H2" s="793"/>
      <c r="I2" s="794"/>
    </row>
    <row r="3" spans="2:9" x14ac:dyDescent="0.35">
      <c r="B3" s="4"/>
      <c r="C3" s="5"/>
      <c r="D3" s="5"/>
      <c r="E3" s="73"/>
      <c r="F3" s="5"/>
      <c r="G3" s="5"/>
      <c r="H3" s="5"/>
      <c r="I3" s="74"/>
    </row>
    <row r="4" spans="2:9" ht="21" customHeight="1" x14ac:dyDescent="0.35">
      <c r="B4" s="4"/>
      <c r="C4" s="12" t="s">
        <v>754</v>
      </c>
      <c r="D4" s="753" t="str">
        <f>+Introduction!E10</f>
        <v>Dairy Partners (Cymru Wales) Ltd</v>
      </c>
      <c r="E4" s="753"/>
      <c r="F4" s="784" t="s">
        <v>756</v>
      </c>
      <c r="G4" s="785"/>
      <c r="H4" s="795"/>
      <c r="I4" s="74"/>
    </row>
    <row r="5" spans="2:9" ht="22.5" customHeight="1" x14ac:dyDescent="0.35">
      <c r="B5" s="4"/>
      <c r="C5" s="12" t="s">
        <v>278</v>
      </c>
      <c r="D5" s="753" t="str">
        <f>+Introduction!K10</f>
        <v>WP3231NB</v>
      </c>
      <c r="E5" s="753"/>
      <c r="F5" s="787"/>
      <c r="G5" s="788"/>
      <c r="H5" s="796"/>
      <c r="I5" s="74"/>
    </row>
    <row r="6" spans="2:9" ht="42.75" customHeight="1" x14ac:dyDescent="0.35">
      <c r="B6" s="4"/>
      <c r="C6" s="769" t="s">
        <v>105</v>
      </c>
      <c r="D6" s="769"/>
      <c r="E6" s="769"/>
      <c r="F6" s="5"/>
      <c r="G6" s="5"/>
      <c r="H6" s="5"/>
      <c r="I6" s="6"/>
    </row>
    <row r="7" spans="2:9" ht="26.5" x14ac:dyDescent="0.35">
      <c r="B7" s="4"/>
      <c r="C7" s="12" t="s">
        <v>106</v>
      </c>
      <c r="D7" s="12" t="s">
        <v>107</v>
      </c>
      <c r="E7" s="141" t="s">
        <v>108</v>
      </c>
      <c r="F7" s="141" t="s">
        <v>279</v>
      </c>
      <c r="G7" s="141" t="s">
        <v>110</v>
      </c>
      <c r="H7" s="141" t="s">
        <v>111</v>
      </c>
      <c r="I7" s="74"/>
    </row>
    <row r="8" spans="2:9" x14ac:dyDescent="0.35">
      <c r="B8" s="4"/>
      <c r="C8" s="111" t="s">
        <v>212</v>
      </c>
      <c r="D8" s="112" t="s">
        <v>117</v>
      </c>
      <c r="E8" s="112">
        <v>1E-3</v>
      </c>
      <c r="F8" s="113"/>
      <c r="G8" s="114">
        <f t="shared" ref="G8:G17" si="0">IF(F8/E8&lt;1,0,(F8/E8))</f>
        <v>0</v>
      </c>
      <c r="H8" s="115"/>
      <c r="I8" s="74"/>
    </row>
    <row r="9" spans="2:9" x14ac:dyDescent="0.35">
      <c r="B9" s="4"/>
      <c r="C9" s="116" t="s">
        <v>213</v>
      </c>
      <c r="D9" s="117" t="s">
        <v>117</v>
      </c>
      <c r="E9" s="117">
        <v>1E-3</v>
      </c>
      <c r="F9" s="118"/>
      <c r="G9" s="119">
        <f t="shared" si="0"/>
        <v>0</v>
      </c>
      <c r="H9" s="120"/>
      <c r="I9" s="74"/>
    </row>
    <row r="10" spans="2:9" x14ac:dyDescent="0.35">
      <c r="B10" s="4"/>
      <c r="C10" s="116" t="s">
        <v>214</v>
      </c>
      <c r="D10" s="117" t="s">
        <v>117</v>
      </c>
      <c r="E10" s="117">
        <v>1E-3</v>
      </c>
      <c r="F10" s="118"/>
      <c r="G10" s="119">
        <f t="shared" si="0"/>
        <v>0</v>
      </c>
      <c r="H10" s="120"/>
      <c r="I10" s="74"/>
    </row>
    <row r="11" spans="2:9" x14ac:dyDescent="0.35">
      <c r="B11" s="4"/>
      <c r="C11" s="116" t="s">
        <v>215</v>
      </c>
      <c r="D11" s="117" t="s">
        <v>117</v>
      </c>
      <c r="E11" s="117">
        <v>1E-3</v>
      </c>
      <c r="F11" s="118"/>
      <c r="G11" s="119">
        <f t="shared" si="0"/>
        <v>0</v>
      </c>
      <c r="H11" s="120"/>
      <c r="I11" s="74"/>
    </row>
    <row r="12" spans="2:9" x14ac:dyDescent="0.35">
      <c r="B12" s="4"/>
      <c r="C12" s="116" t="s">
        <v>216</v>
      </c>
      <c r="D12" s="117" t="s">
        <v>117</v>
      </c>
      <c r="E12" s="117">
        <v>1E-3</v>
      </c>
      <c r="F12" s="118"/>
      <c r="G12" s="119">
        <f t="shared" si="0"/>
        <v>0</v>
      </c>
      <c r="H12" s="120"/>
      <c r="I12" s="74"/>
    </row>
    <row r="13" spans="2:9" x14ac:dyDescent="0.35">
      <c r="B13" s="4"/>
      <c r="C13" s="116" t="s">
        <v>217</v>
      </c>
      <c r="D13" s="117" t="s">
        <v>117</v>
      </c>
      <c r="E13" s="117">
        <v>1E-3</v>
      </c>
      <c r="F13" s="118"/>
      <c r="G13" s="119">
        <f t="shared" si="0"/>
        <v>0</v>
      </c>
      <c r="H13" s="120"/>
      <c r="I13" s="74"/>
    </row>
    <row r="14" spans="2:9" x14ac:dyDescent="0.35">
      <c r="B14" s="4"/>
      <c r="C14" s="116" t="s">
        <v>218</v>
      </c>
      <c r="D14" s="117" t="s">
        <v>117</v>
      </c>
      <c r="E14" s="117">
        <v>1E-3</v>
      </c>
      <c r="F14" s="118"/>
      <c r="G14" s="119">
        <f t="shared" si="0"/>
        <v>0</v>
      </c>
      <c r="H14" s="120"/>
      <c r="I14" s="74"/>
    </row>
    <row r="15" spans="2:9" x14ac:dyDescent="0.35">
      <c r="B15" s="4"/>
      <c r="C15" s="116" t="s">
        <v>219</v>
      </c>
      <c r="D15" s="117" t="s">
        <v>117</v>
      </c>
      <c r="E15" s="117">
        <v>1E-3</v>
      </c>
      <c r="F15" s="118"/>
      <c r="G15" s="119">
        <f t="shared" si="0"/>
        <v>0</v>
      </c>
      <c r="H15" s="120"/>
      <c r="I15" s="74"/>
    </row>
    <row r="16" spans="2:9" x14ac:dyDescent="0.35">
      <c r="B16" s="4"/>
      <c r="C16" s="116" t="s">
        <v>220</v>
      </c>
      <c r="D16" s="117" t="s">
        <v>117</v>
      </c>
      <c r="E16" s="117">
        <v>1E-3</v>
      </c>
      <c r="F16" s="118"/>
      <c r="G16" s="119">
        <f t="shared" si="0"/>
        <v>0</v>
      </c>
      <c r="H16" s="120"/>
      <c r="I16" s="74"/>
    </row>
    <row r="17" spans="2:9" x14ac:dyDescent="0.35">
      <c r="B17" s="4"/>
      <c r="C17" s="116" t="s">
        <v>221</v>
      </c>
      <c r="D17" s="117" t="s">
        <v>117</v>
      </c>
      <c r="E17" s="117">
        <v>1E-3</v>
      </c>
      <c r="F17" s="118"/>
      <c r="G17" s="119">
        <f t="shared" si="0"/>
        <v>0</v>
      </c>
      <c r="H17" s="120"/>
      <c r="I17" s="74"/>
    </row>
    <row r="18" spans="2:9" x14ac:dyDescent="0.35">
      <c r="B18" s="4"/>
      <c r="C18" s="116"/>
      <c r="D18" s="117" t="s">
        <v>117</v>
      </c>
      <c r="E18" s="117"/>
      <c r="F18" s="117"/>
      <c r="G18" s="119"/>
      <c r="H18" s="121"/>
      <c r="I18" s="74"/>
    </row>
    <row r="19" spans="2:9" x14ac:dyDescent="0.35">
      <c r="B19" s="4"/>
      <c r="C19" s="116" t="s">
        <v>222</v>
      </c>
      <c r="D19" s="117" t="s">
        <v>117</v>
      </c>
      <c r="E19" s="117">
        <v>0.01</v>
      </c>
      <c r="F19" s="118"/>
      <c r="G19" s="119">
        <f t="shared" ref="G19:G34" si="1">IF(F19/E19&lt;1,0,(F19/E19))</f>
        <v>0</v>
      </c>
      <c r="H19" s="120"/>
      <c r="I19" s="74"/>
    </row>
    <row r="20" spans="2:9" x14ac:dyDescent="0.35">
      <c r="B20" s="4"/>
      <c r="C20" s="116" t="s">
        <v>280</v>
      </c>
      <c r="D20" s="117" t="s">
        <v>117</v>
      </c>
      <c r="E20" s="117">
        <v>0.01</v>
      </c>
      <c r="F20" s="118"/>
      <c r="G20" s="119">
        <f t="shared" si="1"/>
        <v>0</v>
      </c>
      <c r="H20" s="120"/>
      <c r="I20" s="74"/>
    </row>
    <row r="21" spans="2:9" x14ac:dyDescent="0.35">
      <c r="B21" s="4"/>
      <c r="C21" s="116" t="s">
        <v>224</v>
      </c>
      <c r="D21" s="117" t="s">
        <v>117</v>
      </c>
      <c r="E21" s="117">
        <v>0.01</v>
      </c>
      <c r="F21" s="118"/>
      <c r="G21" s="119">
        <f t="shared" si="1"/>
        <v>0</v>
      </c>
      <c r="H21" s="120"/>
      <c r="I21" s="74"/>
    </row>
    <row r="22" spans="2:9" x14ac:dyDescent="0.35">
      <c r="B22" s="4"/>
      <c r="C22" s="116" t="s">
        <v>225</v>
      </c>
      <c r="D22" s="117" t="s">
        <v>117</v>
      </c>
      <c r="E22" s="117">
        <v>0.01</v>
      </c>
      <c r="F22" s="118"/>
      <c r="G22" s="119">
        <f t="shared" si="1"/>
        <v>0</v>
      </c>
      <c r="H22" s="120"/>
      <c r="I22" s="74"/>
    </row>
    <row r="23" spans="2:9" x14ac:dyDescent="0.35">
      <c r="B23" s="4"/>
      <c r="C23" s="116" t="s">
        <v>226</v>
      </c>
      <c r="D23" s="117" t="s">
        <v>117</v>
      </c>
      <c r="E23" s="117">
        <v>0.01</v>
      </c>
      <c r="F23" s="118"/>
      <c r="G23" s="119">
        <f t="shared" si="1"/>
        <v>0</v>
      </c>
      <c r="H23" s="120"/>
      <c r="I23" s="74"/>
    </row>
    <row r="24" spans="2:9" x14ac:dyDescent="0.35">
      <c r="B24" s="4"/>
      <c r="C24" s="116" t="s">
        <v>227</v>
      </c>
      <c r="D24" s="117" t="s">
        <v>117</v>
      </c>
      <c r="E24" s="117">
        <v>0.01</v>
      </c>
      <c r="F24" s="118"/>
      <c r="G24" s="119">
        <f t="shared" si="1"/>
        <v>0</v>
      </c>
      <c r="H24" s="120"/>
      <c r="I24" s="74"/>
    </row>
    <row r="25" spans="2:9" x14ac:dyDescent="0.35">
      <c r="B25" s="4"/>
      <c r="C25" s="116" t="s">
        <v>228</v>
      </c>
      <c r="D25" s="117" t="s">
        <v>117</v>
      </c>
      <c r="E25" s="117">
        <v>0.01</v>
      </c>
      <c r="F25" s="118"/>
      <c r="G25" s="119">
        <f t="shared" si="1"/>
        <v>0</v>
      </c>
      <c r="H25" s="120"/>
      <c r="I25" s="74"/>
    </row>
    <row r="26" spans="2:9" x14ac:dyDescent="0.35">
      <c r="B26" s="4"/>
      <c r="C26" s="116" t="s">
        <v>229</v>
      </c>
      <c r="D26" s="117" t="s">
        <v>117</v>
      </c>
      <c r="E26" s="117">
        <v>0.01</v>
      </c>
      <c r="F26" s="118"/>
      <c r="G26" s="119">
        <f t="shared" si="1"/>
        <v>0</v>
      </c>
      <c r="H26" s="120"/>
      <c r="I26" s="74"/>
    </row>
    <row r="27" spans="2:9" x14ac:dyDescent="0.35">
      <c r="B27" s="4"/>
      <c r="C27" s="116" t="s">
        <v>230</v>
      </c>
      <c r="D27" s="117" t="s">
        <v>117</v>
      </c>
      <c r="E27" s="117">
        <v>0.01</v>
      </c>
      <c r="F27" s="118"/>
      <c r="G27" s="119">
        <f t="shared" si="1"/>
        <v>0</v>
      </c>
      <c r="H27" s="120"/>
      <c r="I27" s="74"/>
    </row>
    <row r="28" spans="2:9" x14ac:dyDescent="0.35">
      <c r="B28" s="4"/>
      <c r="C28" s="116" t="s">
        <v>231</v>
      </c>
      <c r="D28" s="117" t="s">
        <v>117</v>
      </c>
      <c r="E28" s="117">
        <v>0.01</v>
      </c>
      <c r="F28" s="118"/>
      <c r="G28" s="119">
        <f t="shared" si="1"/>
        <v>0</v>
      </c>
      <c r="H28" s="120"/>
      <c r="I28" s="74"/>
    </row>
    <row r="29" spans="2:9" x14ac:dyDescent="0.35">
      <c r="B29" s="4"/>
      <c r="C29" s="116" t="s">
        <v>232</v>
      </c>
      <c r="D29" s="117" t="s">
        <v>117</v>
      </c>
      <c r="E29" s="117">
        <v>0.01</v>
      </c>
      <c r="F29" s="118"/>
      <c r="G29" s="119">
        <f t="shared" si="1"/>
        <v>0</v>
      </c>
      <c r="H29" s="120"/>
      <c r="I29" s="74"/>
    </row>
    <row r="30" spans="2:9" x14ac:dyDescent="0.35">
      <c r="B30" s="4"/>
      <c r="C30" s="116" t="s">
        <v>233</v>
      </c>
      <c r="D30" s="117" t="s">
        <v>117</v>
      </c>
      <c r="E30" s="117">
        <v>0.01</v>
      </c>
      <c r="F30" s="118"/>
      <c r="G30" s="119">
        <f t="shared" si="1"/>
        <v>0</v>
      </c>
      <c r="H30" s="120"/>
      <c r="I30" s="74"/>
    </row>
    <row r="31" spans="2:9" x14ac:dyDescent="0.35">
      <c r="B31" s="4"/>
      <c r="C31" s="116" t="s">
        <v>234</v>
      </c>
      <c r="D31" s="117" t="s">
        <v>117</v>
      </c>
      <c r="E31" s="117">
        <v>0.01</v>
      </c>
      <c r="F31" s="118"/>
      <c r="G31" s="119">
        <f t="shared" si="1"/>
        <v>0</v>
      </c>
      <c r="H31" s="120"/>
      <c r="I31" s="74"/>
    </row>
    <row r="32" spans="2:9" x14ac:dyDescent="0.35">
      <c r="B32" s="4"/>
      <c r="C32" s="116" t="s">
        <v>235</v>
      </c>
      <c r="D32" s="117" t="s">
        <v>117</v>
      </c>
      <c r="E32" s="117">
        <v>0.01</v>
      </c>
      <c r="F32" s="118"/>
      <c r="G32" s="119">
        <f t="shared" si="1"/>
        <v>0</v>
      </c>
      <c r="H32" s="120"/>
      <c r="I32" s="74"/>
    </row>
    <row r="33" spans="2:9" x14ac:dyDescent="0.35">
      <c r="B33" s="4"/>
      <c r="C33" s="116" t="s">
        <v>236</v>
      </c>
      <c r="D33" s="117" t="s">
        <v>117</v>
      </c>
      <c r="E33" s="117">
        <v>0.01</v>
      </c>
      <c r="F33" s="118"/>
      <c r="G33" s="119">
        <f t="shared" si="1"/>
        <v>0</v>
      </c>
      <c r="H33" s="120"/>
      <c r="I33" s="74"/>
    </row>
    <row r="34" spans="2:9" x14ac:dyDescent="0.35">
      <c r="B34" s="4"/>
      <c r="C34" s="116" t="s">
        <v>237</v>
      </c>
      <c r="D34" s="117" t="s">
        <v>117</v>
      </c>
      <c r="E34" s="117">
        <v>0.01</v>
      </c>
      <c r="F34" s="118"/>
      <c r="G34" s="119">
        <f t="shared" si="1"/>
        <v>0</v>
      </c>
      <c r="H34" s="120"/>
      <c r="I34" s="74"/>
    </row>
    <row r="35" spans="2:9" x14ac:dyDescent="0.35">
      <c r="B35" s="4"/>
      <c r="C35" s="116"/>
      <c r="D35" s="117"/>
      <c r="E35" s="117"/>
      <c r="F35" s="117"/>
      <c r="G35" s="119"/>
      <c r="H35" s="121"/>
      <c r="I35" s="74"/>
    </row>
    <row r="36" spans="2:9" x14ac:dyDescent="0.35">
      <c r="B36" s="4"/>
      <c r="C36" s="116" t="s">
        <v>238</v>
      </c>
      <c r="D36" s="117" t="s">
        <v>117</v>
      </c>
      <c r="E36" s="117">
        <v>0.1</v>
      </c>
      <c r="F36" s="118"/>
      <c r="G36" s="119">
        <f>IF(F36/E36&lt;1,0,(F36/E36))</f>
        <v>0</v>
      </c>
      <c r="H36" s="120"/>
      <c r="I36" s="74"/>
    </row>
    <row r="37" spans="2:9" ht="29" x14ac:dyDescent="0.35">
      <c r="B37" s="4"/>
      <c r="C37" s="122" t="s">
        <v>239</v>
      </c>
      <c r="D37" s="117" t="s">
        <v>117</v>
      </c>
      <c r="E37" s="117">
        <v>0.1</v>
      </c>
      <c r="F37" s="118"/>
      <c r="G37" s="119">
        <f>IF(F37/E37&lt;1,0,(F37/E37))</f>
        <v>0</v>
      </c>
      <c r="H37" s="120"/>
      <c r="I37" s="74"/>
    </row>
    <row r="38" spans="2:9" x14ac:dyDescent="0.35">
      <c r="B38" s="4"/>
      <c r="C38" s="122" t="s">
        <v>240</v>
      </c>
      <c r="D38" s="117" t="s">
        <v>117</v>
      </c>
      <c r="E38" s="117">
        <v>0.1</v>
      </c>
      <c r="F38" s="118"/>
      <c r="G38" s="119">
        <f>IF(F38/E38&lt;1,0,(F38/E38))</f>
        <v>0</v>
      </c>
      <c r="H38" s="120"/>
      <c r="I38" s="74"/>
    </row>
    <row r="39" spans="2:9" x14ac:dyDescent="0.35">
      <c r="B39" s="4"/>
      <c r="C39" s="122" t="s">
        <v>241</v>
      </c>
      <c r="D39" s="117" t="s">
        <v>117</v>
      </c>
      <c r="E39" s="117">
        <v>0.1</v>
      </c>
      <c r="F39" s="118"/>
      <c r="G39" s="119">
        <f>IF(F39/E39&lt;1,0,(F39/E39))</f>
        <v>0</v>
      </c>
      <c r="H39" s="120"/>
      <c r="I39" s="74"/>
    </row>
    <row r="40" spans="2:9" x14ac:dyDescent="0.35">
      <c r="B40" s="4"/>
      <c r="C40" s="116"/>
      <c r="D40" s="117"/>
      <c r="E40" s="117"/>
      <c r="F40" s="117"/>
      <c r="G40" s="119"/>
      <c r="H40" s="121"/>
      <c r="I40" s="74"/>
    </row>
    <row r="41" spans="2:9" x14ac:dyDescent="0.35">
      <c r="B41" s="4"/>
      <c r="C41" s="116" t="s">
        <v>141</v>
      </c>
      <c r="D41" s="117" t="s">
        <v>117</v>
      </c>
      <c r="E41" s="117">
        <v>1</v>
      </c>
      <c r="F41" s="118"/>
      <c r="G41" s="119">
        <f t="shared" ref="G41:G61" si="2">IF(F41/E41&lt;1,0,(F41/E41))</f>
        <v>0</v>
      </c>
      <c r="H41" s="120"/>
      <c r="I41" s="74"/>
    </row>
    <row r="42" spans="2:9" x14ac:dyDescent="0.35">
      <c r="B42" s="4"/>
      <c r="C42" s="116" t="s">
        <v>242</v>
      </c>
      <c r="D42" s="117" t="s">
        <v>117</v>
      </c>
      <c r="E42" s="117">
        <v>1</v>
      </c>
      <c r="F42" s="118"/>
      <c r="G42" s="119">
        <f t="shared" si="2"/>
        <v>0</v>
      </c>
      <c r="H42" s="120"/>
      <c r="I42" s="74"/>
    </row>
    <row r="43" spans="2:9" x14ac:dyDescent="0.35">
      <c r="B43" s="4"/>
      <c r="C43" s="116" t="s">
        <v>243</v>
      </c>
      <c r="D43" s="117" t="s">
        <v>117</v>
      </c>
      <c r="E43" s="117">
        <v>1</v>
      </c>
      <c r="F43" s="118"/>
      <c r="G43" s="119">
        <f t="shared" si="2"/>
        <v>0</v>
      </c>
      <c r="H43" s="120"/>
      <c r="I43" s="74"/>
    </row>
    <row r="44" spans="2:9" x14ac:dyDescent="0.35">
      <c r="B44" s="4"/>
      <c r="C44" s="116" t="s">
        <v>244</v>
      </c>
      <c r="D44" s="117" t="s">
        <v>117</v>
      </c>
      <c r="E44" s="117">
        <v>1</v>
      </c>
      <c r="F44" s="118"/>
      <c r="G44" s="119">
        <f t="shared" si="2"/>
        <v>0</v>
      </c>
      <c r="H44" s="120"/>
      <c r="I44" s="74"/>
    </row>
    <row r="45" spans="2:9" x14ac:dyDescent="0.35">
      <c r="B45" s="4"/>
      <c r="C45" s="116" t="s">
        <v>144</v>
      </c>
      <c r="D45" s="117" t="s">
        <v>117</v>
      </c>
      <c r="E45" s="117">
        <v>1</v>
      </c>
      <c r="F45" s="118"/>
      <c r="G45" s="119">
        <f t="shared" si="2"/>
        <v>0</v>
      </c>
      <c r="H45" s="120"/>
      <c r="I45" s="74"/>
    </row>
    <row r="46" spans="2:9" x14ac:dyDescent="0.35">
      <c r="B46" s="4"/>
      <c r="C46" s="116" t="s">
        <v>245</v>
      </c>
      <c r="D46" s="117" t="s">
        <v>117</v>
      </c>
      <c r="E46" s="117">
        <v>1</v>
      </c>
      <c r="F46" s="118"/>
      <c r="G46" s="119">
        <f t="shared" si="2"/>
        <v>0</v>
      </c>
      <c r="H46" s="120"/>
      <c r="I46" s="74"/>
    </row>
    <row r="47" spans="2:9" x14ac:dyDescent="0.35">
      <c r="B47" s="4"/>
      <c r="C47" s="116" t="s">
        <v>246</v>
      </c>
      <c r="D47" s="117" t="s">
        <v>117</v>
      </c>
      <c r="E47" s="117">
        <v>1</v>
      </c>
      <c r="F47" s="118"/>
      <c r="G47" s="119">
        <f t="shared" si="2"/>
        <v>0</v>
      </c>
      <c r="H47" s="120"/>
      <c r="I47" s="74"/>
    </row>
    <row r="48" spans="2:9" x14ac:dyDescent="0.35">
      <c r="B48" s="4"/>
      <c r="C48" s="116" t="s">
        <v>247</v>
      </c>
      <c r="D48" s="117" t="s">
        <v>117</v>
      </c>
      <c r="E48" s="117">
        <v>1</v>
      </c>
      <c r="F48" s="118"/>
      <c r="G48" s="119">
        <f t="shared" si="2"/>
        <v>0</v>
      </c>
      <c r="H48" s="120"/>
      <c r="I48" s="74"/>
    </row>
    <row r="49" spans="2:9" x14ac:dyDescent="0.35">
      <c r="B49" s="4"/>
      <c r="C49" s="116" t="s">
        <v>248</v>
      </c>
      <c r="D49" s="117" t="s">
        <v>117</v>
      </c>
      <c r="E49" s="117">
        <v>1</v>
      </c>
      <c r="F49" s="118"/>
      <c r="G49" s="119">
        <f t="shared" si="2"/>
        <v>0</v>
      </c>
      <c r="H49" s="120"/>
      <c r="I49" s="74"/>
    </row>
    <row r="50" spans="2:9" x14ac:dyDescent="0.35">
      <c r="B50" s="4"/>
      <c r="C50" s="116" t="s">
        <v>249</v>
      </c>
      <c r="D50" s="117" t="s">
        <v>117</v>
      </c>
      <c r="E50" s="117">
        <v>1</v>
      </c>
      <c r="F50" s="118"/>
      <c r="G50" s="119">
        <f t="shared" si="2"/>
        <v>0</v>
      </c>
      <c r="H50" s="120"/>
      <c r="I50" s="74"/>
    </row>
    <row r="51" spans="2:9" x14ac:dyDescent="0.35">
      <c r="B51" s="4"/>
      <c r="C51" s="116" t="s">
        <v>250</v>
      </c>
      <c r="D51" s="117" t="s">
        <v>117</v>
      </c>
      <c r="E51" s="117">
        <v>1</v>
      </c>
      <c r="F51" s="118"/>
      <c r="G51" s="119">
        <f t="shared" si="2"/>
        <v>0</v>
      </c>
      <c r="H51" s="120"/>
      <c r="I51" s="74"/>
    </row>
    <row r="52" spans="2:9" x14ac:dyDescent="0.35">
      <c r="B52" s="4"/>
      <c r="C52" s="116" t="s">
        <v>251</v>
      </c>
      <c r="D52" s="117" t="s">
        <v>117</v>
      </c>
      <c r="E52" s="117">
        <v>1</v>
      </c>
      <c r="F52" s="118"/>
      <c r="G52" s="119">
        <f t="shared" si="2"/>
        <v>0</v>
      </c>
      <c r="H52" s="120"/>
      <c r="I52" s="74"/>
    </row>
    <row r="53" spans="2:9" x14ac:dyDescent="0.35">
      <c r="B53" s="4"/>
      <c r="C53" s="116" t="s">
        <v>252</v>
      </c>
      <c r="D53" s="117" t="s">
        <v>117</v>
      </c>
      <c r="E53" s="117">
        <v>1</v>
      </c>
      <c r="F53" s="118"/>
      <c r="G53" s="119">
        <f t="shared" si="2"/>
        <v>0</v>
      </c>
      <c r="H53" s="120"/>
      <c r="I53" s="74"/>
    </row>
    <row r="54" spans="2:9" x14ac:dyDescent="0.35">
      <c r="B54" s="4"/>
      <c r="C54" s="116" t="s">
        <v>253</v>
      </c>
      <c r="D54" s="117" t="s">
        <v>117</v>
      </c>
      <c r="E54" s="117">
        <v>1</v>
      </c>
      <c r="F54" s="118"/>
      <c r="G54" s="119">
        <f t="shared" si="2"/>
        <v>0</v>
      </c>
      <c r="H54" s="120"/>
      <c r="I54" s="74"/>
    </row>
    <row r="55" spans="2:9" x14ac:dyDescent="0.35">
      <c r="B55" s="4"/>
      <c r="C55" s="116" t="s">
        <v>254</v>
      </c>
      <c r="D55" s="117" t="s">
        <v>117</v>
      </c>
      <c r="E55" s="117">
        <v>1</v>
      </c>
      <c r="F55" s="118"/>
      <c r="G55" s="119">
        <f t="shared" si="2"/>
        <v>0</v>
      </c>
      <c r="H55" s="120"/>
      <c r="I55" s="74"/>
    </row>
    <row r="56" spans="2:9" x14ac:dyDescent="0.35">
      <c r="B56" s="4"/>
      <c r="C56" s="116" t="s">
        <v>255</v>
      </c>
      <c r="D56" s="117" t="s">
        <v>117</v>
      </c>
      <c r="E56" s="117">
        <v>1</v>
      </c>
      <c r="F56" s="118"/>
      <c r="G56" s="119">
        <f t="shared" si="2"/>
        <v>0</v>
      </c>
      <c r="H56" s="120"/>
      <c r="I56" s="74"/>
    </row>
    <row r="57" spans="2:9" x14ac:dyDescent="0.35">
      <c r="B57" s="4"/>
      <c r="C57" s="116" t="s">
        <v>256</v>
      </c>
      <c r="D57" s="117" t="s">
        <v>117</v>
      </c>
      <c r="E57" s="117">
        <v>1</v>
      </c>
      <c r="F57" s="118"/>
      <c r="G57" s="119">
        <f t="shared" si="2"/>
        <v>0</v>
      </c>
      <c r="H57" s="120"/>
      <c r="I57" s="74"/>
    </row>
    <row r="58" spans="2:9" x14ac:dyDescent="0.35">
      <c r="B58" s="4"/>
      <c r="C58" s="116" t="s">
        <v>257</v>
      </c>
      <c r="D58" s="117" t="s">
        <v>117</v>
      </c>
      <c r="E58" s="117">
        <v>1</v>
      </c>
      <c r="F58" s="118"/>
      <c r="G58" s="119">
        <f t="shared" si="2"/>
        <v>0</v>
      </c>
      <c r="H58" s="120"/>
      <c r="I58" s="74"/>
    </row>
    <row r="59" spans="2:9" x14ac:dyDescent="0.35">
      <c r="B59" s="4"/>
      <c r="C59" s="116" t="s">
        <v>258</v>
      </c>
      <c r="D59" s="117" t="s">
        <v>117</v>
      </c>
      <c r="E59" s="117">
        <v>1</v>
      </c>
      <c r="F59" s="118"/>
      <c r="G59" s="119">
        <f t="shared" si="2"/>
        <v>0</v>
      </c>
      <c r="H59" s="120"/>
      <c r="I59" s="74"/>
    </row>
    <row r="60" spans="2:9" x14ac:dyDescent="0.35">
      <c r="B60" s="4"/>
      <c r="C60" s="116" t="s">
        <v>118</v>
      </c>
      <c r="D60" s="117" t="s">
        <v>117</v>
      </c>
      <c r="E60" s="117">
        <v>1</v>
      </c>
      <c r="F60" s="118"/>
      <c r="G60" s="119">
        <f t="shared" si="2"/>
        <v>0</v>
      </c>
      <c r="H60" s="120"/>
      <c r="I60" s="74"/>
    </row>
    <row r="61" spans="2:9" x14ac:dyDescent="0.35">
      <c r="B61" s="4"/>
      <c r="C61" s="116" t="s">
        <v>120</v>
      </c>
      <c r="D61" s="117" t="s">
        <v>117</v>
      </c>
      <c r="E61" s="117">
        <v>1</v>
      </c>
      <c r="F61" s="118"/>
      <c r="G61" s="119">
        <f t="shared" si="2"/>
        <v>0</v>
      </c>
      <c r="H61" s="120"/>
      <c r="I61" s="74"/>
    </row>
    <row r="62" spans="2:9" x14ac:dyDescent="0.35">
      <c r="B62" s="4"/>
      <c r="C62" s="116"/>
      <c r="D62" s="117"/>
      <c r="E62" s="117"/>
      <c r="F62" s="117"/>
      <c r="G62" s="119"/>
      <c r="H62" s="121"/>
      <c r="I62" s="74"/>
    </row>
    <row r="63" spans="2:9" x14ac:dyDescent="0.35">
      <c r="B63" s="4"/>
      <c r="C63" s="116" t="s">
        <v>259</v>
      </c>
      <c r="D63" s="117" t="s">
        <v>117</v>
      </c>
      <c r="E63" s="117">
        <v>20</v>
      </c>
      <c r="F63" s="118"/>
      <c r="G63" s="119">
        <f t="shared" ref="G63:G74" si="3">IF(F63/E63&lt;1,0,(F63/E63))</f>
        <v>0</v>
      </c>
      <c r="H63" s="120"/>
      <c r="I63" s="74"/>
    </row>
    <row r="64" spans="2:9" x14ac:dyDescent="0.35">
      <c r="B64" s="4"/>
      <c r="C64" s="116" t="s">
        <v>260</v>
      </c>
      <c r="D64" s="117" t="s">
        <v>117</v>
      </c>
      <c r="E64" s="117">
        <v>20</v>
      </c>
      <c r="F64" s="118"/>
      <c r="G64" s="119">
        <f t="shared" si="3"/>
        <v>0</v>
      </c>
      <c r="H64" s="120"/>
      <c r="I64" s="74"/>
    </row>
    <row r="65" spans="2:9" x14ac:dyDescent="0.35">
      <c r="B65" s="4"/>
      <c r="C65" s="116" t="s">
        <v>261</v>
      </c>
      <c r="D65" s="117" t="s">
        <v>117</v>
      </c>
      <c r="E65" s="117">
        <v>20</v>
      </c>
      <c r="F65" s="118"/>
      <c r="G65" s="119">
        <f t="shared" si="3"/>
        <v>0</v>
      </c>
      <c r="H65" s="120"/>
      <c r="I65" s="74"/>
    </row>
    <row r="66" spans="2:9" x14ac:dyDescent="0.35">
      <c r="B66" s="4"/>
      <c r="C66" s="116" t="s">
        <v>262</v>
      </c>
      <c r="D66" s="117" t="s">
        <v>117</v>
      </c>
      <c r="E66" s="117">
        <v>20</v>
      </c>
      <c r="F66" s="118"/>
      <c r="G66" s="119">
        <f t="shared" si="3"/>
        <v>0</v>
      </c>
      <c r="H66" s="120"/>
      <c r="I66" s="74"/>
    </row>
    <row r="67" spans="2:9" x14ac:dyDescent="0.35">
      <c r="B67" s="4"/>
      <c r="C67" s="116" t="s">
        <v>187</v>
      </c>
      <c r="D67" s="117" t="s">
        <v>117</v>
      </c>
      <c r="E67" s="117">
        <v>20</v>
      </c>
      <c r="F67" s="118"/>
      <c r="G67" s="119">
        <f t="shared" si="3"/>
        <v>0</v>
      </c>
      <c r="H67" s="120"/>
      <c r="I67" s="74"/>
    </row>
    <row r="68" spans="2:9" x14ac:dyDescent="0.35">
      <c r="B68" s="4"/>
      <c r="C68" s="116" t="s">
        <v>263</v>
      </c>
      <c r="D68" s="117" t="s">
        <v>117</v>
      </c>
      <c r="E68" s="117">
        <v>20</v>
      </c>
      <c r="F68" s="118"/>
      <c r="G68" s="119">
        <f t="shared" si="3"/>
        <v>0</v>
      </c>
      <c r="H68" s="120"/>
      <c r="I68" s="74"/>
    </row>
    <row r="69" spans="2:9" x14ac:dyDescent="0.35">
      <c r="B69" s="4"/>
      <c r="C69" s="116" t="s">
        <v>122</v>
      </c>
      <c r="D69" s="117" t="s">
        <v>117</v>
      </c>
      <c r="E69" s="117">
        <v>20</v>
      </c>
      <c r="F69" s="118"/>
      <c r="G69" s="119">
        <f t="shared" si="3"/>
        <v>0</v>
      </c>
      <c r="H69" s="120"/>
      <c r="I69" s="74"/>
    </row>
    <row r="70" spans="2:9" x14ac:dyDescent="0.35">
      <c r="B70" s="4"/>
      <c r="C70" s="116" t="s">
        <v>123</v>
      </c>
      <c r="D70" s="117" t="s">
        <v>117</v>
      </c>
      <c r="E70" s="117">
        <v>20</v>
      </c>
      <c r="F70" s="118"/>
      <c r="G70" s="119">
        <f t="shared" si="3"/>
        <v>0</v>
      </c>
      <c r="H70" s="120"/>
      <c r="I70" s="74"/>
    </row>
    <row r="71" spans="2:9" x14ac:dyDescent="0.35">
      <c r="B71" s="4"/>
      <c r="C71" s="116" t="s">
        <v>127</v>
      </c>
      <c r="D71" s="117" t="s">
        <v>117</v>
      </c>
      <c r="E71" s="117">
        <v>20</v>
      </c>
      <c r="F71" s="118"/>
      <c r="G71" s="119">
        <f t="shared" si="3"/>
        <v>0</v>
      </c>
      <c r="H71" s="120"/>
      <c r="I71" s="74"/>
    </row>
    <row r="72" spans="2:9" x14ac:dyDescent="0.35">
      <c r="B72" s="4"/>
      <c r="C72" s="116" t="s">
        <v>119</v>
      </c>
      <c r="D72" s="117" t="s">
        <v>117</v>
      </c>
      <c r="E72" s="117">
        <v>20</v>
      </c>
      <c r="F72" s="118"/>
      <c r="G72" s="119">
        <f t="shared" si="3"/>
        <v>0</v>
      </c>
      <c r="H72" s="120"/>
      <c r="I72" s="74"/>
    </row>
    <row r="73" spans="2:9" x14ac:dyDescent="0.35">
      <c r="B73" s="4"/>
      <c r="C73" s="116" t="s">
        <v>124</v>
      </c>
      <c r="D73" s="117" t="s">
        <v>117</v>
      </c>
      <c r="E73" s="117">
        <v>20</v>
      </c>
      <c r="F73" s="118"/>
      <c r="G73" s="119">
        <f t="shared" si="3"/>
        <v>0</v>
      </c>
      <c r="H73" s="120"/>
      <c r="I73" s="74"/>
    </row>
    <row r="74" spans="2:9" x14ac:dyDescent="0.35">
      <c r="B74" s="4"/>
      <c r="C74" s="116" t="s">
        <v>128</v>
      </c>
      <c r="D74" s="117" t="s">
        <v>117</v>
      </c>
      <c r="E74" s="117">
        <v>20</v>
      </c>
      <c r="F74" s="118"/>
      <c r="G74" s="119">
        <f t="shared" si="3"/>
        <v>0</v>
      </c>
      <c r="H74" s="120"/>
      <c r="I74" s="74"/>
    </row>
    <row r="75" spans="2:9" x14ac:dyDescent="0.35">
      <c r="B75" s="4"/>
      <c r="C75" s="116"/>
      <c r="D75" s="117"/>
      <c r="E75" s="117"/>
      <c r="F75" s="117"/>
      <c r="G75" s="119"/>
      <c r="H75" s="121"/>
      <c r="I75" s="74"/>
    </row>
    <row r="76" spans="2:9" x14ac:dyDescent="0.35">
      <c r="B76" s="4"/>
      <c r="C76" s="805" t="s">
        <v>264</v>
      </c>
      <c r="D76" s="806"/>
      <c r="E76" s="806"/>
      <c r="F76" s="807"/>
      <c r="G76" s="119"/>
      <c r="H76" s="121"/>
      <c r="I76" s="74"/>
    </row>
    <row r="77" spans="2:9" x14ac:dyDescent="0.35">
      <c r="B77" s="4"/>
      <c r="C77" s="116" t="s">
        <v>281</v>
      </c>
      <c r="D77" s="117" t="s">
        <v>117</v>
      </c>
      <c r="E77" s="117">
        <v>10000</v>
      </c>
      <c r="F77" s="118"/>
      <c r="G77" s="119">
        <f>IF(F77/E77&lt;1,0,(F77/E77))</f>
        <v>0</v>
      </c>
      <c r="H77" s="120"/>
      <c r="I77" s="74"/>
    </row>
    <row r="78" spans="2:9" x14ac:dyDescent="0.35">
      <c r="B78" s="4"/>
      <c r="C78" s="116" t="s">
        <v>282</v>
      </c>
      <c r="D78" s="117" t="s">
        <v>117</v>
      </c>
      <c r="E78" s="117">
        <v>10000</v>
      </c>
      <c r="F78" s="118"/>
      <c r="G78" s="119">
        <f>IF(F78/E78&lt;1,0,(F78/E78))</f>
        <v>0</v>
      </c>
      <c r="H78" s="120"/>
      <c r="I78" s="74"/>
    </row>
    <row r="79" spans="2:9" x14ac:dyDescent="0.35">
      <c r="B79" s="4"/>
      <c r="C79" s="125" t="s">
        <v>283</v>
      </c>
      <c r="D79" s="117" t="s">
        <v>117</v>
      </c>
      <c r="E79" s="117">
        <v>0.01</v>
      </c>
      <c r="F79" s="118"/>
      <c r="G79" s="119">
        <f t="shared" ref="G79:G84" si="4">IF(E79&gt;0,IF(F79/E79&lt;1,0,(F79/E79)),)</f>
        <v>0</v>
      </c>
      <c r="H79" s="120"/>
      <c r="I79" s="74"/>
    </row>
    <row r="80" spans="2:9" x14ac:dyDescent="0.35">
      <c r="B80" s="4"/>
      <c r="C80" s="125" t="s">
        <v>284</v>
      </c>
      <c r="D80" s="117" t="s">
        <v>117</v>
      </c>
      <c r="E80" s="117">
        <v>0.1</v>
      </c>
      <c r="F80" s="118"/>
      <c r="G80" s="119">
        <f t="shared" si="4"/>
        <v>0</v>
      </c>
      <c r="H80" s="120"/>
      <c r="I80" s="74"/>
    </row>
    <row r="81" spans="2:9" x14ac:dyDescent="0.35">
      <c r="B81" s="4"/>
      <c r="C81" s="125" t="s">
        <v>285</v>
      </c>
      <c r="D81" s="117" t="s">
        <v>117</v>
      </c>
      <c r="E81" s="117">
        <v>1</v>
      </c>
      <c r="F81" s="118"/>
      <c r="G81" s="119">
        <f t="shared" si="4"/>
        <v>0</v>
      </c>
      <c r="H81" s="120"/>
      <c r="I81" s="74"/>
    </row>
    <row r="82" spans="2:9" x14ac:dyDescent="0.35">
      <c r="B82" s="4"/>
      <c r="C82" s="125" t="s">
        <v>286</v>
      </c>
      <c r="D82" s="117" t="s">
        <v>117</v>
      </c>
      <c r="E82" s="117">
        <v>20</v>
      </c>
      <c r="F82" s="118"/>
      <c r="G82" s="119">
        <f t="shared" si="4"/>
        <v>0</v>
      </c>
      <c r="H82" s="120"/>
      <c r="I82" s="74"/>
    </row>
    <row r="83" spans="2:9" x14ac:dyDescent="0.35">
      <c r="B83" s="4"/>
      <c r="C83" s="125" t="s">
        <v>287</v>
      </c>
      <c r="D83" s="117" t="s">
        <v>117</v>
      </c>
      <c r="E83" s="117">
        <v>100</v>
      </c>
      <c r="F83" s="118"/>
      <c r="G83" s="119">
        <f t="shared" si="4"/>
        <v>0</v>
      </c>
      <c r="H83" s="120"/>
      <c r="I83" s="74"/>
    </row>
    <row r="84" spans="2:9" x14ac:dyDescent="0.35">
      <c r="B84" s="4"/>
      <c r="C84" s="125"/>
      <c r="D84" s="117" t="s">
        <v>117</v>
      </c>
      <c r="E84" s="117"/>
      <c r="F84" s="118"/>
      <c r="G84" s="119">
        <f t="shared" si="4"/>
        <v>0</v>
      </c>
      <c r="H84" s="120"/>
      <c r="I84" s="74"/>
    </row>
    <row r="85" spans="2:9" ht="35.25" customHeight="1" x14ac:dyDescent="0.35">
      <c r="B85" s="4"/>
      <c r="C85" s="808" t="s">
        <v>291</v>
      </c>
      <c r="D85" s="809"/>
      <c r="E85" s="809"/>
      <c r="F85" s="809"/>
      <c r="G85" s="809"/>
      <c r="H85" s="810"/>
      <c r="I85" s="74"/>
    </row>
    <row r="86" spans="2:9" x14ac:dyDescent="0.35">
      <c r="B86" s="4"/>
      <c r="C86" s="116" t="s">
        <v>89</v>
      </c>
      <c r="D86" s="117" t="s">
        <v>89</v>
      </c>
      <c r="E86" s="126" t="s">
        <v>89</v>
      </c>
      <c r="F86" s="118"/>
      <c r="G86" s="119">
        <v>0</v>
      </c>
      <c r="H86" s="120"/>
      <c r="I86" s="74"/>
    </row>
    <row r="87" spans="2:9" x14ac:dyDescent="0.35">
      <c r="B87" s="4"/>
      <c r="C87" s="116" t="s">
        <v>89</v>
      </c>
      <c r="D87" s="117" t="s">
        <v>89</v>
      </c>
      <c r="E87" s="126" t="s">
        <v>89</v>
      </c>
      <c r="F87" s="118"/>
      <c r="G87" s="119">
        <v>0</v>
      </c>
      <c r="H87" s="120"/>
      <c r="I87" s="74"/>
    </row>
    <row r="88" spans="2:9" x14ac:dyDescent="0.35">
      <c r="B88" s="4"/>
      <c r="C88" s="116" t="s">
        <v>89</v>
      </c>
      <c r="D88" s="117" t="s">
        <v>89</v>
      </c>
      <c r="E88" s="126" t="s">
        <v>89</v>
      </c>
      <c r="F88" s="118"/>
      <c r="G88" s="119">
        <v>0</v>
      </c>
      <c r="H88" s="120"/>
      <c r="I88" s="74"/>
    </row>
    <row r="89" spans="2:9" x14ac:dyDescent="0.35">
      <c r="B89" s="4"/>
      <c r="C89" s="116" t="s">
        <v>89</v>
      </c>
      <c r="D89" s="117" t="s">
        <v>89</v>
      </c>
      <c r="E89" s="126" t="s">
        <v>89</v>
      </c>
      <c r="F89" s="118"/>
      <c r="G89" s="119">
        <v>0</v>
      </c>
      <c r="H89" s="120"/>
      <c r="I89" s="74"/>
    </row>
    <row r="90" spans="2:9" x14ac:dyDescent="0.35">
      <c r="B90" s="4"/>
      <c r="C90" s="142"/>
      <c r="D90" s="143"/>
      <c r="E90" s="801" t="s">
        <v>100</v>
      </c>
      <c r="F90" s="802"/>
      <c r="G90" s="119">
        <f>SUM(G8:G89)</f>
        <v>0</v>
      </c>
      <c r="H90" s="144"/>
      <c r="I90" s="74"/>
    </row>
    <row r="91" spans="2:9" x14ac:dyDescent="0.35">
      <c r="B91" s="4"/>
      <c r="C91" s="68"/>
      <c r="D91" s="145"/>
      <c r="E91" s="146" t="s">
        <v>288</v>
      </c>
      <c r="F91" s="146"/>
      <c r="G91" s="147">
        <v>0.33</v>
      </c>
      <c r="H91" s="148" t="s">
        <v>289</v>
      </c>
      <c r="I91" s="74"/>
    </row>
    <row r="92" spans="2:9" x14ac:dyDescent="0.35">
      <c r="B92" s="464"/>
      <c r="C92" s="465"/>
      <c r="D92" s="156"/>
      <c r="E92" s="803" t="s">
        <v>290</v>
      </c>
      <c r="F92" s="804"/>
      <c r="G92" s="129">
        <f>G90*G91</f>
        <v>0</v>
      </c>
      <c r="H92" s="466"/>
      <c r="I92" s="467"/>
    </row>
  </sheetData>
  <sheetProtection algorithmName="SHA-512" hashValue="q+AexGmX5Vbpt4mmbCvb4wjTS8sfEUcWj8hVAxJDhT9QUdTwLSuyUEZ50Vv+V3d+TS3LSJ64AEb9OqboyJTViA==" saltValue="yhberTFUlaRiWdolxPLQ4g=="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177800</xdr:rowOff>
                  </from>
                  <to>
                    <xdr:col>6</xdr:col>
                    <xdr:colOff>158750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F31" sqref="F31"/>
    </sheetView>
  </sheetViews>
  <sheetFormatPr defaultRowHeight="14.5" x14ac:dyDescent="0.35"/>
  <cols>
    <col min="3" max="3" width="19.453125" customWidth="1"/>
    <col min="4" max="4" width="19.54296875" customWidth="1"/>
    <col min="5" max="5" width="11.453125" customWidth="1"/>
    <col min="6" max="6" width="10.6328125" customWidth="1"/>
    <col min="8" max="8" width="24.36328125" customWidth="1"/>
  </cols>
  <sheetData>
    <row r="2" spans="2:9" ht="15" thickBot="1" x14ac:dyDescent="0.4"/>
    <row r="3" spans="2:9" ht="18.5" thickBot="1" x14ac:dyDescent="0.4">
      <c r="B3" s="149"/>
      <c r="C3" s="814" t="s">
        <v>292</v>
      </c>
      <c r="D3" s="814"/>
      <c r="E3" s="814"/>
      <c r="F3" s="814"/>
      <c r="G3" s="814"/>
      <c r="H3" s="814"/>
      <c r="I3" s="150"/>
    </row>
    <row r="4" spans="2:9" x14ac:dyDescent="0.35">
      <c r="B4" s="4"/>
      <c r="C4" s="5"/>
      <c r="D4" s="5"/>
      <c r="E4" s="5"/>
      <c r="F4" s="5"/>
      <c r="G4" s="5"/>
      <c r="H4" s="61"/>
      <c r="I4" s="6"/>
    </row>
    <row r="5" spans="2:9" x14ac:dyDescent="0.35">
      <c r="B5" s="4"/>
      <c r="C5" s="12" t="s">
        <v>754</v>
      </c>
      <c r="D5" s="32" t="str">
        <f>+Introduction!E10</f>
        <v>Dairy Partners (Cymru Wales) Ltd</v>
      </c>
      <c r="E5" s="5"/>
      <c r="F5" s="784" t="s">
        <v>104</v>
      </c>
      <c r="G5" s="785"/>
      <c r="H5" s="795"/>
      <c r="I5" s="6"/>
    </row>
    <row r="6" spans="2:9" x14ac:dyDescent="0.35">
      <c r="B6" s="4"/>
      <c r="C6" s="12" t="s">
        <v>30</v>
      </c>
      <c r="D6" s="32" t="str">
        <f>+Introduction!K10</f>
        <v>WP3231NB</v>
      </c>
      <c r="E6" s="5"/>
      <c r="F6" s="787"/>
      <c r="G6" s="788"/>
      <c r="H6" s="796"/>
      <c r="I6" s="6"/>
    </row>
    <row r="7" spans="2:9" x14ac:dyDescent="0.35">
      <c r="B7" s="4"/>
      <c r="C7" s="5"/>
      <c r="D7" s="5"/>
      <c r="E7" s="5"/>
      <c r="F7" s="5"/>
      <c r="G7" s="5"/>
      <c r="H7" s="61"/>
      <c r="I7" s="6"/>
    </row>
    <row r="8" spans="2:9" ht="26.5" x14ac:dyDescent="0.35">
      <c r="B8" s="4"/>
      <c r="C8" s="12" t="s">
        <v>106</v>
      </c>
      <c r="D8" s="12" t="s">
        <v>107</v>
      </c>
      <c r="E8" s="141" t="s">
        <v>108</v>
      </c>
      <c r="F8" s="141" t="s">
        <v>109</v>
      </c>
      <c r="G8" s="141" t="s">
        <v>110</v>
      </c>
      <c r="H8" s="141" t="s">
        <v>111</v>
      </c>
      <c r="I8" s="6"/>
    </row>
    <row r="9" spans="2:9" x14ac:dyDescent="0.35">
      <c r="B9" s="4"/>
      <c r="C9" s="111" t="s">
        <v>272</v>
      </c>
      <c r="D9" s="112" t="s">
        <v>273</v>
      </c>
      <c r="E9" s="112">
        <v>1000</v>
      </c>
      <c r="F9" s="118"/>
      <c r="G9" s="114">
        <f>IF(F9/E9&lt;1,0,(F9/E9))</f>
        <v>0</v>
      </c>
      <c r="H9" s="151"/>
      <c r="I9" s="6"/>
    </row>
    <row r="10" spans="2:9" ht="29" x14ac:dyDescent="0.35">
      <c r="B10" s="4"/>
      <c r="C10" s="122" t="s">
        <v>274</v>
      </c>
      <c r="D10" s="117" t="s">
        <v>273</v>
      </c>
      <c r="E10" s="117">
        <v>350</v>
      </c>
      <c r="F10" s="118"/>
      <c r="G10" s="119">
        <f>IF(F10/E10&lt;1,0,(F10/E10))</f>
        <v>0</v>
      </c>
      <c r="H10" s="139"/>
      <c r="I10" s="6"/>
    </row>
    <row r="11" spans="2:9" x14ac:dyDescent="0.35">
      <c r="B11" s="4"/>
      <c r="C11" s="116" t="s">
        <v>275</v>
      </c>
      <c r="D11" s="117" t="s">
        <v>273</v>
      </c>
      <c r="E11" s="117">
        <v>100</v>
      </c>
      <c r="F11" s="118"/>
      <c r="G11" s="119">
        <f>IF(F11/E11&lt;1,0,(F11/E11))</f>
        <v>0</v>
      </c>
      <c r="H11" s="139"/>
      <c r="I11" s="6"/>
    </row>
    <row r="12" spans="2:9" ht="29" x14ac:dyDescent="0.35">
      <c r="B12" s="4"/>
      <c r="C12" s="122" t="s">
        <v>276</v>
      </c>
      <c r="D12" s="117" t="s">
        <v>273</v>
      </c>
      <c r="E12" s="117">
        <v>100</v>
      </c>
      <c r="F12" s="118"/>
      <c r="G12" s="119">
        <f>IF(F12/E12&lt;1,0,(F12/E12))</f>
        <v>0</v>
      </c>
      <c r="H12" s="139"/>
      <c r="I12" s="6"/>
    </row>
    <row r="13" spans="2:9" x14ac:dyDescent="0.35">
      <c r="B13" s="4"/>
      <c r="C13" s="142"/>
      <c r="D13" s="143"/>
      <c r="E13" s="815" t="s">
        <v>100</v>
      </c>
      <c r="F13" s="816"/>
      <c r="G13" s="119">
        <f>SUM(G9:G12)</f>
        <v>0</v>
      </c>
      <c r="H13" s="153"/>
      <c r="I13" s="6"/>
    </row>
    <row r="14" spans="2:9" x14ac:dyDescent="0.35">
      <c r="B14" s="4"/>
      <c r="C14" s="68"/>
      <c r="D14" s="145"/>
      <c r="E14" s="815" t="s">
        <v>288</v>
      </c>
      <c r="F14" s="816"/>
      <c r="G14" s="147">
        <v>0.33</v>
      </c>
      <c r="H14" s="154" t="s">
        <v>289</v>
      </c>
      <c r="I14" s="6"/>
    </row>
    <row r="15" spans="2:9" x14ac:dyDescent="0.35">
      <c r="B15" s="4"/>
      <c r="C15" s="155"/>
      <c r="D15" s="156"/>
      <c r="E15" s="817" t="s">
        <v>290</v>
      </c>
      <c r="F15" s="818"/>
      <c r="G15" s="129">
        <f>G13*G14</f>
        <v>0</v>
      </c>
      <c r="H15" s="157"/>
      <c r="I15" s="6"/>
    </row>
    <row r="16" spans="2:9" x14ac:dyDescent="0.35">
      <c r="B16" s="4"/>
      <c r="C16" s="5"/>
      <c r="D16" s="5"/>
      <c r="E16" s="5"/>
      <c r="F16" s="5"/>
      <c r="G16" s="5"/>
      <c r="H16" s="61"/>
      <c r="I16" s="6"/>
    </row>
    <row r="17" spans="2:9" ht="15" thickBot="1" x14ac:dyDescent="0.4">
      <c r="B17" s="8"/>
      <c r="C17" s="9"/>
      <c r="D17" s="9"/>
      <c r="E17" s="9"/>
      <c r="F17" s="9"/>
      <c r="G17" s="9"/>
      <c r="H17" s="158"/>
      <c r="I17" s="10"/>
    </row>
    <row r="18" spans="2:9" x14ac:dyDescent="0.35">
      <c r="H18" s="159"/>
    </row>
    <row r="19" spans="2:9" x14ac:dyDescent="0.35">
      <c r="H19" s="159"/>
    </row>
    <row r="20" spans="2:9" x14ac:dyDescent="0.35">
      <c r="B20" s="811"/>
      <c r="C20" s="812"/>
      <c r="D20" s="812"/>
      <c r="E20" s="812"/>
      <c r="F20" s="812"/>
      <c r="G20" s="812"/>
      <c r="H20" s="812"/>
      <c r="I20" s="813"/>
    </row>
    <row r="21" spans="2:9" ht="15" thickBot="1" x14ac:dyDescent="0.4">
      <c r="H21" s="159"/>
    </row>
    <row r="22" spans="2:9" ht="18.5" thickBot="1" x14ac:dyDescent="0.4">
      <c r="B22" s="149"/>
      <c r="C22" s="814" t="s">
        <v>293</v>
      </c>
      <c r="D22" s="814"/>
      <c r="E22" s="814"/>
      <c r="F22" s="814"/>
      <c r="G22" s="814"/>
      <c r="H22" s="814"/>
      <c r="I22" s="150"/>
    </row>
    <row r="23" spans="2:9" x14ac:dyDescent="0.35">
      <c r="B23" s="4"/>
      <c r="C23" s="5"/>
      <c r="D23" s="5"/>
      <c r="E23" s="5"/>
      <c r="F23" s="5"/>
      <c r="G23" s="5"/>
      <c r="H23" s="61"/>
      <c r="I23" s="6"/>
    </row>
    <row r="24" spans="2:9" x14ac:dyDescent="0.35">
      <c r="B24" s="4"/>
      <c r="C24" s="12" t="s">
        <v>754</v>
      </c>
      <c r="D24" s="32" t="str">
        <f>D5</f>
        <v>Dairy Partners (Cymru Wales) Ltd</v>
      </c>
      <c r="E24" s="5"/>
      <c r="F24" s="784" t="s">
        <v>104</v>
      </c>
      <c r="G24" s="785"/>
      <c r="H24" s="795"/>
      <c r="I24" s="6"/>
    </row>
    <row r="25" spans="2:9" x14ac:dyDescent="0.35">
      <c r="B25" s="4"/>
      <c r="C25" s="12" t="s">
        <v>30</v>
      </c>
      <c r="D25" s="32" t="str">
        <f>D6</f>
        <v>WP3231NB</v>
      </c>
      <c r="E25" s="5"/>
      <c r="F25" s="787"/>
      <c r="G25" s="788"/>
      <c r="H25" s="796"/>
      <c r="I25" s="6"/>
    </row>
    <row r="26" spans="2:9" x14ac:dyDescent="0.35">
      <c r="B26" s="4"/>
      <c r="C26" s="5"/>
      <c r="D26" s="5"/>
      <c r="E26" s="5"/>
      <c r="F26" s="5"/>
      <c r="G26" s="5"/>
      <c r="H26" s="61"/>
      <c r="I26" s="6"/>
    </row>
    <row r="27" spans="2:9" ht="26.5" x14ac:dyDescent="0.35">
      <c r="B27" s="4"/>
      <c r="C27" s="12" t="s">
        <v>106</v>
      </c>
      <c r="D27" s="12" t="s">
        <v>107</v>
      </c>
      <c r="E27" s="141" t="s">
        <v>108</v>
      </c>
      <c r="F27" s="141" t="s">
        <v>109</v>
      </c>
      <c r="G27" s="141" t="s">
        <v>110</v>
      </c>
      <c r="H27" s="141" t="s">
        <v>111</v>
      </c>
      <c r="I27" s="6"/>
    </row>
    <row r="28" spans="2:9" x14ac:dyDescent="0.35">
      <c r="B28" s="4"/>
      <c r="C28" s="111" t="s">
        <v>272</v>
      </c>
      <c r="D28" s="112" t="s">
        <v>273</v>
      </c>
      <c r="E28" s="112">
        <v>1000</v>
      </c>
      <c r="F28" s="113"/>
      <c r="G28" s="114">
        <f>IF(F28/E28&lt;1,0,(F28/E28))</f>
        <v>0</v>
      </c>
      <c r="H28" s="160"/>
      <c r="I28" s="6"/>
    </row>
    <row r="29" spans="2:9" ht="29" x14ac:dyDescent="0.35">
      <c r="B29" s="4"/>
      <c r="C29" s="122" t="s">
        <v>274</v>
      </c>
      <c r="D29" s="117" t="s">
        <v>273</v>
      </c>
      <c r="E29" s="117">
        <v>350</v>
      </c>
      <c r="F29" s="118"/>
      <c r="G29" s="119">
        <f>IF(F29/E29&lt;1,0,(F29/E29))</f>
        <v>0</v>
      </c>
      <c r="H29" s="152"/>
      <c r="I29" s="6"/>
    </row>
    <row r="30" spans="2:9" x14ac:dyDescent="0.35">
      <c r="B30" s="4"/>
      <c r="C30" s="116" t="s">
        <v>275</v>
      </c>
      <c r="D30" s="117" t="s">
        <v>273</v>
      </c>
      <c r="E30" s="117">
        <v>100</v>
      </c>
      <c r="F30" s="118"/>
      <c r="G30" s="119">
        <f>IF(F30/E30&lt;1,0,(F30/E30))</f>
        <v>0</v>
      </c>
      <c r="H30" s="152"/>
      <c r="I30" s="6"/>
    </row>
    <row r="31" spans="2:9" ht="29" x14ac:dyDescent="0.35">
      <c r="B31" s="4"/>
      <c r="C31" s="122" t="s">
        <v>276</v>
      </c>
      <c r="D31" s="117" t="s">
        <v>273</v>
      </c>
      <c r="E31" s="117">
        <v>100</v>
      </c>
      <c r="F31" s="118">
        <v>4923.78</v>
      </c>
      <c r="G31" s="119">
        <f>IF(F31/E31&lt;1,0,(F31/E31))</f>
        <v>49.2378</v>
      </c>
      <c r="H31" s="152" t="s">
        <v>779</v>
      </c>
      <c r="I31" s="6"/>
    </row>
    <row r="32" spans="2:9" x14ac:dyDescent="0.35">
      <c r="B32" s="4"/>
      <c r="C32" s="161"/>
      <c r="D32" s="143"/>
      <c r="E32" s="162"/>
      <c r="F32" s="123"/>
      <c r="G32" s="163"/>
      <c r="H32" s="153"/>
      <c r="I32" s="6"/>
    </row>
    <row r="33" spans="2:9" x14ac:dyDescent="0.35">
      <c r="B33" s="4"/>
      <c r="C33" s="68"/>
      <c r="D33" s="145"/>
      <c r="E33" s="815" t="s">
        <v>100</v>
      </c>
      <c r="F33" s="816"/>
      <c r="G33" s="119">
        <f>SUM(G28:G31)</f>
        <v>49.2378</v>
      </c>
      <c r="H33" s="154"/>
      <c r="I33" s="6"/>
    </row>
    <row r="34" spans="2:9" x14ac:dyDescent="0.35">
      <c r="B34" s="4"/>
      <c r="C34" s="68"/>
      <c r="D34" s="145"/>
      <c r="E34" s="815" t="s">
        <v>288</v>
      </c>
      <c r="F34" s="816"/>
      <c r="G34" s="164">
        <v>0.1</v>
      </c>
      <c r="H34" s="154" t="s">
        <v>294</v>
      </c>
      <c r="I34" s="6"/>
    </row>
    <row r="35" spans="2:9" x14ac:dyDescent="0.35">
      <c r="B35" s="4"/>
      <c r="C35" s="155"/>
      <c r="D35" s="156"/>
      <c r="E35" s="817" t="s">
        <v>290</v>
      </c>
      <c r="F35" s="818"/>
      <c r="G35" s="129">
        <f>G33*G34</f>
        <v>4.9237800000000007</v>
      </c>
      <c r="H35" s="157"/>
      <c r="I35" s="6"/>
    </row>
    <row r="36" spans="2:9" x14ac:dyDescent="0.35">
      <c r="B36" s="4"/>
      <c r="C36" s="165"/>
      <c r="D36" s="77"/>
      <c r="E36" s="166" t="s">
        <v>295</v>
      </c>
      <c r="F36" s="166"/>
      <c r="G36" s="167">
        <f>G15+G35</f>
        <v>4.9237800000000007</v>
      </c>
      <c r="H36" s="168"/>
      <c r="I36" s="6"/>
    </row>
    <row r="37" spans="2:9" ht="15" thickBot="1" x14ac:dyDescent="0.4">
      <c r="B37" s="8"/>
      <c r="C37" s="9"/>
      <c r="D37" s="9"/>
      <c r="E37" s="9"/>
      <c r="F37" s="9"/>
      <c r="G37" s="9"/>
      <c r="H37" s="158"/>
      <c r="I37" s="10"/>
    </row>
    <row r="38" spans="2:9" x14ac:dyDescent="0.35">
      <c r="H38" s="159"/>
    </row>
    <row r="39" spans="2:9" ht="27.75" customHeight="1" x14ac:dyDescent="0.35">
      <c r="B39" s="819" t="s">
        <v>296</v>
      </c>
      <c r="C39" s="820"/>
      <c r="D39" s="820"/>
      <c r="E39" s="820"/>
      <c r="F39" s="820"/>
      <c r="G39" s="820"/>
      <c r="H39" s="820"/>
      <c r="I39" s="821"/>
    </row>
    <row r="40" spans="2:9" ht="15" thickBot="1" x14ac:dyDescent="0.4">
      <c r="H40" s="159"/>
    </row>
    <row r="41" spans="2:9" ht="18.5" thickBot="1" x14ac:dyDescent="0.4">
      <c r="B41" s="149"/>
      <c r="C41" s="814" t="s">
        <v>297</v>
      </c>
      <c r="D41" s="814"/>
      <c r="E41" s="814"/>
      <c r="F41" s="814"/>
      <c r="G41" s="814"/>
      <c r="H41" s="814"/>
      <c r="I41" s="150"/>
    </row>
    <row r="42" spans="2:9" x14ac:dyDescent="0.35">
      <c r="B42" s="4"/>
      <c r="C42" s="5"/>
      <c r="D42" s="5"/>
      <c r="E42" s="5"/>
      <c r="F42" s="5"/>
      <c r="G42" s="5"/>
      <c r="H42" s="61"/>
      <c r="I42" s="6"/>
    </row>
    <row r="43" spans="2:9" x14ac:dyDescent="0.35">
      <c r="B43" s="4"/>
      <c r="C43" s="12" t="s">
        <v>754</v>
      </c>
      <c r="D43" s="32" t="str">
        <f>D24</f>
        <v>Dairy Partners (Cymru Wales) Ltd</v>
      </c>
      <c r="E43" s="5"/>
      <c r="F43" s="784" t="s">
        <v>104</v>
      </c>
      <c r="G43" s="785"/>
      <c r="H43" s="795"/>
      <c r="I43" s="6"/>
    </row>
    <row r="44" spans="2:9" x14ac:dyDescent="0.35">
      <c r="B44" s="4"/>
      <c r="C44" s="12" t="s">
        <v>30</v>
      </c>
      <c r="D44" s="32" t="str">
        <f>D25</f>
        <v>WP3231NB</v>
      </c>
      <c r="E44" s="5"/>
      <c r="F44" s="787"/>
      <c r="G44" s="788"/>
      <c r="H44" s="796"/>
      <c r="I44" s="6"/>
    </row>
    <row r="45" spans="2:9" x14ac:dyDescent="0.35">
      <c r="B45" s="4"/>
      <c r="C45" s="5"/>
      <c r="D45" s="5"/>
      <c r="E45" s="5"/>
      <c r="F45" s="5"/>
      <c r="G45" s="5"/>
      <c r="H45" s="61"/>
      <c r="I45" s="6"/>
    </row>
    <row r="46" spans="2:9" ht="26.5" x14ac:dyDescent="0.35">
      <c r="B46" s="4"/>
      <c r="C46" s="12" t="s">
        <v>106</v>
      </c>
      <c r="D46" s="12" t="s">
        <v>107</v>
      </c>
      <c r="E46" s="141" t="s">
        <v>108</v>
      </c>
      <c r="F46" s="141" t="s">
        <v>109</v>
      </c>
      <c r="G46" s="141" t="s">
        <v>110</v>
      </c>
      <c r="H46" s="141" t="s">
        <v>111</v>
      </c>
      <c r="I46" s="6"/>
    </row>
    <row r="47" spans="2:9" x14ac:dyDescent="0.35">
      <c r="B47" s="4"/>
      <c r="C47" s="111" t="s">
        <v>272</v>
      </c>
      <c r="D47" s="112" t="s">
        <v>273</v>
      </c>
      <c r="E47" s="112">
        <v>1000</v>
      </c>
      <c r="F47" s="113"/>
      <c r="G47" s="114">
        <f>IF(F47/E47&lt;1,0,(F47/E47))</f>
        <v>0</v>
      </c>
      <c r="H47" s="160"/>
      <c r="I47" s="6"/>
    </row>
    <row r="48" spans="2:9" ht="29" x14ac:dyDescent="0.35">
      <c r="B48" s="4"/>
      <c r="C48" s="122" t="s">
        <v>274</v>
      </c>
      <c r="D48" s="117" t="s">
        <v>273</v>
      </c>
      <c r="E48" s="117">
        <v>750</v>
      </c>
      <c r="F48" s="118"/>
      <c r="G48" s="119">
        <f>IF(F48/E48&lt;1,0,(F48/E48))</f>
        <v>0</v>
      </c>
      <c r="H48" s="139"/>
      <c r="I48" s="6"/>
    </row>
    <row r="49" spans="2:9" x14ac:dyDescent="0.35">
      <c r="B49" s="4"/>
      <c r="C49" s="116" t="s">
        <v>275</v>
      </c>
      <c r="D49" s="117" t="s">
        <v>273</v>
      </c>
      <c r="E49" s="117">
        <v>250</v>
      </c>
      <c r="F49" s="118"/>
      <c r="G49" s="119">
        <f>IF(F49/E49&lt;1,0,(F49/E49))</f>
        <v>0</v>
      </c>
      <c r="H49" s="152"/>
      <c r="I49" s="6"/>
    </row>
    <row r="50" spans="2:9" ht="29" x14ac:dyDescent="0.35">
      <c r="B50" s="4"/>
      <c r="C50" s="122" t="s">
        <v>276</v>
      </c>
      <c r="D50" s="117" t="s">
        <v>273</v>
      </c>
      <c r="E50" s="117">
        <v>500</v>
      </c>
      <c r="F50" s="118"/>
      <c r="G50" s="119">
        <f>IF(F50/E50&lt;1,0,(F50/E50))</f>
        <v>0</v>
      </c>
      <c r="H50" s="152"/>
      <c r="I50" s="6"/>
    </row>
    <row r="51" spans="2:9" x14ac:dyDescent="0.35">
      <c r="B51" s="4"/>
      <c r="C51" s="161"/>
      <c r="D51" s="143"/>
      <c r="E51" s="162"/>
      <c r="F51" s="123"/>
      <c r="G51" s="163"/>
      <c r="H51" s="153"/>
      <c r="I51" s="6"/>
    </row>
    <row r="52" spans="2:9" x14ac:dyDescent="0.35">
      <c r="B52" s="4"/>
      <c r="C52" s="165"/>
      <c r="D52" s="77"/>
      <c r="E52" s="27" t="s">
        <v>298</v>
      </c>
      <c r="F52" s="166"/>
      <c r="G52" s="167">
        <f>SUM(G47:G50)</f>
        <v>0</v>
      </c>
      <c r="H52" s="168"/>
      <c r="I52" s="6"/>
    </row>
    <row r="53" spans="2:9" ht="15" thickBot="1" x14ac:dyDescent="0.4">
      <c r="B53" s="8"/>
      <c r="C53" s="9"/>
      <c r="D53" s="9"/>
      <c r="E53" s="169"/>
      <c r="F53" s="9"/>
      <c r="G53" s="170"/>
      <c r="H53" s="158"/>
      <c r="I53" s="10"/>
    </row>
    <row r="54" spans="2:9" x14ac:dyDescent="0.35">
      <c r="H54" s="159"/>
    </row>
    <row r="55" spans="2:9" x14ac:dyDescent="0.35">
      <c r="H55" s="159"/>
    </row>
    <row r="56" spans="2:9" x14ac:dyDescent="0.35">
      <c r="H56" s="159"/>
    </row>
    <row r="57" spans="2:9" x14ac:dyDescent="0.35">
      <c r="H57" s="159"/>
    </row>
    <row r="58" spans="2:9" x14ac:dyDescent="0.35">
      <c r="H58" s="159"/>
    </row>
    <row r="59" spans="2:9" x14ac:dyDescent="0.35">
      <c r="H59" s="159"/>
    </row>
    <row r="60" spans="2:9" x14ac:dyDescent="0.35">
      <c r="H60" s="159"/>
    </row>
    <row r="61" spans="2:9" x14ac:dyDescent="0.35">
      <c r="H61" s="159"/>
    </row>
    <row r="62" spans="2:9" x14ac:dyDescent="0.35">
      <c r="H62" s="159"/>
    </row>
    <row r="63" spans="2:9" x14ac:dyDescent="0.35">
      <c r="H63" s="159"/>
    </row>
    <row r="64" spans="2:9" x14ac:dyDescent="0.35">
      <c r="H64" s="159"/>
    </row>
    <row r="65" spans="8:8" x14ac:dyDescent="0.35">
      <c r="H65" s="159"/>
    </row>
    <row r="66" spans="8:8" x14ac:dyDescent="0.35">
      <c r="H66" s="159"/>
    </row>
    <row r="67" spans="8:8" x14ac:dyDescent="0.35">
      <c r="H67" s="159"/>
    </row>
    <row r="68" spans="8:8" x14ac:dyDescent="0.35">
      <c r="H68" s="159"/>
    </row>
    <row r="69" spans="8:8" x14ac:dyDescent="0.35">
      <c r="H69" s="159"/>
    </row>
    <row r="70" spans="8:8" x14ac:dyDescent="0.35">
      <c r="H70" s="159"/>
    </row>
    <row r="71" spans="8:8" x14ac:dyDescent="0.35">
      <c r="H71" s="159"/>
    </row>
  </sheetData>
  <sheetProtection algorithmName="SHA-512" hashValue="VirzFsClVSDhh0og4LMt4Z+rY1piePkrZjtUGkdy20PyZpmig1A/SXIlH04zJLOZ2gpwLqxWB4IdLz9zGHJ6Lg==" saltValue="O9oA7D2ioF40p2xmsM4qrg=="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36" sqref="C36"/>
    </sheetView>
  </sheetViews>
  <sheetFormatPr defaultRowHeight="14.5" x14ac:dyDescent="0.35"/>
  <cols>
    <col min="3" max="3" width="19" customWidth="1"/>
    <col min="4" max="4" width="14.08984375" customWidth="1"/>
  </cols>
  <sheetData>
    <row r="3" spans="2:13" ht="15" thickBot="1" x14ac:dyDescent="0.4"/>
    <row r="4" spans="2:13" ht="18.5" thickBot="1" x14ac:dyDescent="0.4">
      <c r="B4" s="782" t="s">
        <v>299</v>
      </c>
      <c r="C4" s="770"/>
      <c r="D4" s="770"/>
      <c r="E4" s="770"/>
      <c r="F4" s="770"/>
      <c r="G4" s="770"/>
      <c r="H4" s="770"/>
      <c r="I4" s="770"/>
      <c r="J4" s="770"/>
      <c r="K4" s="770"/>
      <c r="L4" s="770"/>
      <c r="M4" s="783"/>
    </row>
    <row r="5" spans="2:13" x14ac:dyDescent="0.35">
      <c r="B5" s="4"/>
      <c r="C5" s="5"/>
      <c r="D5" s="5"/>
      <c r="E5" s="5"/>
      <c r="F5" s="5"/>
      <c r="G5" s="5"/>
      <c r="H5" s="5"/>
      <c r="I5" s="5"/>
      <c r="J5" s="5"/>
      <c r="K5" s="5"/>
      <c r="L5" s="5"/>
      <c r="M5" s="6"/>
    </row>
    <row r="6" spans="2:13" x14ac:dyDescent="0.35">
      <c r="B6" s="4"/>
      <c r="C6" s="12" t="s">
        <v>757</v>
      </c>
      <c r="D6" s="32" t="str">
        <f>+Introduction!E10</f>
        <v>Dairy Partners (Cymru Wales) Ltd</v>
      </c>
      <c r="E6" s="5"/>
      <c r="F6" s="5"/>
      <c r="G6" s="5"/>
      <c r="H6" s="5"/>
      <c r="I6" s="5"/>
      <c r="J6" s="5"/>
      <c r="K6" s="5"/>
      <c r="L6" s="5"/>
      <c r="M6" s="6"/>
    </row>
    <row r="7" spans="2:13" x14ac:dyDescent="0.35">
      <c r="B7" s="4"/>
      <c r="C7" s="12" t="s">
        <v>30</v>
      </c>
      <c r="D7" s="32" t="str">
        <f>+Introduction!K10</f>
        <v>WP3231NB</v>
      </c>
      <c r="E7" s="5"/>
      <c r="F7" s="5"/>
      <c r="G7" s="5"/>
      <c r="H7" s="5"/>
      <c r="I7" s="5"/>
      <c r="J7" s="5"/>
      <c r="K7" s="5"/>
      <c r="L7" s="5"/>
      <c r="M7" s="6"/>
    </row>
    <row r="8" spans="2:13" x14ac:dyDescent="0.35">
      <c r="B8" s="4"/>
      <c r="C8" s="5"/>
      <c r="D8" s="5"/>
      <c r="E8" s="5"/>
      <c r="F8" s="5"/>
      <c r="G8" s="5"/>
      <c r="H8" s="5"/>
      <c r="I8" s="5"/>
      <c r="J8" s="5"/>
      <c r="K8" s="5"/>
      <c r="L8" s="5"/>
      <c r="M8" s="6"/>
    </row>
    <row r="9" spans="2:13" ht="26.5" x14ac:dyDescent="0.35">
      <c r="B9" s="4"/>
      <c r="C9" s="12" t="s">
        <v>300</v>
      </c>
      <c r="D9" s="141" t="s">
        <v>301</v>
      </c>
      <c r="E9" s="5"/>
      <c r="F9" s="5"/>
      <c r="G9" s="5"/>
      <c r="H9" s="5"/>
      <c r="I9" s="5"/>
      <c r="J9" s="5"/>
      <c r="K9" s="5"/>
      <c r="L9" s="5"/>
      <c r="M9" s="6"/>
    </row>
    <row r="10" spans="2:13" x14ac:dyDescent="0.35">
      <c r="B10" s="4"/>
      <c r="C10" s="37" t="s">
        <v>302</v>
      </c>
      <c r="D10" s="175">
        <f>ROUND('4 Air'!G129,0)</f>
        <v>0</v>
      </c>
      <c r="E10" s="171"/>
      <c r="F10" s="5"/>
      <c r="G10" s="5"/>
      <c r="H10" s="5"/>
      <c r="I10" s="5"/>
      <c r="J10" s="5"/>
      <c r="K10" s="5"/>
      <c r="L10" s="5"/>
      <c r="M10" s="6"/>
    </row>
    <row r="11" spans="2:13" x14ac:dyDescent="0.35">
      <c r="B11" s="4"/>
      <c r="C11" s="37" t="s">
        <v>303</v>
      </c>
      <c r="D11" s="175">
        <f>ROUND('5 Water'!F91,0)</f>
        <v>0</v>
      </c>
      <c r="E11" s="5"/>
      <c r="F11" s="5"/>
      <c r="G11" s="5"/>
      <c r="H11" s="5"/>
      <c r="I11" s="5"/>
      <c r="J11" s="5"/>
      <c r="K11" s="5"/>
      <c r="L11" s="5"/>
      <c r="M11" s="6"/>
    </row>
    <row r="12" spans="2:13" x14ac:dyDescent="0.35">
      <c r="B12" s="4"/>
      <c r="C12" s="37" t="s">
        <v>304</v>
      </c>
      <c r="D12" s="175">
        <f>ROUND('6 Land'!G14,0)</f>
        <v>0</v>
      </c>
      <c r="E12" s="5"/>
      <c r="F12" s="5"/>
      <c r="G12" s="5"/>
      <c r="H12" s="5"/>
      <c r="I12" s="5"/>
      <c r="J12" s="5"/>
      <c r="K12" s="5"/>
      <c r="L12" s="5"/>
      <c r="M12" s="6"/>
    </row>
    <row r="13" spans="2:13" x14ac:dyDescent="0.35">
      <c r="B13" s="4"/>
      <c r="C13" s="37" t="s">
        <v>305</v>
      </c>
      <c r="D13" s="175">
        <f>ROUND('7 Sewer'!G92,0)</f>
        <v>0</v>
      </c>
      <c r="E13" s="5"/>
      <c r="F13" s="5"/>
      <c r="G13" s="5"/>
      <c r="H13" s="5"/>
      <c r="I13" s="5"/>
      <c r="J13" s="5"/>
      <c r="K13" s="5"/>
      <c r="L13" s="5"/>
      <c r="M13" s="6"/>
    </row>
    <row r="14" spans="2:13" x14ac:dyDescent="0.35">
      <c r="B14" s="4"/>
      <c r="C14" s="37" t="s">
        <v>306</v>
      </c>
      <c r="D14" s="175">
        <f>ROUND('8 Waste'!G36,0)</f>
        <v>5</v>
      </c>
      <c r="E14" s="5"/>
      <c r="F14" s="5"/>
      <c r="G14" s="5"/>
      <c r="H14" s="5"/>
      <c r="I14" s="5"/>
      <c r="J14" s="5"/>
      <c r="K14" s="5"/>
      <c r="L14" s="5"/>
      <c r="M14" s="6"/>
    </row>
    <row r="15" spans="2:13" x14ac:dyDescent="0.35">
      <c r="B15" s="4"/>
      <c r="C15" s="37" t="s">
        <v>307</v>
      </c>
      <c r="D15" s="175">
        <f>ROUND('8 Waste'!G52,0)</f>
        <v>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72"/>
      <c r="D17" s="173"/>
      <c r="E17" s="5"/>
      <c r="F17" s="5"/>
      <c r="G17" s="5"/>
      <c r="H17" s="5"/>
      <c r="I17" s="5"/>
      <c r="J17" s="5"/>
      <c r="K17" s="5"/>
      <c r="L17" s="5"/>
      <c r="M17" s="6"/>
    </row>
    <row r="18" spans="2:13" x14ac:dyDescent="0.35">
      <c r="B18" s="4"/>
      <c r="C18" s="73"/>
      <c r="D18" s="173"/>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308</v>
      </c>
      <c r="D23" s="822" t="s">
        <v>309</v>
      </c>
      <c r="E23" s="822"/>
      <c r="F23" s="5"/>
      <c r="G23" s="5"/>
      <c r="H23" s="5"/>
      <c r="I23" s="5"/>
      <c r="J23" s="5"/>
      <c r="K23" s="5"/>
      <c r="L23" s="5"/>
      <c r="M23" s="6"/>
    </row>
    <row r="24" spans="2:13" x14ac:dyDescent="0.35">
      <c r="B24" s="4"/>
      <c r="C24" s="37" t="s">
        <v>302</v>
      </c>
      <c r="D24" s="51">
        <f t="shared" ref="D24:D29" si="0">IF(D10&gt;0,IF(D10&gt;=10,IF(D10&gt;=100,IF(D10&gt;=1000,IF(D10&gt;=10000,5,4),3),2),1),0)</f>
        <v>0</v>
      </c>
      <c r="E24" s="38" t="str">
        <f t="shared" ref="E24:E29" si="1">IF(D24=0,"-",IF(D24=1,"A",IF(D24=2,"B",IF(D24=3,"C",IF(D24=4,"D","E")))))</f>
        <v>-</v>
      </c>
      <c r="F24" s="5"/>
      <c r="G24" s="5"/>
      <c r="H24" s="5"/>
      <c r="I24" s="5"/>
      <c r="J24" s="5"/>
      <c r="K24" s="5"/>
      <c r="L24" s="5"/>
      <c r="M24" s="6"/>
    </row>
    <row r="25" spans="2:13" x14ac:dyDescent="0.35">
      <c r="B25" s="4"/>
      <c r="C25" s="37" t="s">
        <v>303</v>
      </c>
      <c r="D25" s="51">
        <f t="shared" si="0"/>
        <v>0</v>
      </c>
      <c r="E25" s="38" t="str">
        <f t="shared" si="1"/>
        <v>-</v>
      </c>
      <c r="F25" s="5"/>
      <c r="G25" s="5"/>
      <c r="H25" s="5"/>
      <c r="I25" s="5"/>
      <c r="J25" s="5"/>
      <c r="K25" s="5"/>
      <c r="L25" s="5"/>
      <c r="M25" s="6"/>
    </row>
    <row r="26" spans="2:13" x14ac:dyDescent="0.35">
      <c r="B26" s="4"/>
      <c r="C26" s="37" t="s">
        <v>304</v>
      </c>
      <c r="D26" s="51">
        <f t="shared" si="0"/>
        <v>0</v>
      </c>
      <c r="E26" s="38" t="str">
        <f t="shared" si="1"/>
        <v>-</v>
      </c>
      <c r="F26" s="5"/>
      <c r="G26" s="5"/>
      <c r="H26" s="5"/>
      <c r="I26" s="5"/>
      <c r="J26" s="5"/>
      <c r="K26" s="5"/>
      <c r="L26" s="5"/>
      <c r="M26" s="6"/>
    </row>
    <row r="27" spans="2:13" x14ac:dyDescent="0.35">
      <c r="B27" s="4"/>
      <c r="C27" s="37" t="s">
        <v>305</v>
      </c>
      <c r="D27" s="51">
        <f t="shared" si="0"/>
        <v>0</v>
      </c>
      <c r="E27" s="38" t="str">
        <f t="shared" si="1"/>
        <v>-</v>
      </c>
      <c r="F27" s="5"/>
      <c r="G27" s="5"/>
      <c r="H27" s="5"/>
      <c r="I27" s="5"/>
      <c r="J27" s="5"/>
      <c r="K27" s="5"/>
      <c r="L27" s="5"/>
      <c r="M27" s="6"/>
    </row>
    <row r="28" spans="2:13" x14ac:dyDescent="0.35">
      <c r="B28" s="4"/>
      <c r="C28" s="37" t="s">
        <v>306</v>
      </c>
      <c r="D28" s="51">
        <f t="shared" si="0"/>
        <v>1</v>
      </c>
      <c r="E28" s="38" t="str">
        <f t="shared" si="1"/>
        <v>A</v>
      </c>
      <c r="F28" s="5"/>
      <c r="G28" s="5"/>
      <c r="H28" s="5"/>
      <c r="I28" s="5"/>
      <c r="J28" s="5"/>
      <c r="K28" s="5"/>
      <c r="L28" s="5"/>
      <c r="M28" s="6"/>
    </row>
    <row r="29" spans="2:13" x14ac:dyDescent="0.35">
      <c r="B29" s="4"/>
      <c r="C29" s="37" t="s">
        <v>307</v>
      </c>
      <c r="D29" s="51">
        <f t="shared" si="0"/>
        <v>0</v>
      </c>
      <c r="E29" s="38" t="str">
        <f t="shared" si="1"/>
        <v>-</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72"/>
      <c r="D31" s="174"/>
      <c r="E31" s="174"/>
      <c r="F31" s="5"/>
      <c r="G31" s="5"/>
      <c r="H31" s="5"/>
      <c r="I31" s="5"/>
      <c r="J31" s="5"/>
      <c r="K31" s="5"/>
      <c r="L31" s="5"/>
      <c r="M31" s="6"/>
    </row>
    <row r="32" spans="2:13" x14ac:dyDescent="0.35">
      <c r="B32" s="4"/>
      <c r="C32" s="172"/>
      <c r="D32" s="174"/>
      <c r="E32" s="174"/>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ljyJ4UZspSR8NstvBQhu7cfp4ANXU5ZErhYQlP3C0H7jP0ajLcgaL3N6nMThBdAGiCxogBWPOfCFgZTj0eCUQw==" saltValue="9cdxnMxqKTHC1gjCEWvIdQ==" spinCount="100000" sheet="1" objects="1" scenarios="1"/>
  <mergeCells count="2">
    <mergeCell ref="B4:M4"/>
    <mergeCell ref="D23:E23"/>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9" workbookViewId="0">
      <selection activeCell="C23" sqref="C23"/>
    </sheetView>
  </sheetViews>
  <sheetFormatPr defaultColWidth="9.08984375" defaultRowHeight="14.5" x14ac:dyDescent="0.35"/>
  <cols>
    <col min="1" max="2" width="9.08984375" style="375"/>
    <col min="3" max="3" width="68.54296875" style="375" customWidth="1"/>
    <col min="4" max="4" width="10.6328125" style="375" customWidth="1"/>
    <col min="5" max="6" width="9.08984375" style="375"/>
    <col min="7" max="7" width="14" style="375" customWidth="1"/>
    <col min="8" max="16384" width="9.08984375" style="375"/>
  </cols>
  <sheetData>
    <row r="2" spans="2:7" ht="15" thickBot="1" x14ac:dyDescent="0.4"/>
    <row r="3" spans="2:7" ht="18.5" thickBot="1" x14ac:dyDescent="0.45">
      <c r="B3" s="829" t="s">
        <v>310</v>
      </c>
      <c r="C3" s="830"/>
      <c r="D3" s="830"/>
      <c r="E3" s="830"/>
      <c r="F3" s="830"/>
      <c r="G3" s="831"/>
    </row>
    <row r="4" spans="2:7" x14ac:dyDescent="0.35">
      <c r="B4" s="285"/>
      <c r="C4" s="595"/>
      <c r="D4" s="286"/>
      <c r="E4" s="286"/>
      <c r="F4" s="286"/>
      <c r="G4" s="524"/>
    </row>
    <row r="5" spans="2:7" x14ac:dyDescent="0.35">
      <c r="B5" s="288"/>
      <c r="C5" s="376" t="s">
        <v>754</v>
      </c>
      <c r="D5" s="832" t="str">
        <f>+Introduction!E10</f>
        <v>Dairy Partners (Cymru Wales) Ltd</v>
      </c>
      <c r="E5" s="832"/>
      <c r="F5" s="832"/>
      <c r="G5" s="39"/>
    </row>
    <row r="6" spans="2:7" x14ac:dyDescent="0.35">
      <c r="B6" s="288"/>
      <c r="C6" s="376" t="s">
        <v>30</v>
      </c>
      <c r="D6" s="832" t="str">
        <f>+Introduction!K10</f>
        <v>WP3231NB</v>
      </c>
      <c r="E6" s="832"/>
      <c r="F6" s="832"/>
      <c r="G6" s="39"/>
    </row>
    <row r="7" spans="2:7" x14ac:dyDescent="0.35">
      <c r="B7" s="288"/>
      <c r="C7" s="17"/>
      <c r="D7" s="17"/>
      <c r="E7" s="17"/>
      <c r="F7" s="17"/>
      <c r="G7" s="39"/>
    </row>
    <row r="8" spans="2:7" x14ac:dyDescent="0.35">
      <c r="B8" s="288"/>
      <c r="C8" s="376" t="s">
        <v>311</v>
      </c>
      <c r="D8" s="376" t="s">
        <v>312</v>
      </c>
      <c r="E8" s="376" t="s">
        <v>313</v>
      </c>
      <c r="F8" s="376" t="s">
        <v>314</v>
      </c>
      <c r="G8" s="39"/>
    </row>
    <row r="9" spans="2:7" x14ac:dyDescent="0.35">
      <c r="B9" s="288"/>
      <c r="C9" s="377" t="s">
        <v>315</v>
      </c>
      <c r="D9" s="378"/>
      <c r="E9" s="379"/>
      <c r="F9" s="836">
        <f>IF(D10="Yes",5,(IF(D12="yes",3,(IF(D14="Yes",1,0)))))</f>
        <v>5</v>
      </c>
      <c r="G9" s="39"/>
    </row>
    <row r="10" spans="2:7" x14ac:dyDescent="0.35">
      <c r="B10" s="288"/>
      <c r="C10" s="380" t="s">
        <v>316</v>
      </c>
      <c r="D10" s="532" t="s">
        <v>18</v>
      </c>
      <c r="E10" s="381">
        <v>5</v>
      </c>
      <c r="F10" s="837"/>
      <c r="G10" s="39"/>
    </row>
    <row r="11" spans="2:7" x14ac:dyDescent="0.35">
      <c r="B11" s="288"/>
      <c r="C11" s="382" t="s">
        <v>317</v>
      </c>
      <c r="D11" s="596"/>
      <c r="E11" s="383"/>
      <c r="F11" s="837"/>
      <c r="G11" s="39"/>
    </row>
    <row r="12" spans="2:7" x14ac:dyDescent="0.35">
      <c r="B12" s="288"/>
      <c r="C12" s="380" t="s">
        <v>318</v>
      </c>
      <c r="D12" s="532" t="s">
        <v>18</v>
      </c>
      <c r="E12" s="383">
        <v>3</v>
      </c>
      <c r="F12" s="837"/>
      <c r="G12" s="39"/>
    </row>
    <row r="13" spans="2:7" x14ac:dyDescent="0.35">
      <c r="B13" s="288"/>
      <c r="C13" s="382" t="s">
        <v>319</v>
      </c>
      <c r="D13" s="384"/>
      <c r="E13" s="383"/>
      <c r="F13" s="837"/>
      <c r="G13" s="39"/>
    </row>
    <row r="14" spans="2:7" x14ac:dyDescent="0.35">
      <c r="B14" s="288"/>
      <c r="C14" s="385" t="s">
        <v>320</v>
      </c>
      <c r="D14" s="532" t="s">
        <v>18</v>
      </c>
      <c r="E14" s="386">
        <v>1</v>
      </c>
      <c r="F14" s="838"/>
      <c r="G14" s="39"/>
    </row>
    <row r="15" spans="2:7" ht="63.75" customHeight="1" x14ac:dyDescent="0.35">
      <c r="B15" s="288"/>
      <c r="C15" s="555" t="s">
        <v>734</v>
      </c>
      <c r="D15" s="387"/>
      <c r="E15" s="379"/>
      <c r="F15" s="833">
        <f>IF(D16="yes",3,(IF(D18="Yes",2,0)))</f>
        <v>3</v>
      </c>
      <c r="G15" s="39"/>
    </row>
    <row r="16" spans="2:7" x14ac:dyDescent="0.35">
      <c r="B16" s="288"/>
      <c r="C16" s="388" t="s">
        <v>321</v>
      </c>
      <c r="D16" s="532" t="s">
        <v>18</v>
      </c>
      <c r="E16" s="381">
        <v>3</v>
      </c>
      <c r="F16" s="834"/>
      <c r="G16" s="39"/>
    </row>
    <row r="17" spans="2:8" x14ac:dyDescent="0.35">
      <c r="B17" s="288"/>
      <c r="C17" s="382" t="s">
        <v>322</v>
      </c>
      <c r="D17" s="596"/>
      <c r="E17" s="383"/>
      <c r="F17" s="834"/>
      <c r="G17" s="39"/>
    </row>
    <row r="18" spans="2:8" x14ac:dyDescent="0.35">
      <c r="B18" s="288"/>
      <c r="C18" s="389" t="s">
        <v>323</v>
      </c>
      <c r="D18" s="533" t="s">
        <v>19</v>
      </c>
      <c r="E18" s="390">
        <v>2</v>
      </c>
      <c r="F18" s="835"/>
      <c r="G18" s="39"/>
    </row>
    <row r="19" spans="2:8" x14ac:dyDescent="0.35">
      <c r="B19" s="288"/>
      <c r="C19" s="391" t="s">
        <v>324</v>
      </c>
      <c r="D19" s="537" t="s">
        <v>19</v>
      </c>
      <c r="E19" s="392">
        <v>2</v>
      </c>
      <c r="F19" s="833">
        <f>IF(D19="yes",2,(IF(D21="Yes",1,0)))</f>
        <v>1</v>
      </c>
      <c r="G19" s="39"/>
    </row>
    <row r="20" spans="2:8" x14ac:dyDescent="0.35">
      <c r="B20" s="288"/>
      <c r="C20" s="382" t="s">
        <v>322</v>
      </c>
      <c r="D20" s="384"/>
      <c r="E20" s="596"/>
      <c r="F20" s="834"/>
      <c r="G20" s="39"/>
    </row>
    <row r="21" spans="2:8" x14ac:dyDescent="0.35">
      <c r="B21" s="288"/>
      <c r="C21" s="393" t="s">
        <v>325</v>
      </c>
      <c r="D21" s="532" t="s">
        <v>18</v>
      </c>
      <c r="E21" s="596">
        <v>1</v>
      </c>
      <c r="F21" s="834"/>
      <c r="G21" s="39"/>
    </row>
    <row r="22" spans="2:8" x14ac:dyDescent="0.35">
      <c r="B22" s="288"/>
      <c r="C22" s="394"/>
      <c r="D22" s="390"/>
      <c r="E22" s="390"/>
      <c r="F22" s="554"/>
      <c r="G22" s="39"/>
    </row>
    <row r="23" spans="2:8" ht="48.75" customHeight="1" x14ac:dyDescent="0.35">
      <c r="B23" s="288"/>
      <c r="C23" s="395" t="s">
        <v>710</v>
      </c>
      <c r="D23" s="841" t="s">
        <v>711</v>
      </c>
      <c r="E23" s="842"/>
      <c r="F23" s="833">
        <f>IF(D26="Yes",3,(IF(D25="yes",2,(IF(D24="Yes",1,0)))))</f>
        <v>3</v>
      </c>
      <c r="G23" s="39"/>
    </row>
    <row r="24" spans="2:8" x14ac:dyDescent="0.35">
      <c r="B24" s="288"/>
      <c r="C24" s="388" t="s">
        <v>708</v>
      </c>
      <c r="D24" s="532" t="s">
        <v>19</v>
      </c>
      <c r="E24" s="596">
        <v>1</v>
      </c>
      <c r="F24" s="834"/>
      <c r="G24" s="39"/>
      <c r="H24" s="594"/>
    </row>
    <row r="25" spans="2:8" x14ac:dyDescent="0.35">
      <c r="B25" s="288"/>
      <c r="C25" s="388" t="s">
        <v>707</v>
      </c>
      <c r="D25" s="532" t="s">
        <v>19</v>
      </c>
      <c r="E25" s="596">
        <v>2</v>
      </c>
      <c r="F25" s="834"/>
      <c r="G25" s="39"/>
      <c r="H25" s="594"/>
    </row>
    <row r="26" spans="2:8" x14ac:dyDescent="0.35">
      <c r="B26" s="288"/>
      <c r="C26" s="388" t="s">
        <v>709</v>
      </c>
      <c r="D26" s="532" t="s">
        <v>18</v>
      </c>
      <c r="E26" s="386">
        <v>3</v>
      </c>
      <c r="F26" s="835"/>
      <c r="G26" s="39"/>
      <c r="H26" s="594"/>
    </row>
    <row r="27" spans="2:8" x14ac:dyDescent="0.35">
      <c r="B27" s="288"/>
      <c r="C27" s="839" t="s">
        <v>326</v>
      </c>
      <c r="D27" s="378"/>
      <c r="E27" s="383"/>
      <c r="F27" s="833">
        <f>IF(D28="yes",2,(IF(D30="Yes",1,0)))</f>
        <v>2</v>
      </c>
      <c r="G27" s="39"/>
      <c r="H27" s="594"/>
    </row>
    <row r="28" spans="2:8" x14ac:dyDescent="0.35">
      <c r="B28" s="288"/>
      <c r="C28" s="840"/>
      <c r="D28" s="532" t="s">
        <v>18</v>
      </c>
      <c r="E28" s="381">
        <v>2</v>
      </c>
      <c r="F28" s="834"/>
      <c r="G28" s="39"/>
      <c r="H28" s="594"/>
    </row>
    <row r="29" spans="2:8" x14ac:dyDescent="0.35">
      <c r="B29" s="288"/>
      <c r="C29" s="382" t="s">
        <v>322</v>
      </c>
      <c r="D29" s="384"/>
      <c r="E29" s="383"/>
      <c r="F29" s="834"/>
      <c r="G29" s="39"/>
    </row>
    <row r="30" spans="2:8" x14ac:dyDescent="0.35">
      <c r="B30" s="288"/>
      <c r="C30" s="396" t="s">
        <v>327</v>
      </c>
      <c r="D30" s="533" t="s">
        <v>19</v>
      </c>
      <c r="E30" s="386">
        <v>1</v>
      </c>
      <c r="F30" s="834"/>
      <c r="G30" s="39"/>
    </row>
    <row r="31" spans="2:8" x14ac:dyDescent="0.35">
      <c r="B31" s="288"/>
      <c r="C31" s="393"/>
      <c r="D31" s="397"/>
      <c r="E31" s="398"/>
      <c r="F31" s="374"/>
      <c r="G31" s="39"/>
    </row>
    <row r="32" spans="2:8" ht="14.25" customHeight="1" x14ac:dyDescent="0.35">
      <c r="B32" s="288"/>
      <c r="C32" s="399" t="s">
        <v>328</v>
      </c>
      <c r="D32" s="400"/>
      <c r="E32" s="383"/>
      <c r="F32" s="834">
        <f>IF(D33="Yes",3,(IF(D36="yes",2,(IF(D38="Yes",1,0)))))</f>
        <v>0</v>
      </c>
      <c r="G32" s="39"/>
    </row>
    <row r="33" spans="2:7" x14ac:dyDescent="0.35">
      <c r="B33" s="288"/>
      <c r="C33" s="401" t="s">
        <v>329</v>
      </c>
      <c r="D33" s="532" t="s">
        <v>19</v>
      </c>
      <c r="E33" s="381">
        <v>3</v>
      </c>
      <c r="F33" s="834"/>
      <c r="G33" s="39"/>
    </row>
    <row r="34" spans="2:7" x14ac:dyDescent="0.35">
      <c r="B34" s="288"/>
      <c r="C34" s="382" t="s">
        <v>322</v>
      </c>
      <c r="D34" s="402"/>
      <c r="E34" s="383"/>
      <c r="F34" s="834"/>
      <c r="G34" s="39"/>
    </row>
    <row r="35" spans="2:7" x14ac:dyDescent="0.35">
      <c r="B35" s="288"/>
      <c r="C35" s="403" t="s">
        <v>330</v>
      </c>
      <c r="D35" s="400"/>
      <c r="E35" s="383"/>
      <c r="F35" s="834"/>
      <c r="G35" s="39"/>
    </row>
    <row r="36" spans="2:7" x14ac:dyDescent="0.35">
      <c r="B36" s="288"/>
      <c r="C36" s="401" t="s">
        <v>329</v>
      </c>
      <c r="D36" s="532" t="s">
        <v>19</v>
      </c>
      <c r="E36" s="381">
        <v>2</v>
      </c>
      <c r="F36" s="834">
        <v>0</v>
      </c>
      <c r="G36" s="39"/>
    </row>
    <row r="37" spans="2:7" x14ac:dyDescent="0.35">
      <c r="B37" s="288"/>
      <c r="C37" s="382" t="s">
        <v>322</v>
      </c>
      <c r="D37" s="384"/>
      <c r="E37" s="383"/>
      <c r="F37" s="834"/>
      <c r="G37" s="39"/>
    </row>
    <row r="38" spans="2:7" ht="17.25" customHeight="1" x14ac:dyDescent="0.35">
      <c r="B38" s="288"/>
      <c r="C38" s="404" t="s">
        <v>742</v>
      </c>
      <c r="D38" s="532" t="s">
        <v>19</v>
      </c>
      <c r="E38" s="381">
        <v>1</v>
      </c>
      <c r="F38" s="834"/>
      <c r="G38" s="39"/>
    </row>
    <row r="39" spans="2:7" x14ac:dyDescent="0.35">
      <c r="B39" s="288"/>
      <c r="C39" s="401" t="s">
        <v>741</v>
      </c>
      <c r="D39" s="402"/>
      <c r="E39" s="383"/>
      <c r="F39" s="835"/>
      <c r="G39" s="39"/>
    </row>
    <row r="40" spans="2:7" x14ac:dyDescent="0.35">
      <c r="B40" s="288"/>
      <c r="C40" s="405" t="s">
        <v>331</v>
      </c>
      <c r="D40" s="534" t="s">
        <v>18</v>
      </c>
      <c r="E40" s="406">
        <v>2</v>
      </c>
      <c r="F40" s="176">
        <f>IF(D40="Yes",2,0)</f>
        <v>2</v>
      </c>
      <c r="G40" s="39"/>
    </row>
    <row r="41" spans="2:7" x14ac:dyDescent="0.35">
      <c r="B41" s="288"/>
      <c r="C41" s="823" t="s">
        <v>332</v>
      </c>
      <c r="D41" s="825" t="s">
        <v>100</v>
      </c>
      <c r="E41" s="826"/>
      <c r="F41" s="177">
        <f>SUM(F9:F40)</f>
        <v>16</v>
      </c>
      <c r="G41" s="39"/>
    </row>
    <row r="42" spans="2:7" x14ac:dyDescent="0.35">
      <c r="B42" s="288"/>
      <c r="C42" s="824"/>
      <c r="D42" s="827" t="s">
        <v>309</v>
      </c>
      <c r="E42" s="828"/>
      <c r="F42" s="178" t="str">
        <f>IF(F41&gt;17,"E",(IF(F41&gt;12,"D",(IF(F41&gt;8,"C",(IF(F41&gt;4,"B","A")))))))</f>
        <v>D</v>
      </c>
      <c r="G42" s="39"/>
    </row>
    <row r="43" spans="2:7" x14ac:dyDescent="0.35">
      <c r="B43" s="288"/>
      <c r="C43" s="17"/>
      <c r="D43" s="17"/>
      <c r="E43" s="17"/>
      <c r="F43" s="17"/>
      <c r="G43" s="39"/>
    </row>
    <row r="44" spans="2:7" x14ac:dyDescent="0.35">
      <c r="B44" s="288"/>
      <c r="C44" s="407" t="s">
        <v>693</v>
      </c>
      <c r="D44" s="407" t="s">
        <v>694</v>
      </c>
      <c r="E44" s="17"/>
      <c r="F44" s="17"/>
      <c r="G44" s="39"/>
    </row>
    <row r="45" spans="2:7" x14ac:dyDescent="0.35">
      <c r="B45" s="288"/>
      <c r="C45" s="408" t="s">
        <v>690</v>
      </c>
      <c r="D45" s="408" t="str">
        <f>IF(AND(D10=0,D12=0,D14=0),"Incomplete","Complete")</f>
        <v>Complete</v>
      </c>
      <c r="E45" s="17"/>
      <c r="F45" s="17"/>
      <c r="G45" s="39"/>
    </row>
    <row r="46" spans="2:7" x14ac:dyDescent="0.35">
      <c r="B46" s="288"/>
      <c r="C46" s="408" t="s">
        <v>335</v>
      </c>
      <c r="D46" s="408" t="str">
        <f>IF(AND(D16=0,D18=0),"Incomplete","Complete")</f>
        <v>Complete</v>
      </c>
      <c r="E46" s="17"/>
      <c r="F46" s="17"/>
      <c r="G46" s="39"/>
    </row>
    <row r="47" spans="2:7" x14ac:dyDescent="0.35">
      <c r="B47" s="288"/>
      <c r="C47" s="408" t="s">
        <v>336</v>
      </c>
      <c r="D47" s="408" t="str">
        <f>IF(AND(D19=0,D21=0),"Incomplete","Complete")</f>
        <v>Complete</v>
      </c>
      <c r="E47" s="17"/>
      <c r="F47" s="17"/>
      <c r="G47" s="39"/>
    </row>
    <row r="48" spans="2:7" x14ac:dyDescent="0.35">
      <c r="B48" s="288"/>
      <c r="C48" s="408" t="s">
        <v>735</v>
      </c>
      <c r="D48" s="408" t="str">
        <f>IF(AND(D24=0,D25=0,D26=0),"Incomplete","Complete")</f>
        <v>Complete</v>
      </c>
      <c r="E48" s="17"/>
      <c r="F48" s="17"/>
      <c r="G48" s="39"/>
    </row>
    <row r="49" spans="2:7" x14ac:dyDescent="0.35">
      <c r="B49" s="288"/>
      <c r="C49" s="408" t="s">
        <v>691</v>
      </c>
      <c r="D49" s="408" t="str">
        <f>IF(AND(D28=0,D30=0),"Incomplete","Complete")</f>
        <v>Complete</v>
      </c>
      <c r="E49" s="17"/>
      <c r="F49" s="17"/>
      <c r="G49" s="39"/>
    </row>
    <row r="50" spans="2:7" x14ac:dyDescent="0.35">
      <c r="B50" s="288"/>
      <c r="C50" s="408" t="s">
        <v>339</v>
      </c>
      <c r="D50" s="408" t="str">
        <f>IF(AND(D33=0,D36=0,D38=0),"Incomplete","Complete")</f>
        <v>Complete</v>
      </c>
      <c r="E50" s="17"/>
      <c r="F50" s="17"/>
      <c r="G50" s="39"/>
    </row>
    <row r="51" spans="2:7" x14ac:dyDescent="0.35">
      <c r="B51" s="288"/>
      <c r="C51" s="408" t="s">
        <v>692</v>
      </c>
      <c r="D51" s="408" t="str">
        <f>IF(D40=0,"Incomplete","Complete")</f>
        <v>Complete</v>
      </c>
      <c r="E51" s="17"/>
      <c r="F51" s="17"/>
      <c r="G51" s="39"/>
    </row>
    <row r="52" spans="2:7" x14ac:dyDescent="0.35">
      <c r="B52" s="288"/>
      <c r="C52" s="17"/>
      <c r="D52" s="17"/>
      <c r="E52" s="17"/>
      <c r="F52" s="17"/>
      <c r="G52" s="39"/>
    </row>
    <row r="53" spans="2:7" x14ac:dyDescent="0.35">
      <c r="B53" s="288"/>
      <c r="C53" s="17"/>
      <c r="D53" s="17"/>
      <c r="E53" s="17"/>
      <c r="F53" s="17"/>
      <c r="G53" s="39"/>
    </row>
    <row r="54" spans="2:7" x14ac:dyDescent="0.35">
      <c r="B54" s="288"/>
      <c r="C54" s="17"/>
      <c r="D54" s="17"/>
      <c r="E54" s="17"/>
      <c r="F54" s="17"/>
      <c r="G54" s="39"/>
    </row>
    <row r="55" spans="2:7" x14ac:dyDescent="0.35">
      <c r="B55" s="288"/>
      <c r="C55" s="17"/>
      <c r="D55" s="17"/>
      <c r="E55" s="17"/>
      <c r="F55" s="17"/>
      <c r="G55" s="39"/>
    </row>
    <row r="56" spans="2:7" x14ac:dyDescent="0.35">
      <c r="B56" s="288"/>
      <c r="C56" s="409" t="s">
        <v>333</v>
      </c>
      <c r="D56" s="410" t="s">
        <v>314</v>
      </c>
      <c r="E56" s="17"/>
      <c r="F56" s="17"/>
      <c r="G56" s="39"/>
    </row>
    <row r="57" spans="2:7" x14ac:dyDescent="0.35">
      <c r="B57" s="288"/>
      <c r="C57" s="411" t="s">
        <v>334</v>
      </c>
      <c r="D57" s="412">
        <f>+F9</f>
        <v>5</v>
      </c>
      <c r="E57" s="17"/>
      <c r="F57" s="17"/>
      <c r="G57" s="39"/>
    </row>
    <row r="58" spans="2:7" x14ac:dyDescent="0.35">
      <c r="B58" s="288"/>
      <c r="C58" s="413" t="s">
        <v>335</v>
      </c>
      <c r="D58" s="412">
        <f>+F15</f>
        <v>3</v>
      </c>
      <c r="E58" s="17"/>
      <c r="F58" s="17"/>
      <c r="G58" s="39"/>
    </row>
    <row r="59" spans="2:7" x14ac:dyDescent="0.35">
      <c r="B59" s="288"/>
      <c r="C59" s="413" t="s">
        <v>336</v>
      </c>
      <c r="D59" s="412">
        <f>F19</f>
        <v>1</v>
      </c>
      <c r="E59" s="17"/>
      <c r="F59" s="17"/>
      <c r="G59" s="39"/>
    </row>
    <row r="60" spans="2:7" x14ac:dyDescent="0.35">
      <c r="B60" s="288"/>
      <c r="C60" s="413" t="s">
        <v>337</v>
      </c>
      <c r="D60" s="412">
        <f>+F23</f>
        <v>3</v>
      </c>
      <c r="E60" s="17"/>
      <c r="F60" s="17"/>
      <c r="G60" s="39"/>
    </row>
    <row r="61" spans="2:7" x14ac:dyDescent="0.35">
      <c r="B61" s="288"/>
      <c r="C61" s="413" t="s">
        <v>338</v>
      </c>
      <c r="D61" s="412">
        <f>F27</f>
        <v>2</v>
      </c>
      <c r="E61" s="17"/>
      <c r="F61" s="17"/>
      <c r="G61" s="39"/>
    </row>
    <row r="62" spans="2:7" x14ac:dyDescent="0.35">
      <c r="B62" s="288"/>
      <c r="C62" s="413" t="s">
        <v>339</v>
      </c>
      <c r="D62" s="414">
        <f>+F32</f>
        <v>0</v>
      </c>
      <c r="E62" s="17"/>
      <c r="F62" s="17"/>
      <c r="G62" s="39"/>
    </row>
    <row r="63" spans="2:7" x14ac:dyDescent="0.35">
      <c r="B63" s="288"/>
      <c r="C63" s="415" t="s">
        <v>340</v>
      </c>
      <c r="D63" s="416">
        <f>F40</f>
        <v>2</v>
      </c>
      <c r="E63" s="17"/>
      <c r="F63" s="17"/>
      <c r="G63" s="39"/>
    </row>
    <row r="64" spans="2:7" x14ac:dyDescent="0.35">
      <c r="B64" s="288"/>
      <c r="C64" s="17"/>
      <c r="D64" s="17"/>
      <c r="E64" s="17"/>
      <c r="F64" s="17"/>
      <c r="G64" s="39"/>
    </row>
    <row r="65" spans="2:7" x14ac:dyDescent="0.35">
      <c r="B65" s="288"/>
      <c r="C65" s="17"/>
      <c r="D65" s="17"/>
      <c r="E65" s="17"/>
      <c r="F65" s="17"/>
      <c r="G65" s="39"/>
    </row>
    <row r="66" spans="2:7" x14ac:dyDescent="0.35">
      <c r="B66" s="288"/>
      <c r="C66" s="17"/>
      <c r="D66" s="17"/>
      <c r="E66" s="17"/>
      <c r="F66" s="17"/>
      <c r="G66" s="39"/>
    </row>
    <row r="67" spans="2:7" x14ac:dyDescent="0.35">
      <c r="B67" s="288"/>
      <c r="C67" s="17"/>
      <c r="D67" s="17"/>
      <c r="E67" s="17"/>
      <c r="F67" s="17"/>
      <c r="G67" s="39"/>
    </row>
    <row r="68" spans="2:7" ht="15" thickBot="1" x14ac:dyDescent="0.4">
      <c r="B68" s="293"/>
      <c r="C68" s="295"/>
      <c r="D68" s="295"/>
      <c r="E68" s="295"/>
      <c r="F68" s="295"/>
      <c r="G68" s="417"/>
    </row>
  </sheetData>
  <sheetProtection algorithmName="SHA-512" hashValue="3AaSHxyc8duMiAeAr9SPteiHSpQnnBnsNF9XRC6RU/k1RCb5JdhNbNgGnbTcREsIuFZ56fVRsw1ZZyF3yQgplQ==" saltValue="kAl5HshBcM9ZiKhHn2z1xg=="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55" priority="1" operator="equal">
      <formula>"No"</formula>
    </cfRule>
    <cfRule type="cellIs" dxfId="54" priority="2" operator="equal">
      <formula>"Yes"</formula>
    </cfRule>
  </conditionalFormatting>
  <conditionalFormatting sqref="D45:D51">
    <cfRule type="cellIs" dxfId="53" priority="3" operator="equal">
      <formula>"Incomplete"</formula>
    </cfRule>
    <cfRule type="cellIs" dxfId="52"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68"/>
  <sheetViews>
    <sheetView zoomScale="90" zoomScaleNormal="90" workbookViewId="0">
      <selection activeCell="J65" sqref="J65"/>
    </sheetView>
  </sheetViews>
  <sheetFormatPr defaultRowHeight="14.5" x14ac:dyDescent="0.35"/>
  <cols>
    <col min="3" max="3" width="48.6328125" customWidth="1"/>
    <col min="5" max="5" width="12.54296875" customWidth="1"/>
    <col min="7" max="7" width="11.6328125" customWidth="1"/>
    <col min="8" max="8" width="18.453125" customWidth="1"/>
    <col min="9" max="9" width="29.90625" customWidth="1"/>
    <col min="10" max="10" width="21.90625" customWidth="1"/>
    <col min="11" max="11" width="15.36328125" customWidth="1"/>
    <col min="12" max="12" width="10.54296875" customWidth="1"/>
  </cols>
  <sheetData>
    <row r="1" spans="2:10" x14ac:dyDescent="0.35">
      <c r="C1" s="12" t="s">
        <v>758</v>
      </c>
      <c r="D1" s="753" t="str">
        <f>+Introduction!E10</f>
        <v>Dairy Partners (Cymru Wales) Ltd</v>
      </c>
      <c r="E1" s="753"/>
      <c r="F1" s="753"/>
    </row>
    <row r="2" spans="2:10" x14ac:dyDescent="0.35">
      <c r="C2" s="12" t="s">
        <v>30</v>
      </c>
      <c r="D2" s="753" t="str">
        <f>+Introduction!K10</f>
        <v>WP3231NB</v>
      </c>
      <c r="E2" s="753"/>
      <c r="F2" s="753"/>
    </row>
    <row r="3" spans="2:10" ht="15" thickBot="1" x14ac:dyDescent="0.4"/>
    <row r="4" spans="2:10" ht="18.5" x14ac:dyDescent="0.45">
      <c r="B4" s="917" t="s">
        <v>342</v>
      </c>
      <c r="C4" s="918"/>
      <c r="D4" s="918"/>
      <c r="E4" s="918"/>
      <c r="F4" s="918"/>
      <c r="G4" s="918"/>
      <c r="H4" s="918"/>
      <c r="I4" s="918"/>
      <c r="J4" s="919"/>
    </row>
    <row r="5" spans="2:10" x14ac:dyDescent="0.35">
      <c r="B5" s="468"/>
      <c r="C5" s="469"/>
      <c r="D5" s="73"/>
      <c r="E5" s="469"/>
      <c r="F5" s="469"/>
      <c r="G5" s="469"/>
      <c r="H5" s="469"/>
      <c r="I5" s="469"/>
      <c r="J5" s="445"/>
    </row>
    <row r="6" spans="2:10" ht="59.25" customHeight="1" thickBot="1" x14ac:dyDescent="0.4">
      <c r="B6" s="470"/>
      <c r="C6" s="179"/>
      <c r="D6" s="180" t="s">
        <v>312</v>
      </c>
      <c r="E6" s="179" t="s">
        <v>343</v>
      </c>
      <c r="F6" s="179" t="s">
        <v>344</v>
      </c>
      <c r="G6" s="851" t="s">
        <v>345</v>
      </c>
      <c r="H6" s="852"/>
      <c r="I6" s="597" t="s">
        <v>346</v>
      </c>
      <c r="J6" s="628"/>
    </row>
    <row r="7" spans="2:10" x14ac:dyDescent="0.35">
      <c r="B7" s="471"/>
      <c r="C7" s="181"/>
      <c r="D7" s="182"/>
      <c r="E7" s="181"/>
      <c r="F7" s="181"/>
      <c r="G7" s="181"/>
      <c r="H7" s="181"/>
      <c r="I7" s="598"/>
      <c r="J7" s="629"/>
    </row>
    <row r="8" spans="2:10" x14ac:dyDescent="0.35">
      <c r="B8" s="853" t="s">
        <v>347</v>
      </c>
      <c r="C8" s="854"/>
      <c r="D8" s="854"/>
      <c r="E8" s="854"/>
      <c r="F8" s="854"/>
      <c r="G8" s="854"/>
      <c r="H8" s="854"/>
      <c r="I8" s="567"/>
      <c r="J8" s="630"/>
    </row>
    <row r="9" spans="2:10" x14ac:dyDescent="0.35">
      <c r="B9" s="472"/>
      <c r="C9" s="855" t="s">
        <v>348</v>
      </c>
      <c r="D9" s="855"/>
      <c r="E9" s="855"/>
      <c r="F9" s="855"/>
      <c r="G9" s="855"/>
      <c r="H9" s="855"/>
      <c r="I9" s="564"/>
      <c r="J9" s="631"/>
    </row>
    <row r="10" spans="2:10" ht="45.75" customHeight="1" x14ac:dyDescent="0.35">
      <c r="B10" s="473">
        <v>1</v>
      </c>
      <c r="C10" s="183" t="s">
        <v>349</v>
      </c>
      <c r="D10" s="260" t="s">
        <v>18</v>
      </c>
      <c r="E10" s="184">
        <v>2</v>
      </c>
      <c r="F10" s="262">
        <f>IF(D10="yes",2,0)</f>
        <v>2</v>
      </c>
      <c r="G10" s="856" t="s">
        <v>780</v>
      </c>
      <c r="H10" s="857"/>
      <c r="I10" s="694" t="s">
        <v>781</v>
      </c>
      <c r="J10" s="634"/>
    </row>
    <row r="11" spans="2:10" ht="60.75" customHeight="1" x14ac:dyDescent="0.35">
      <c r="B11" s="474">
        <v>2</v>
      </c>
      <c r="C11" s="186" t="s">
        <v>350</v>
      </c>
      <c r="D11" s="260" t="s">
        <v>18</v>
      </c>
      <c r="E11" s="185">
        <v>2</v>
      </c>
      <c r="F11" s="262">
        <f>IF(D11="yes",2,0)</f>
        <v>2</v>
      </c>
      <c r="G11" s="843" t="s">
        <v>782</v>
      </c>
      <c r="H11" s="844"/>
      <c r="I11" s="695" t="s">
        <v>783</v>
      </c>
      <c r="J11" s="635"/>
    </row>
    <row r="12" spans="2:10" ht="25" x14ac:dyDescent="0.35">
      <c r="B12" s="474">
        <v>3</v>
      </c>
      <c r="C12" s="186" t="s">
        <v>351</v>
      </c>
      <c r="D12" s="260" t="s">
        <v>18</v>
      </c>
      <c r="E12" s="185">
        <v>2</v>
      </c>
      <c r="F12" s="262">
        <f>IF(D12="yes",2,0)</f>
        <v>2</v>
      </c>
      <c r="G12" s="843" t="s">
        <v>780</v>
      </c>
      <c r="H12" s="844"/>
      <c r="I12" s="695" t="s">
        <v>784</v>
      </c>
      <c r="J12" s="635"/>
    </row>
    <row r="13" spans="2:10" ht="37.5" x14ac:dyDescent="0.35">
      <c r="B13" s="474">
        <v>4</v>
      </c>
      <c r="C13" s="186" t="s">
        <v>352</v>
      </c>
      <c r="D13" s="260" t="s">
        <v>18</v>
      </c>
      <c r="E13" s="185">
        <v>1</v>
      </c>
      <c r="F13" s="262">
        <f>IF(D13="yes",1,0)</f>
        <v>1</v>
      </c>
      <c r="G13" s="843" t="s">
        <v>782</v>
      </c>
      <c r="H13" s="844"/>
      <c r="I13" s="695" t="s">
        <v>783</v>
      </c>
      <c r="J13" s="635"/>
    </row>
    <row r="14" spans="2:10" ht="37.5" customHeight="1" x14ac:dyDescent="0.35">
      <c r="B14" s="474">
        <v>5</v>
      </c>
      <c r="C14" s="186" t="s">
        <v>353</v>
      </c>
      <c r="D14" s="260" t="s">
        <v>18</v>
      </c>
      <c r="E14" s="185">
        <v>1</v>
      </c>
      <c r="F14" s="262">
        <f>IF(D14="yes",1,0)</f>
        <v>1</v>
      </c>
      <c r="G14" s="843" t="s">
        <v>782</v>
      </c>
      <c r="H14" s="844"/>
      <c r="I14" s="695" t="s">
        <v>785</v>
      </c>
      <c r="J14" s="635"/>
    </row>
    <row r="15" spans="2:10" ht="25" x14ac:dyDescent="0.35">
      <c r="B15" s="474">
        <v>6</v>
      </c>
      <c r="C15" s="186" t="s">
        <v>354</v>
      </c>
      <c r="D15" s="260" t="s">
        <v>19</v>
      </c>
      <c r="E15" s="185">
        <v>2</v>
      </c>
      <c r="F15" s="262">
        <f>IF(D15="yes",2,0)</f>
        <v>0</v>
      </c>
      <c r="G15" s="843"/>
      <c r="H15" s="844"/>
      <c r="I15" s="695"/>
      <c r="J15" s="635"/>
    </row>
    <row r="16" spans="2:10" ht="37.5" x14ac:dyDescent="0.35">
      <c r="B16" s="474">
        <v>7</v>
      </c>
      <c r="C16" s="186" t="s">
        <v>355</v>
      </c>
      <c r="D16" s="260" t="s">
        <v>19</v>
      </c>
      <c r="E16" s="185">
        <v>2</v>
      </c>
      <c r="F16" s="262">
        <f>IF(D16="yes",2,0)</f>
        <v>0</v>
      </c>
      <c r="G16" s="843"/>
      <c r="H16" s="844"/>
      <c r="I16" s="695"/>
      <c r="J16" s="635"/>
    </row>
    <row r="17" spans="2:10" ht="37.5" x14ac:dyDescent="0.35">
      <c r="B17" s="474">
        <v>8</v>
      </c>
      <c r="C17" s="186" t="s">
        <v>356</v>
      </c>
      <c r="D17" s="260" t="s">
        <v>19</v>
      </c>
      <c r="E17" s="185">
        <v>-2</v>
      </c>
      <c r="F17" s="262">
        <f>IF(D17="yes",-2,0)</f>
        <v>0</v>
      </c>
      <c r="G17" s="843"/>
      <c r="H17" s="844"/>
      <c r="I17" s="695"/>
      <c r="J17" s="635"/>
    </row>
    <row r="18" spans="2:10" ht="25" customHeight="1" x14ac:dyDescent="0.35">
      <c r="B18" s="474">
        <v>9</v>
      </c>
      <c r="C18" s="186" t="s">
        <v>357</v>
      </c>
      <c r="D18" s="260" t="s">
        <v>18</v>
      </c>
      <c r="E18" s="185">
        <v>-3</v>
      </c>
      <c r="F18" s="262">
        <f>IF(D18="yes",-3,0)</f>
        <v>-3</v>
      </c>
      <c r="G18" s="843" t="s">
        <v>786</v>
      </c>
      <c r="H18" s="844"/>
      <c r="I18" s="695" t="s">
        <v>787</v>
      </c>
      <c r="J18" s="635"/>
    </row>
    <row r="19" spans="2:10" x14ac:dyDescent="0.35">
      <c r="B19" s="475"/>
      <c r="C19" s="187" t="s">
        <v>358</v>
      </c>
      <c r="D19" s="188"/>
      <c r="E19" s="189">
        <v>12</v>
      </c>
      <c r="F19" s="267">
        <f>SUM(F10:F18)</f>
        <v>5</v>
      </c>
      <c r="G19" s="860">
        <f>+F19/E19</f>
        <v>0.41666666666666669</v>
      </c>
      <c r="H19" s="861"/>
      <c r="I19" s="600"/>
      <c r="J19" s="635"/>
    </row>
    <row r="20" spans="2:10" x14ac:dyDescent="0.35">
      <c r="B20" s="476"/>
      <c r="C20" s="191"/>
      <c r="D20" s="192"/>
      <c r="E20" s="193"/>
      <c r="F20" s="194"/>
      <c r="G20" s="194"/>
      <c r="H20" s="194"/>
      <c r="I20" s="601"/>
      <c r="J20" s="635"/>
    </row>
    <row r="21" spans="2:10" x14ac:dyDescent="0.35">
      <c r="B21" s="853" t="s">
        <v>359</v>
      </c>
      <c r="C21" s="854"/>
      <c r="D21" s="854"/>
      <c r="E21" s="854"/>
      <c r="F21" s="854"/>
      <c r="G21" s="854"/>
      <c r="H21" s="854"/>
      <c r="I21" s="567"/>
      <c r="J21" s="635"/>
    </row>
    <row r="22" spans="2:10" x14ac:dyDescent="0.35">
      <c r="B22" s="477"/>
      <c r="C22" s="862" t="s">
        <v>360</v>
      </c>
      <c r="D22" s="862"/>
      <c r="E22" s="862"/>
      <c r="F22" s="862"/>
      <c r="G22" s="862"/>
      <c r="H22" s="862"/>
      <c r="I22" s="568"/>
      <c r="J22" s="635"/>
    </row>
    <row r="23" spans="2:10" x14ac:dyDescent="0.35">
      <c r="B23" s="478"/>
      <c r="C23" s="846" t="s">
        <v>361</v>
      </c>
      <c r="D23" s="846"/>
      <c r="E23" s="846"/>
      <c r="F23" s="846"/>
      <c r="G23" s="846"/>
      <c r="H23" s="846"/>
      <c r="I23" s="569"/>
      <c r="J23" s="635"/>
    </row>
    <row r="24" spans="2:10" x14ac:dyDescent="0.35">
      <c r="B24" s="478"/>
      <c r="C24" s="846" t="s">
        <v>362</v>
      </c>
      <c r="D24" s="846"/>
      <c r="E24" s="846"/>
      <c r="F24" s="846"/>
      <c r="G24" s="846"/>
      <c r="H24" s="846"/>
      <c r="I24" s="569"/>
      <c r="J24" s="635"/>
    </row>
    <row r="25" spans="2:10" x14ac:dyDescent="0.35">
      <c r="B25" s="479"/>
      <c r="C25" s="863" t="s">
        <v>363</v>
      </c>
      <c r="D25" s="863"/>
      <c r="E25" s="863"/>
      <c r="F25" s="863"/>
      <c r="G25" s="863"/>
      <c r="H25" s="863"/>
      <c r="I25" s="570"/>
      <c r="J25" s="635"/>
    </row>
    <row r="26" spans="2:10" ht="27.75" customHeight="1" x14ac:dyDescent="0.35">
      <c r="B26" s="480">
        <v>1</v>
      </c>
      <c r="C26" s="195" t="s">
        <v>364</v>
      </c>
      <c r="D26" s="864" t="s">
        <v>18</v>
      </c>
      <c r="E26" s="866">
        <v>3</v>
      </c>
      <c r="F26" s="868">
        <f>IF(D26="yes",3,0)</f>
        <v>3</v>
      </c>
      <c r="G26" s="870" t="s">
        <v>780</v>
      </c>
      <c r="H26" s="871"/>
      <c r="I26" s="858" t="s">
        <v>788</v>
      </c>
      <c r="J26" s="635"/>
    </row>
    <row r="27" spans="2:10" ht="72.75" customHeight="1" x14ac:dyDescent="0.35">
      <c r="B27" s="481"/>
      <c r="C27" s="196" t="s">
        <v>365</v>
      </c>
      <c r="D27" s="865"/>
      <c r="E27" s="867"/>
      <c r="F27" s="869"/>
      <c r="G27" s="872"/>
      <c r="H27" s="873"/>
      <c r="I27" s="859"/>
      <c r="J27" s="635"/>
    </row>
    <row r="28" spans="2:10" ht="47.25" customHeight="1" x14ac:dyDescent="0.35">
      <c r="B28" s="482">
        <v>2</v>
      </c>
      <c r="C28" s="186" t="s">
        <v>366</v>
      </c>
      <c r="D28" s="559"/>
      <c r="E28" s="197"/>
      <c r="F28" s="186"/>
      <c r="G28" s="849"/>
      <c r="H28" s="850"/>
      <c r="I28" s="602"/>
      <c r="J28" s="635"/>
    </row>
    <row r="29" spans="2:10" ht="63.75" customHeight="1" x14ac:dyDescent="0.35">
      <c r="B29" s="483"/>
      <c r="C29" s="198" t="s">
        <v>367</v>
      </c>
      <c r="D29" s="571" t="s">
        <v>18</v>
      </c>
      <c r="E29" s="185">
        <v>2</v>
      </c>
      <c r="F29" s="262">
        <f>IF(D29="yes",2,0)</f>
        <v>2</v>
      </c>
      <c r="G29" s="843" t="s">
        <v>780</v>
      </c>
      <c r="H29" s="844"/>
      <c r="I29" s="695" t="s">
        <v>789</v>
      </c>
      <c r="J29" s="635"/>
    </row>
    <row r="30" spans="2:10" ht="37.5" x14ac:dyDescent="0.35">
      <c r="B30" s="484"/>
      <c r="C30" s="198" t="s">
        <v>368</v>
      </c>
      <c r="D30" s="572" t="s">
        <v>18</v>
      </c>
      <c r="E30" s="185">
        <v>2</v>
      </c>
      <c r="F30" s="262">
        <f t="shared" ref="F30:F39" si="0">IF(D30="yes",2,0)</f>
        <v>2</v>
      </c>
      <c r="G30" s="843" t="s">
        <v>780</v>
      </c>
      <c r="H30" s="844"/>
      <c r="I30" s="695" t="s">
        <v>789</v>
      </c>
      <c r="J30" s="635"/>
    </row>
    <row r="31" spans="2:10" ht="63" customHeight="1" x14ac:dyDescent="0.35">
      <c r="B31" s="485"/>
      <c r="C31" s="198" t="s">
        <v>369</v>
      </c>
      <c r="D31" s="571" t="s">
        <v>18</v>
      </c>
      <c r="E31" s="185">
        <v>1</v>
      </c>
      <c r="F31" s="262">
        <f>IF(D31="yes",1,0)</f>
        <v>1</v>
      </c>
      <c r="G31" s="843" t="s">
        <v>780</v>
      </c>
      <c r="H31" s="844"/>
      <c r="I31" s="695" t="s">
        <v>789</v>
      </c>
      <c r="J31" s="635"/>
    </row>
    <row r="32" spans="2:10" ht="37.5" x14ac:dyDescent="0.35">
      <c r="B32" s="486"/>
      <c r="C32" s="198" t="s">
        <v>370</v>
      </c>
      <c r="D32" s="571" t="s">
        <v>18</v>
      </c>
      <c r="E32" s="185">
        <v>2</v>
      </c>
      <c r="F32" s="262">
        <f t="shared" si="0"/>
        <v>2</v>
      </c>
      <c r="G32" s="843" t="s">
        <v>780</v>
      </c>
      <c r="H32" s="844"/>
      <c r="I32" s="695" t="s">
        <v>789</v>
      </c>
      <c r="J32" s="635"/>
    </row>
    <row r="33" spans="2:10" ht="25" x14ac:dyDescent="0.35">
      <c r="B33" s="486"/>
      <c r="C33" s="198" t="s">
        <v>371</v>
      </c>
      <c r="D33" s="571" t="s">
        <v>18</v>
      </c>
      <c r="E33" s="185">
        <v>2</v>
      </c>
      <c r="F33" s="262">
        <f t="shared" si="0"/>
        <v>2</v>
      </c>
      <c r="G33" s="843" t="s">
        <v>780</v>
      </c>
      <c r="H33" s="844"/>
      <c r="I33" s="695" t="s">
        <v>789</v>
      </c>
      <c r="J33" s="635"/>
    </row>
    <row r="34" spans="2:10" ht="37.5" x14ac:dyDescent="0.35">
      <c r="B34" s="474">
        <v>3</v>
      </c>
      <c r="C34" s="186" t="s">
        <v>372</v>
      </c>
      <c r="D34" s="571" t="s">
        <v>18</v>
      </c>
      <c r="E34" s="185">
        <v>1</v>
      </c>
      <c r="F34" s="262">
        <f>IF(D34="yes",1,0)</f>
        <v>1</v>
      </c>
      <c r="G34" s="843" t="s">
        <v>786</v>
      </c>
      <c r="H34" s="844"/>
      <c r="I34" s="695" t="s">
        <v>790</v>
      </c>
      <c r="J34" s="635"/>
    </row>
    <row r="35" spans="2:10" ht="37.5" x14ac:dyDescent="0.35">
      <c r="B35" s="474">
        <v>4</v>
      </c>
      <c r="C35" s="186" t="s">
        <v>373</v>
      </c>
      <c r="D35" s="571" t="s">
        <v>19</v>
      </c>
      <c r="E35" s="185">
        <v>1</v>
      </c>
      <c r="F35" s="262">
        <f>IF(D35="yes",1,0)</f>
        <v>0</v>
      </c>
      <c r="G35" s="843"/>
      <c r="H35" s="844"/>
      <c r="I35" s="695"/>
      <c r="J35" s="635"/>
    </row>
    <row r="36" spans="2:10" ht="50" x14ac:dyDescent="0.35">
      <c r="B36" s="474">
        <v>5</v>
      </c>
      <c r="C36" s="186" t="s">
        <v>374</v>
      </c>
      <c r="D36" s="571" t="s">
        <v>19</v>
      </c>
      <c r="E36" s="185">
        <v>1</v>
      </c>
      <c r="F36" s="262">
        <f>IF(D36="yes",1,0)</f>
        <v>0</v>
      </c>
      <c r="G36" s="843"/>
      <c r="H36" s="844"/>
      <c r="I36" s="695"/>
      <c r="J36" s="635"/>
    </row>
    <row r="37" spans="2:10" ht="37.5" x14ac:dyDescent="0.35">
      <c r="B37" s="474">
        <v>6</v>
      </c>
      <c r="C37" s="186" t="s">
        <v>375</v>
      </c>
      <c r="D37" s="571" t="s">
        <v>19</v>
      </c>
      <c r="E37" s="185">
        <v>-2</v>
      </c>
      <c r="F37" s="262">
        <f>IF(D37="yes",-2,0)</f>
        <v>0</v>
      </c>
      <c r="G37" s="843"/>
      <c r="H37" s="844"/>
      <c r="I37" s="695"/>
      <c r="J37" s="635"/>
    </row>
    <row r="38" spans="2:10" ht="37.5" x14ac:dyDescent="0.35">
      <c r="B38" s="474">
        <v>7</v>
      </c>
      <c r="C38" s="186" t="s">
        <v>760</v>
      </c>
      <c r="D38" s="571" t="s">
        <v>698</v>
      </c>
      <c r="E38" s="185">
        <v>-2</v>
      </c>
      <c r="F38" s="262">
        <f>IF(D38="no",-2,0)</f>
        <v>0</v>
      </c>
      <c r="G38" s="843"/>
      <c r="H38" s="844"/>
      <c r="I38" s="695"/>
      <c r="J38" s="635"/>
    </row>
    <row r="39" spans="2:10" ht="25" x14ac:dyDescent="0.35">
      <c r="B39" s="474">
        <v>8</v>
      </c>
      <c r="C39" s="186" t="s">
        <v>376</v>
      </c>
      <c r="D39" s="261" t="s">
        <v>18</v>
      </c>
      <c r="E39" s="185">
        <v>2</v>
      </c>
      <c r="F39" s="262">
        <f t="shared" si="0"/>
        <v>2</v>
      </c>
      <c r="G39" s="843" t="s">
        <v>786</v>
      </c>
      <c r="H39" s="844"/>
      <c r="I39" s="695" t="s">
        <v>791</v>
      </c>
      <c r="J39" s="635"/>
    </row>
    <row r="40" spans="2:10" x14ac:dyDescent="0.35">
      <c r="B40" s="487"/>
      <c r="C40" s="199" t="s">
        <v>377</v>
      </c>
      <c r="D40" s="200"/>
      <c r="E40" s="201">
        <v>17</v>
      </c>
      <c r="F40" s="266">
        <f>SUM(F26:F39)</f>
        <v>15</v>
      </c>
      <c r="G40" s="874">
        <f>+F40/E40</f>
        <v>0.88235294117647056</v>
      </c>
      <c r="H40" s="875"/>
      <c r="I40" s="603"/>
      <c r="J40" s="635"/>
    </row>
    <row r="41" spans="2:10" x14ac:dyDescent="0.35">
      <c r="B41" s="488"/>
      <c r="C41" s="202"/>
      <c r="D41" s="203"/>
      <c r="E41" s="204"/>
      <c r="F41" s="202"/>
      <c r="G41" s="205"/>
      <c r="H41" s="205"/>
      <c r="I41" s="504"/>
      <c r="J41" s="635"/>
    </row>
    <row r="42" spans="2:10" x14ac:dyDescent="0.35">
      <c r="B42" s="853" t="s">
        <v>378</v>
      </c>
      <c r="C42" s="854"/>
      <c r="D42" s="854"/>
      <c r="E42" s="854"/>
      <c r="F42" s="854"/>
      <c r="G42" s="854"/>
      <c r="H42" s="854"/>
      <c r="I42" s="567"/>
      <c r="J42" s="635"/>
    </row>
    <row r="43" spans="2:10" x14ac:dyDescent="0.35">
      <c r="B43" s="489"/>
      <c r="C43" s="876" t="s">
        <v>379</v>
      </c>
      <c r="D43" s="862"/>
      <c r="E43" s="862"/>
      <c r="F43" s="862"/>
      <c r="G43" s="862"/>
      <c r="H43" s="862"/>
      <c r="I43" s="568"/>
      <c r="J43" s="635"/>
    </row>
    <row r="44" spans="2:10" x14ac:dyDescent="0.35">
      <c r="B44" s="490"/>
      <c r="C44" s="845" t="s">
        <v>380</v>
      </c>
      <c r="D44" s="846"/>
      <c r="E44" s="846"/>
      <c r="F44" s="846"/>
      <c r="G44" s="846"/>
      <c r="H44" s="846"/>
      <c r="I44" s="569"/>
      <c r="J44" s="635"/>
    </row>
    <row r="45" spans="2:10" x14ac:dyDescent="0.35">
      <c r="B45" s="490"/>
      <c r="C45" s="845" t="s">
        <v>381</v>
      </c>
      <c r="D45" s="846"/>
      <c r="E45" s="846"/>
      <c r="F45" s="846"/>
      <c r="G45" s="846"/>
      <c r="H45" s="846"/>
      <c r="I45" s="569"/>
      <c r="J45" s="635"/>
    </row>
    <row r="46" spans="2:10" x14ac:dyDescent="0.35">
      <c r="B46" s="490"/>
      <c r="C46" s="845" t="s">
        <v>382</v>
      </c>
      <c r="D46" s="846"/>
      <c r="E46" s="846"/>
      <c r="F46" s="846"/>
      <c r="G46" s="846"/>
      <c r="H46" s="846"/>
      <c r="I46" s="604"/>
      <c r="J46" s="635"/>
    </row>
    <row r="47" spans="2:10" x14ac:dyDescent="0.35">
      <c r="B47" s="490"/>
      <c r="C47" s="845"/>
      <c r="D47" s="846"/>
      <c r="E47" s="846"/>
      <c r="F47" s="846"/>
      <c r="G47" s="846"/>
      <c r="H47" s="846"/>
      <c r="I47" s="569"/>
      <c r="J47" s="635"/>
    </row>
    <row r="48" spans="2:10" x14ac:dyDescent="0.35">
      <c r="B48" s="490"/>
      <c r="C48" s="847" t="s">
        <v>383</v>
      </c>
      <c r="D48" s="848"/>
      <c r="E48" s="848"/>
      <c r="F48" s="848"/>
      <c r="G48" s="848"/>
      <c r="H48" s="848"/>
      <c r="I48" s="605"/>
      <c r="J48" s="635"/>
    </row>
    <row r="49" spans="1:11" x14ac:dyDescent="0.35">
      <c r="B49" s="490"/>
      <c r="C49" s="847" t="s">
        <v>384</v>
      </c>
      <c r="D49" s="848"/>
      <c r="E49" s="848"/>
      <c r="F49" s="848"/>
      <c r="G49" s="848"/>
      <c r="H49" s="848"/>
      <c r="I49" s="605"/>
      <c r="J49" s="635"/>
    </row>
    <row r="50" spans="1:11" x14ac:dyDescent="0.35">
      <c r="B50" s="491"/>
      <c r="C50" s="847" t="s">
        <v>385</v>
      </c>
      <c r="D50" s="848"/>
      <c r="E50" s="848"/>
      <c r="F50" s="848"/>
      <c r="G50" s="848"/>
      <c r="H50" s="848"/>
      <c r="I50" s="606"/>
      <c r="J50" s="635"/>
    </row>
    <row r="51" spans="1:11" ht="55.5" customHeight="1" x14ac:dyDescent="0.35">
      <c r="B51" s="473">
        <v>1</v>
      </c>
      <c r="C51" s="183" t="s">
        <v>386</v>
      </c>
      <c r="D51" s="261" t="s">
        <v>18</v>
      </c>
      <c r="E51" s="184">
        <v>4</v>
      </c>
      <c r="F51" s="263">
        <f>IF(D51="yes",4,0)</f>
        <v>4</v>
      </c>
      <c r="G51" s="879" t="s">
        <v>780</v>
      </c>
      <c r="H51" s="880"/>
      <c r="I51" s="696" t="s">
        <v>792</v>
      </c>
      <c r="J51" s="635"/>
    </row>
    <row r="52" spans="1:11" ht="25" x14ac:dyDescent="0.35">
      <c r="B52" s="474">
        <v>2</v>
      </c>
      <c r="C52" s="186" t="s">
        <v>387</v>
      </c>
      <c r="D52" s="261" t="s">
        <v>18</v>
      </c>
      <c r="E52" s="185">
        <v>1</v>
      </c>
      <c r="F52" s="263">
        <f>IF(D52="no",1,0)</f>
        <v>0</v>
      </c>
      <c r="G52" s="877" t="s">
        <v>780</v>
      </c>
      <c r="H52" s="878"/>
      <c r="I52" s="695" t="s">
        <v>793</v>
      </c>
      <c r="J52" s="635"/>
    </row>
    <row r="53" spans="1:11" ht="71.25" customHeight="1" x14ac:dyDescent="0.35">
      <c r="A53" s="159"/>
      <c r="B53" s="492">
        <v>2.1</v>
      </c>
      <c r="C53" s="198" t="s">
        <v>705</v>
      </c>
      <c r="D53" s="261" t="s">
        <v>18</v>
      </c>
      <c r="E53" s="185">
        <v>-2</v>
      </c>
      <c r="F53" s="263">
        <f>IF(D53="NO",-2,0)</f>
        <v>0</v>
      </c>
      <c r="G53" s="884" t="s">
        <v>780</v>
      </c>
      <c r="H53" s="885"/>
      <c r="I53" s="695" t="s">
        <v>793</v>
      </c>
      <c r="J53" s="636"/>
    </row>
    <row r="54" spans="1:11" ht="55.5" customHeight="1" x14ac:dyDescent="0.35">
      <c r="B54" s="474">
        <v>3</v>
      </c>
      <c r="C54" s="186" t="s">
        <v>388</v>
      </c>
      <c r="D54" s="261" t="s">
        <v>18</v>
      </c>
      <c r="E54" s="185">
        <v>1</v>
      </c>
      <c r="F54" s="263">
        <f>IF(D54="yes",1,0)</f>
        <v>1</v>
      </c>
      <c r="G54" s="843" t="s">
        <v>780</v>
      </c>
      <c r="H54" s="844"/>
      <c r="I54" s="695" t="s">
        <v>794</v>
      </c>
      <c r="J54" s="635"/>
    </row>
    <row r="55" spans="1:11" ht="49.5" customHeight="1" x14ac:dyDescent="0.35">
      <c r="B55" s="474">
        <v>4</v>
      </c>
      <c r="C55" s="186" t="s">
        <v>389</v>
      </c>
      <c r="D55" s="261" t="s">
        <v>18</v>
      </c>
      <c r="E55" s="185">
        <v>1</v>
      </c>
      <c r="F55" s="263">
        <f>IF(D55="yes",1,0)</f>
        <v>1</v>
      </c>
      <c r="G55" s="843" t="s">
        <v>780</v>
      </c>
      <c r="H55" s="844"/>
      <c r="I55" s="695" t="s">
        <v>794</v>
      </c>
      <c r="J55" s="635"/>
    </row>
    <row r="56" spans="1:11" ht="68.25" customHeight="1" x14ac:dyDescent="0.35">
      <c r="B56" s="474">
        <v>5</v>
      </c>
      <c r="C56" s="186" t="s">
        <v>390</v>
      </c>
      <c r="D56" s="261" t="s">
        <v>18</v>
      </c>
      <c r="E56" s="185">
        <v>2</v>
      </c>
      <c r="F56" s="263">
        <f>IF(D56="yes",2,0)</f>
        <v>2</v>
      </c>
      <c r="G56" s="843" t="s">
        <v>780</v>
      </c>
      <c r="H56" s="844"/>
      <c r="I56" s="695" t="s">
        <v>795</v>
      </c>
      <c r="J56" s="635"/>
    </row>
    <row r="57" spans="1:11" ht="69.75" customHeight="1" x14ac:dyDescent="0.35">
      <c r="B57" s="474">
        <v>6</v>
      </c>
      <c r="C57" s="186" t="s">
        <v>391</v>
      </c>
      <c r="D57" s="261" t="s">
        <v>19</v>
      </c>
      <c r="E57" s="185">
        <v>-2</v>
      </c>
      <c r="F57" s="263">
        <f>IF(D57="yes",-2,0)</f>
        <v>0</v>
      </c>
      <c r="G57" s="843"/>
      <c r="H57" s="844"/>
      <c r="I57" s="695"/>
      <c r="J57" s="635"/>
    </row>
    <row r="58" spans="1:11" ht="71.25" customHeight="1" x14ac:dyDescent="0.35">
      <c r="B58" s="474">
        <v>7</v>
      </c>
      <c r="C58" s="186" t="s">
        <v>392</v>
      </c>
      <c r="D58" s="261" t="s">
        <v>19</v>
      </c>
      <c r="E58" s="185">
        <v>3</v>
      </c>
      <c r="F58" s="263">
        <f>IF(D58="yes",3,0)</f>
        <v>0</v>
      </c>
      <c r="G58" s="843"/>
      <c r="H58" s="844"/>
      <c r="I58" s="695"/>
      <c r="J58" s="635"/>
    </row>
    <row r="59" spans="1:11" x14ac:dyDescent="0.35">
      <c r="B59" s="487"/>
      <c r="C59" s="199" t="s">
        <v>393</v>
      </c>
      <c r="D59" s="200"/>
      <c r="E59" s="201">
        <f>SUMIF(E51:E58,"&gt;0",E51:E58)</f>
        <v>12</v>
      </c>
      <c r="F59" s="266">
        <f>SUM(F51:F58)</f>
        <v>8</v>
      </c>
      <c r="G59" s="886">
        <f>+F59/E59</f>
        <v>0.66666666666666663</v>
      </c>
      <c r="H59" s="887"/>
      <c r="I59" s="607"/>
      <c r="J59" s="635"/>
    </row>
    <row r="60" spans="1:11" x14ac:dyDescent="0.35">
      <c r="B60" s="488"/>
      <c r="C60" s="202"/>
      <c r="D60" s="203"/>
      <c r="E60" s="204"/>
      <c r="F60" s="202"/>
      <c r="G60" s="205"/>
      <c r="H60" s="205"/>
      <c r="I60" s="504"/>
      <c r="J60" s="635"/>
    </row>
    <row r="61" spans="1:11" x14ac:dyDescent="0.35">
      <c r="B61" s="853" t="s">
        <v>394</v>
      </c>
      <c r="C61" s="854"/>
      <c r="D61" s="854"/>
      <c r="E61" s="854"/>
      <c r="F61" s="854"/>
      <c r="G61" s="854"/>
      <c r="H61" s="854"/>
      <c r="I61" s="567"/>
      <c r="J61" s="635"/>
    </row>
    <row r="62" spans="1:11" ht="33" customHeight="1" x14ac:dyDescent="0.35">
      <c r="B62" s="566"/>
      <c r="C62" s="888" t="s">
        <v>701</v>
      </c>
      <c r="D62" s="889"/>
      <c r="E62" s="889"/>
      <c r="F62" s="889"/>
      <c r="G62" s="889"/>
      <c r="H62" s="889"/>
      <c r="I62" s="567"/>
      <c r="J62" s="635"/>
    </row>
    <row r="63" spans="1:11" x14ac:dyDescent="0.35">
      <c r="B63" s="493"/>
      <c r="C63" s="855" t="s">
        <v>395</v>
      </c>
      <c r="D63" s="855"/>
      <c r="E63" s="855"/>
      <c r="F63" s="855"/>
      <c r="G63" s="855"/>
      <c r="H63" s="855"/>
      <c r="I63" s="564"/>
      <c r="J63" s="635"/>
    </row>
    <row r="64" spans="1:11" ht="45" customHeight="1" x14ac:dyDescent="0.35">
      <c r="B64" s="494">
        <v>1</v>
      </c>
      <c r="C64" s="881" t="s">
        <v>396</v>
      </c>
      <c r="D64" s="882"/>
      <c r="E64" s="883"/>
      <c r="F64" s="883"/>
      <c r="G64" s="883"/>
      <c r="H64" s="883"/>
      <c r="I64" s="565"/>
      <c r="J64" s="635"/>
      <c r="K64" s="691"/>
    </row>
    <row r="65" spans="2:11" ht="59.25" customHeight="1" x14ac:dyDescent="0.35">
      <c r="B65" s="556">
        <v>1.1000000000000001</v>
      </c>
      <c r="C65" s="206" t="s">
        <v>771</v>
      </c>
      <c r="D65" s="261" t="s">
        <v>19</v>
      </c>
      <c r="E65" s="313">
        <v>20</v>
      </c>
      <c r="F65" s="264">
        <f>IF(D65="yes",20,0)</f>
        <v>0</v>
      </c>
      <c r="G65" s="843"/>
      <c r="H65" s="844"/>
      <c r="I65" s="608"/>
      <c r="J65" s="644" t="str">
        <f>IF(OR(AND(D65="yes",I65=""),(AND(D65="",I65="")),D65=""),"incomplete","complete")</f>
        <v>complete</v>
      </c>
      <c r="K65" s="643" t="str">
        <f>IF(D65="yes", "Enter details of your EMAS certifcate number, certification body and their UKAS registration number into cell I65","")</f>
        <v/>
      </c>
    </row>
    <row r="66" spans="2:11" ht="76.5" customHeight="1" x14ac:dyDescent="0.35">
      <c r="B66" s="556">
        <v>1.2</v>
      </c>
      <c r="C66" s="206" t="s">
        <v>772</v>
      </c>
      <c r="D66" s="261" t="s">
        <v>19</v>
      </c>
      <c r="E66" s="313">
        <v>15</v>
      </c>
      <c r="F66" s="264">
        <f>IF(D66="yes",15,0)</f>
        <v>0</v>
      </c>
      <c r="G66" s="843"/>
      <c r="H66" s="844"/>
      <c r="I66" s="608"/>
      <c r="J66" s="644" t="str">
        <f>IF(OR(AND(D66="yes",I66=""),(AND(D66="",I66="")),D66=""),"incomplete","complete")</f>
        <v>complete</v>
      </c>
      <c r="K66" s="159" t="str">
        <f>IF(D66="yes", "Enter details of your EMS certifcate number, certification body and their UKAS registration number into cell I66","")</f>
        <v/>
      </c>
    </row>
    <row r="67" spans="2:11" ht="75" x14ac:dyDescent="0.35">
      <c r="B67" s="556">
        <v>1.3</v>
      </c>
      <c r="C67" s="206" t="s">
        <v>773</v>
      </c>
      <c r="D67" s="261" t="s">
        <v>19</v>
      </c>
      <c r="E67" s="314">
        <v>12</v>
      </c>
      <c r="F67" s="264">
        <f>IF(D67="yes",12,0)</f>
        <v>0</v>
      </c>
      <c r="G67" s="843"/>
      <c r="H67" s="844"/>
      <c r="I67" s="692"/>
      <c r="J67" s="644" t="str">
        <f>IF(OR(AND(D67="yes",I67=""),(AND(D67="",I67="")),D67=""),"incomplete","complete")</f>
        <v>complete</v>
      </c>
      <c r="K67" s="159" t="str">
        <f>IF(D67="yes", "Enter details of your EMS audit body and methodology into cell I67","")</f>
        <v/>
      </c>
    </row>
    <row r="68" spans="2:11" x14ac:dyDescent="0.35">
      <c r="B68" s="487"/>
      <c r="C68" s="207" t="s">
        <v>397</v>
      </c>
      <c r="D68" s="559"/>
      <c r="E68" s="559">
        <v>20</v>
      </c>
      <c r="F68" s="265">
        <f>IF(D65="yes",F65,(IF(D66="yes",F66,(IF(D67="yes",F67,0)))))</f>
        <v>0</v>
      </c>
      <c r="G68" s="894">
        <f>+F68/E68</f>
        <v>0</v>
      </c>
      <c r="H68" s="895"/>
      <c r="I68" s="609" t="s">
        <v>443</v>
      </c>
      <c r="J68" s="635"/>
    </row>
    <row r="69" spans="2:11" x14ac:dyDescent="0.35">
      <c r="B69" s="495">
        <v>2</v>
      </c>
      <c r="C69" s="896" t="s">
        <v>684</v>
      </c>
      <c r="D69" s="897"/>
      <c r="E69" s="897"/>
      <c r="F69" s="897"/>
      <c r="G69" s="897"/>
      <c r="H69" s="897"/>
      <c r="I69" s="897"/>
      <c r="J69" s="635"/>
    </row>
    <row r="70" spans="2:11" ht="47.25" customHeight="1" x14ac:dyDescent="0.35">
      <c r="B70" s="482">
        <v>2.1</v>
      </c>
      <c r="C70" s="890" t="s">
        <v>398</v>
      </c>
      <c r="D70" s="892"/>
      <c r="E70" s="892"/>
      <c r="F70" s="892"/>
      <c r="G70" s="892"/>
      <c r="H70" s="892"/>
      <c r="I70" s="892"/>
      <c r="J70" s="635"/>
    </row>
    <row r="71" spans="2:11" ht="90.75" customHeight="1" x14ac:dyDescent="0.35">
      <c r="B71" s="474"/>
      <c r="C71" s="208" t="s">
        <v>399</v>
      </c>
      <c r="D71" s="261" t="s">
        <v>18</v>
      </c>
      <c r="E71" s="315">
        <v>1</v>
      </c>
      <c r="F71" s="262">
        <f>IF(D71="Yes",1,0)</f>
        <v>1</v>
      </c>
      <c r="G71" s="843" t="s">
        <v>786</v>
      </c>
      <c r="H71" s="893"/>
      <c r="I71" s="695" t="s">
        <v>796</v>
      </c>
      <c r="J71" s="644" t="str">
        <f>IF(OR(AND(D71="yes",I71=""),(AND(D71="",I71="")),D71=""),"incomplete","complete")</f>
        <v>complete</v>
      </c>
    </row>
    <row r="72" spans="2:11" ht="53.25" customHeight="1" x14ac:dyDescent="0.35">
      <c r="B72" s="474"/>
      <c r="C72" s="208" t="s">
        <v>400</v>
      </c>
      <c r="D72" s="261" t="s">
        <v>18</v>
      </c>
      <c r="E72" s="315">
        <v>1</v>
      </c>
      <c r="F72" s="262">
        <f t="shared" ref="F72:F83" si="1">IF(D72="Yes",1,0)</f>
        <v>1</v>
      </c>
      <c r="G72" s="843" t="s">
        <v>786</v>
      </c>
      <c r="H72" s="893"/>
      <c r="I72" s="695" t="s">
        <v>796</v>
      </c>
      <c r="J72" s="644" t="str">
        <f>IF(OR(AND(D72="yes",I72=""),(AND(D72="",I72="")),D72=""),"incomplete","complete")</f>
        <v>complete</v>
      </c>
    </row>
    <row r="73" spans="2:11" ht="25" customHeight="1" x14ac:dyDescent="0.35">
      <c r="B73" s="496"/>
      <c r="C73" s="209" t="s">
        <v>401</v>
      </c>
      <c r="D73" s="261" t="s">
        <v>18</v>
      </c>
      <c r="E73" s="316">
        <v>1</v>
      </c>
      <c r="F73" s="262">
        <f t="shared" si="1"/>
        <v>1</v>
      </c>
      <c r="G73" s="843" t="s">
        <v>786</v>
      </c>
      <c r="H73" s="893"/>
      <c r="I73" s="697" t="s">
        <v>796</v>
      </c>
      <c r="J73" s="644" t="str">
        <f>IF(OR(AND(D73="yes",I73=""),(AND(D73="",I73="")),D73=""),"incomplete","complete")</f>
        <v>complete</v>
      </c>
    </row>
    <row r="74" spans="2:11" ht="40.5" customHeight="1" x14ac:dyDescent="0.35">
      <c r="B74" s="497">
        <v>2.2000000000000002</v>
      </c>
      <c r="C74" s="890" t="s">
        <v>402</v>
      </c>
      <c r="D74" s="891"/>
      <c r="E74" s="892"/>
      <c r="F74" s="892"/>
      <c r="G74" s="892"/>
      <c r="H74" s="892"/>
      <c r="I74" s="611"/>
      <c r="J74" s="635"/>
    </row>
    <row r="75" spans="2:11" ht="72.75" customHeight="1" x14ac:dyDescent="0.35">
      <c r="B75" s="486"/>
      <c r="C75" s="208" t="s">
        <v>403</v>
      </c>
      <c r="D75" s="261" t="s">
        <v>19</v>
      </c>
      <c r="E75" s="317">
        <v>1</v>
      </c>
      <c r="F75" s="262">
        <f t="shared" si="1"/>
        <v>0</v>
      </c>
      <c r="G75" s="843"/>
      <c r="H75" s="893"/>
      <c r="I75" s="599"/>
      <c r="J75" s="644" t="str">
        <f t="shared" ref="J75:J81" si="2">IF(OR(AND(D75="yes",I75=""),(AND(D75="",I75="")),D75=""),"incomplete","complete")</f>
        <v>complete</v>
      </c>
    </row>
    <row r="76" spans="2:11" ht="27" customHeight="1" x14ac:dyDescent="0.35">
      <c r="B76" s="486"/>
      <c r="C76" s="208" t="s">
        <v>404</v>
      </c>
      <c r="D76" s="261" t="s">
        <v>19</v>
      </c>
      <c r="E76" s="317">
        <v>1</v>
      </c>
      <c r="F76" s="262">
        <f t="shared" si="1"/>
        <v>0</v>
      </c>
      <c r="G76" s="843"/>
      <c r="H76" s="893"/>
      <c r="I76" s="612"/>
      <c r="J76" s="644" t="str">
        <f t="shared" si="2"/>
        <v>complete</v>
      </c>
    </row>
    <row r="77" spans="2:11" ht="31.5" customHeight="1" x14ac:dyDescent="0.35">
      <c r="B77" s="486"/>
      <c r="C77" s="208" t="s">
        <v>405</v>
      </c>
      <c r="D77" s="261" t="s">
        <v>19</v>
      </c>
      <c r="E77" s="317">
        <v>1</v>
      </c>
      <c r="F77" s="262">
        <f t="shared" si="1"/>
        <v>0</v>
      </c>
      <c r="G77" s="843"/>
      <c r="H77" s="893"/>
      <c r="I77" s="599"/>
      <c r="J77" s="644" t="str">
        <f t="shared" si="2"/>
        <v>complete</v>
      </c>
    </row>
    <row r="78" spans="2:11" ht="70.5" customHeight="1" x14ac:dyDescent="0.35">
      <c r="B78" s="483"/>
      <c r="C78" s="209" t="s">
        <v>406</v>
      </c>
      <c r="D78" s="261" t="s">
        <v>19</v>
      </c>
      <c r="E78" s="318">
        <v>1</v>
      </c>
      <c r="F78" s="262">
        <f t="shared" si="1"/>
        <v>0</v>
      </c>
      <c r="G78" s="843"/>
      <c r="H78" s="893"/>
      <c r="I78" s="610"/>
      <c r="J78" s="644" t="str">
        <f t="shared" si="2"/>
        <v>complete</v>
      </c>
    </row>
    <row r="79" spans="2:11" ht="40.5" customHeight="1" x14ac:dyDescent="0.35">
      <c r="B79" s="498">
        <v>2.2999999999999998</v>
      </c>
      <c r="C79" s="340" t="s">
        <v>407</v>
      </c>
      <c r="D79" s="261" t="s">
        <v>19</v>
      </c>
      <c r="E79" s="319">
        <v>1</v>
      </c>
      <c r="F79" s="262">
        <f t="shared" si="1"/>
        <v>0</v>
      </c>
      <c r="G79" s="843"/>
      <c r="H79" s="893"/>
      <c r="I79" s="613"/>
      <c r="J79" s="644" t="str">
        <f t="shared" si="2"/>
        <v>complete</v>
      </c>
    </row>
    <row r="80" spans="2:11" ht="103.5" customHeight="1" x14ac:dyDescent="0.35">
      <c r="B80" s="499">
        <v>2.4</v>
      </c>
      <c r="C80" s="341" t="s">
        <v>408</v>
      </c>
      <c r="D80" s="261" t="s">
        <v>19</v>
      </c>
      <c r="E80" s="320">
        <v>2</v>
      </c>
      <c r="F80" s="262">
        <f>IF(D80="Yes",2,0)</f>
        <v>0</v>
      </c>
      <c r="G80" s="843"/>
      <c r="H80" s="893"/>
      <c r="I80" s="614"/>
      <c r="J80" s="644" t="str">
        <f t="shared" si="2"/>
        <v>complete</v>
      </c>
    </row>
    <row r="81" spans="2:11" ht="98.25" customHeight="1" x14ac:dyDescent="0.35">
      <c r="B81" s="481">
        <v>2.5</v>
      </c>
      <c r="C81" s="342" t="s">
        <v>409</v>
      </c>
      <c r="D81" s="261" t="s">
        <v>18</v>
      </c>
      <c r="E81" s="321">
        <v>1</v>
      </c>
      <c r="F81" s="262">
        <f t="shared" si="1"/>
        <v>1</v>
      </c>
      <c r="G81" s="843" t="s">
        <v>780</v>
      </c>
      <c r="H81" s="893"/>
      <c r="I81" s="698" t="s">
        <v>797</v>
      </c>
      <c r="J81" s="644" t="str">
        <f t="shared" si="2"/>
        <v>complete</v>
      </c>
    </row>
    <row r="82" spans="2:11" ht="37.5" customHeight="1" x14ac:dyDescent="0.35">
      <c r="B82" s="481"/>
      <c r="C82" s="914" t="s">
        <v>700</v>
      </c>
      <c r="D82" s="915"/>
      <c r="E82" s="915"/>
      <c r="F82" s="916"/>
      <c r="G82" s="561"/>
      <c r="H82" s="562"/>
      <c r="I82" s="615"/>
      <c r="J82" s="635"/>
    </row>
    <row r="83" spans="2:11" ht="113.25" customHeight="1" x14ac:dyDescent="0.35">
      <c r="B83" s="500">
        <v>3</v>
      </c>
      <c r="C83" s="210" t="s">
        <v>685</v>
      </c>
      <c r="D83" s="268" t="s">
        <v>19</v>
      </c>
      <c r="E83" s="322">
        <v>1</v>
      </c>
      <c r="F83" s="262">
        <f t="shared" si="1"/>
        <v>0</v>
      </c>
      <c r="G83" s="843"/>
      <c r="H83" s="893"/>
      <c r="I83" s="616"/>
      <c r="J83" s="645" t="str">
        <f>IF(OR(AND(D65="yes",I65="",D83=""),OR(AND(D66="yes",D83="yes",I83=""),D83=""),OR(AND(D67="yes",D83="yes",I83=""),D83=""),OR(AND(D65="no",D66="no",D67="no",D83="yes",I83="")),D83=""),"incomplete","complete")</f>
        <v>complete</v>
      </c>
      <c r="K83" s="159" t="str">
        <f>IF(D83="Yes","Provide a link to the public environmental statement in cell I83","")</f>
        <v/>
      </c>
    </row>
    <row r="84" spans="2:11" ht="63.5" x14ac:dyDescent="0.35">
      <c r="B84" s="500">
        <v>4</v>
      </c>
      <c r="C84" s="210" t="s">
        <v>696</v>
      </c>
      <c r="D84" s="268">
        <v>2</v>
      </c>
      <c r="E84" s="322">
        <v>-2</v>
      </c>
      <c r="F84" s="270">
        <f>IF(D84="none",0,+E84*D84)</f>
        <v>-4</v>
      </c>
      <c r="G84" s="843"/>
      <c r="H84" s="893"/>
      <c r="I84" s="699" t="s">
        <v>798</v>
      </c>
      <c r="J84" s="700" t="str">
        <f>IF(OR(D8="none",D84&gt;0),"complete","InComplete")</f>
        <v>complete</v>
      </c>
    </row>
    <row r="85" spans="2:11" x14ac:dyDescent="0.35">
      <c r="B85" s="501"/>
      <c r="C85" s="211" t="s">
        <v>410</v>
      </c>
      <c r="D85" s="212"/>
      <c r="E85" s="212">
        <v>20</v>
      </c>
      <c r="F85" s="269">
        <f>SUM(F75:F84)+SUM(F68:F73)</f>
        <v>0</v>
      </c>
      <c r="G85" s="908">
        <f>+F85/E85</f>
        <v>0</v>
      </c>
      <c r="H85" s="909"/>
      <c r="I85" s="205"/>
      <c r="J85" s="635"/>
    </row>
    <row r="86" spans="2:11" x14ac:dyDescent="0.35">
      <c r="B86" s="502"/>
      <c r="C86" s="213"/>
      <c r="D86" s="214"/>
      <c r="E86" s="215"/>
      <c r="F86" s="215"/>
      <c r="G86" s="503"/>
      <c r="H86" s="504"/>
      <c r="I86" s="617">
        <v>45017</v>
      </c>
      <c r="J86" s="635"/>
    </row>
    <row r="87" spans="2:11" x14ac:dyDescent="0.35">
      <c r="B87" s="898" t="s">
        <v>411</v>
      </c>
      <c r="C87" s="899"/>
      <c r="D87" s="899"/>
      <c r="E87" s="563"/>
      <c r="F87" s="563"/>
      <c r="G87" s="216"/>
      <c r="H87" s="216"/>
      <c r="I87" s="216"/>
      <c r="J87" s="635"/>
    </row>
    <row r="88" spans="2:11" x14ac:dyDescent="0.35">
      <c r="B88" s="505"/>
      <c r="C88" s="217"/>
      <c r="D88" s="217"/>
      <c r="E88" s="217"/>
      <c r="F88" s="217"/>
      <c r="G88" s="218" t="s">
        <v>412</v>
      </c>
      <c r="H88" s="218" t="s">
        <v>413</v>
      </c>
      <c r="I88" s="218" t="s">
        <v>414</v>
      </c>
      <c r="J88" s="635"/>
    </row>
    <row r="89" spans="2:11" ht="43.5" x14ac:dyDescent="0.35">
      <c r="B89" s="556">
        <v>1</v>
      </c>
      <c r="C89" s="900" t="s">
        <v>686</v>
      </c>
      <c r="D89" s="903">
        <f>COUNTIF(H89:H94,"&gt;1/1/2020")</f>
        <v>2</v>
      </c>
      <c r="E89" s="906" t="s">
        <v>415</v>
      </c>
      <c r="F89" s="219">
        <v>1</v>
      </c>
      <c r="G89" s="356" t="s">
        <v>799</v>
      </c>
      <c r="H89" s="357">
        <v>44971</v>
      </c>
      <c r="I89" s="618">
        <v>45138</v>
      </c>
      <c r="J89" s="635"/>
      <c r="K89" s="159" t="str">
        <f>IF(ISBLANK(H89),"","Enter the date the Notice has been completed")</f>
        <v>Enter the date the Notice has been completed</v>
      </c>
    </row>
    <row r="90" spans="2:11" ht="43.5" x14ac:dyDescent="0.35">
      <c r="B90" s="557"/>
      <c r="C90" s="901"/>
      <c r="D90" s="904"/>
      <c r="E90" s="906"/>
      <c r="F90" s="219">
        <v>2</v>
      </c>
      <c r="G90" s="356" t="s">
        <v>800</v>
      </c>
      <c r="H90" s="357">
        <v>44971</v>
      </c>
      <c r="I90" s="619">
        <v>45016</v>
      </c>
      <c r="J90" s="635"/>
      <c r="K90" s="159" t="str">
        <f t="shared" ref="K90:K94" si="3">IF(ISBLANK(H90),"","Enter the date the Notice has been completed")</f>
        <v>Enter the date the Notice has been completed</v>
      </c>
    </row>
    <row r="91" spans="2:11" x14ac:dyDescent="0.35">
      <c r="B91" s="557"/>
      <c r="C91" s="901"/>
      <c r="D91" s="904"/>
      <c r="E91" s="906"/>
      <c r="F91" s="219">
        <v>3</v>
      </c>
      <c r="G91" s="356"/>
      <c r="H91" s="357"/>
      <c r="I91" s="619"/>
      <c r="J91" s="635"/>
      <c r="K91" s="159" t="str">
        <f t="shared" si="3"/>
        <v/>
      </c>
    </row>
    <row r="92" spans="2:11" x14ac:dyDescent="0.35">
      <c r="B92" s="557"/>
      <c r="C92" s="901"/>
      <c r="D92" s="904"/>
      <c r="E92" s="906"/>
      <c r="F92" s="219">
        <v>4</v>
      </c>
      <c r="G92" s="356"/>
      <c r="H92" s="357"/>
      <c r="I92" s="619"/>
      <c r="J92" s="635"/>
      <c r="K92" s="159" t="str">
        <f t="shared" si="3"/>
        <v/>
      </c>
    </row>
    <row r="93" spans="2:11" ht="32.25" customHeight="1" x14ac:dyDescent="0.35">
      <c r="B93" s="557"/>
      <c r="C93" s="901"/>
      <c r="D93" s="904"/>
      <c r="E93" s="906"/>
      <c r="F93" s="219">
        <v>5</v>
      </c>
      <c r="G93" s="356"/>
      <c r="H93" s="357"/>
      <c r="I93" s="619"/>
      <c r="J93" s="635"/>
      <c r="K93" s="159" t="str">
        <f t="shared" si="3"/>
        <v/>
      </c>
    </row>
    <row r="94" spans="2:11" ht="24" customHeight="1" x14ac:dyDescent="0.35">
      <c r="B94" s="558"/>
      <c r="C94" s="902"/>
      <c r="D94" s="905"/>
      <c r="E94" s="907"/>
      <c r="F94" s="222">
        <v>6</v>
      </c>
      <c r="G94" s="356"/>
      <c r="H94" s="357"/>
      <c r="I94" s="619"/>
      <c r="J94" s="635"/>
      <c r="K94" s="159" t="str">
        <f t="shared" si="3"/>
        <v/>
      </c>
    </row>
    <row r="95" spans="2:11" ht="25" x14ac:dyDescent="0.35">
      <c r="B95" s="910">
        <v>2</v>
      </c>
      <c r="C95" s="913" t="s">
        <v>687</v>
      </c>
      <c r="D95" s="903">
        <f>COUNTIF(H95:H100,"&gt;1/1/2020")</f>
        <v>1</v>
      </c>
      <c r="E95" s="939" t="s">
        <v>415</v>
      </c>
      <c r="F95" s="219">
        <v>1</v>
      </c>
      <c r="G95" s="271" t="s">
        <v>801</v>
      </c>
      <c r="H95" s="272">
        <v>44310</v>
      </c>
      <c r="I95" s="693">
        <f>IF(ISBLANK(H95),"",H95+3*365)</f>
        <v>45405</v>
      </c>
      <c r="J95" s="635"/>
    </row>
    <row r="96" spans="2:11" x14ac:dyDescent="0.35">
      <c r="B96" s="911"/>
      <c r="C96" s="901"/>
      <c r="D96" s="904"/>
      <c r="E96" s="906"/>
      <c r="F96" s="219">
        <v>2</v>
      </c>
      <c r="G96" s="356"/>
      <c r="H96" s="357"/>
      <c r="I96" s="693" t="str">
        <f t="shared" ref="I96:I106" si="4">IF(ISBLANK(H96),"",H96+3*365)</f>
        <v/>
      </c>
      <c r="J96" s="635"/>
    </row>
    <row r="97" spans="2:10" x14ac:dyDescent="0.35">
      <c r="B97" s="911"/>
      <c r="C97" s="901"/>
      <c r="D97" s="904"/>
      <c r="E97" s="906"/>
      <c r="F97" s="219">
        <v>3</v>
      </c>
      <c r="G97" s="356"/>
      <c r="H97" s="357"/>
      <c r="I97" s="693" t="str">
        <f t="shared" si="4"/>
        <v/>
      </c>
      <c r="J97" s="635"/>
    </row>
    <row r="98" spans="2:10" x14ac:dyDescent="0.35">
      <c r="B98" s="911"/>
      <c r="C98" s="901"/>
      <c r="D98" s="904"/>
      <c r="E98" s="906"/>
      <c r="F98" s="219">
        <v>4</v>
      </c>
      <c r="G98" s="356"/>
      <c r="H98" s="357"/>
      <c r="I98" s="693" t="str">
        <f t="shared" si="4"/>
        <v/>
      </c>
      <c r="J98" s="635"/>
    </row>
    <row r="99" spans="2:10" x14ac:dyDescent="0.35">
      <c r="B99" s="911"/>
      <c r="C99" s="901"/>
      <c r="D99" s="904"/>
      <c r="E99" s="906"/>
      <c r="F99" s="219">
        <v>5</v>
      </c>
      <c r="G99" s="356"/>
      <c r="H99" s="357"/>
      <c r="I99" s="693" t="str">
        <f t="shared" si="4"/>
        <v/>
      </c>
      <c r="J99" s="635"/>
    </row>
    <row r="100" spans="2:10" x14ac:dyDescent="0.35">
      <c r="B100" s="912"/>
      <c r="C100" s="902"/>
      <c r="D100" s="905"/>
      <c r="E100" s="907"/>
      <c r="F100" s="222">
        <v>6</v>
      </c>
      <c r="G100" s="356"/>
      <c r="H100" s="357"/>
      <c r="I100" s="693" t="str">
        <f t="shared" si="4"/>
        <v/>
      </c>
      <c r="J100" s="635"/>
    </row>
    <row r="101" spans="2:10" x14ac:dyDescent="0.35">
      <c r="B101" s="910">
        <v>3</v>
      </c>
      <c r="C101" s="913" t="s">
        <v>689</v>
      </c>
      <c r="D101" s="903">
        <f>COUNTIF(H101:H106,"&gt;1/1/2020")</f>
        <v>0</v>
      </c>
      <c r="E101" s="930" t="s">
        <v>416</v>
      </c>
      <c r="F101" s="219">
        <v>1</v>
      </c>
      <c r="G101" s="271"/>
      <c r="H101" s="272"/>
      <c r="I101" s="693" t="str">
        <f t="shared" si="4"/>
        <v/>
      </c>
      <c r="J101" s="635"/>
    </row>
    <row r="102" spans="2:10" x14ac:dyDescent="0.35">
      <c r="B102" s="911"/>
      <c r="C102" s="901"/>
      <c r="D102" s="904"/>
      <c r="E102" s="931"/>
      <c r="F102" s="219">
        <v>2</v>
      </c>
      <c r="G102" s="356"/>
      <c r="H102" s="357"/>
      <c r="I102" s="693" t="str">
        <f t="shared" si="4"/>
        <v/>
      </c>
      <c r="J102" s="635"/>
    </row>
    <row r="103" spans="2:10" x14ac:dyDescent="0.35">
      <c r="B103" s="911"/>
      <c r="C103" s="901"/>
      <c r="D103" s="904"/>
      <c r="E103" s="931"/>
      <c r="F103" s="219">
        <v>3</v>
      </c>
      <c r="G103" s="356"/>
      <c r="H103" s="357"/>
      <c r="I103" s="693" t="str">
        <f t="shared" si="4"/>
        <v/>
      </c>
      <c r="J103" s="635"/>
    </row>
    <row r="104" spans="2:10" x14ac:dyDescent="0.35">
      <c r="B104" s="911"/>
      <c r="C104" s="901"/>
      <c r="D104" s="904"/>
      <c r="E104" s="931"/>
      <c r="F104" s="219">
        <v>4</v>
      </c>
      <c r="G104" s="356"/>
      <c r="H104" s="357"/>
      <c r="I104" s="693" t="str">
        <f t="shared" si="4"/>
        <v/>
      </c>
      <c r="J104" s="635"/>
    </row>
    <row r="105" spans="2:10" x14ac:dyDescent="0.35">
      <c r="B105" s="911"/>
      <c r="C105" s="901"/>
      <c r="D105" s="904"/>
      <c r="E105" s="931"/>
      <c r="F105" s="219">
        <v>5</v>
      </c>
      <c r="G105" s="356"/>
      <c r="H105" s="357"/>
      <c r="I105" s="693" t="str">
        <f t="shared" si="4"/>
        <v/>
      </c>
      <c r="J105" s="635"/>
    </row>
    <row r="106" spans="2:10" x14ac:dyDescent="0.35">
      <c r="B106" s="912"/>
      <c r="C106" s="902"/>
      <c r="D106" s="905"/>
      <c r="E106" s="932"/>
      <c r="F106" s="222">
        <v>6</v>
      </c>
      <c r="G106" s="356"/>
      <c r="H106" s="357"/>
      <c r="I106" s="693" t="str">
        <f t="shared" si="4"/>
        <v/>
      </c>
      <c r="J106" s="635"/>
    </row>
    <row r="107" spans="2:10" x14ac:dyDescent="0.35">
      <c r="B107" s="910">
        <v>4</v>
      </c>
      <c r="C107" s="913" t="s">
        <v>688</v>
      </c>
      <c r="D107" s="903">
        <f>COUNTIF(H107:H112,"&gt;1/1/2020")</f>
        <v>0</v>
      </c>
      <c r="E107" s="930" t="s">
        <v>417</v>
      </c>
      <c r="F107" s="219">
        <v>1</v>
      </c>
      <c r="G107" s="271"/>
      <c r="H107" s="272"/>
      <c r="I107" s="693" t="str">
        <f>IF(ISBLANK(H107),"",H107+5*365)</f>
        <v/>
      </c>
      <c r="J107" s="635"/>
    </row>
    <row r="108" spans="2:10" x14ac:dyDescent="0.35">
      <c r="B108" s="911"/>
      <c r="C108" s="901"/>
      <c r="D108" s="904"/>
      <c r="E108" s="931"/>
      <c r="F108" s="219">
        <v>2</v>
      </c>
      <c r="G108" s="356"/>
      <c r="H108" s="357"/>
      <c r="I108" s="693" t="str">
        <f t="shared" ref="I108:I112" si="5">IF(ISBLANK(H108),"",H108+5*365)</f>
        <v/>
      </c>
      <c r="J108" s="635"/>
    </row>
    <row r="109" spans="2:10" x14ac:dyDescent="0.35">
      <c r="B109" s="911"/>
      <c r="C109" s="901"/>
      <c r="D109" s="904"/>
      <c r="E109" s="931"/>
      <c r="F109" s="219">
        <v>3</v>
      </c>
      <c r="G109" s="356"/>
      <c r="H109" s="357"/>
      <c r="I109" s="693" t="str">
        <f t="shared" si="5"/>
        <v/>
      </c>
      <c r="J109" s="635"/>
    </row>
    <row r="110" spans="2:10" x14ac:dyDescent="0.35">
      <c r="B110" s="911"/>
      <c r="C110" s="901"/>
      <c r="D110" s="904"/>
      <c r="E110" s="931"/>
      <c r="F110" s="219">
        <v>4</v>
      </c>
      <c r="G110" s="356"/>
      <c r="H110" s="357"/>
      <c r="I110" s="693" t="str">
        <f t="shared" si="5"/>
        <v/>
      </c>
      <c r="J110" s="635"/>
    </row>
    <row r="111" spans="2:10" x14ac:dyDescent="0.35">
      <c r="B111" s="911"/>
      <c r="C111" s="901"/>
      <c r="D111" s="904"/>
      <c r="E111" s="931"/>
      <c r="F111" s="219">
        <v>5</v>
      </c>
      <c r="G111" s="356"/>
      <c r="H111" s="357"/>
      <c r="I111" s="693" t="str">
        <f t="shared" si="5"/>
        <v/>
      </c>
      <c r="J111" s="635"/>
    </row>
    <row r="112" spans="2:10" ht="66.650000000000006" customHeight="1" x14ac:dyDescent="0.35">
      <c r="B112" s="912"/>
      <c r="C112" s="902"/>
      <c r="D112" s="905"/>
      <c r="E112" s="932"/>
      <c r="F112" s="222">
        <v>6</v>
      </c>
      <c r="G112" s="356"/>
      <c r="H112" s="357"/>
      <c r="I112" s="693" t="str">
        <f t="shared" si="5"/>
        <v/>
      </c>
      <c r="J112" s="635"/>
    </row>
    <row r="113" spans="2:10" x14ac:dyDescent="0.35">
      <c r="B113" s="933"/>
      <c r="C113" s="935"/>
      <c r="D113" s="903">
        <v>0</v>
      </c>
      <c r="E113" s="906"/>
      <c r="F113" s="225"/>
      <c r="G113" s="223"/>
      <c r="H113" s="224"/>
      <c r="I113" s="224"/>
      <c r="J113" s="635"/>
    </row>
    <row r="114" spans="2:10" x14ac:dyDescent="0.35">
      <c r="B114" s="934"/>
      <c r="C114" s="901"/>
      <c r="D114" s="904"/>
      <c r="E114" s="906"/>
      <c r="F114" s="219"/>
      <c r="G114" s="220"/>
      <c r="H114" s="221"/>
      <c r="I114" s="620"/>
      <c r="J114" s="635"/>
    </row>
    <row r="115" spans="2:10" x14ac:dyDescent="0.35">
      <c r="B115" s="934"/>
      <c r="C115" s="901"/>
      <c r="D115" s="904"/>
      <c r="E115" s="906"/>
      <c r="F115" s="219"/>
      <c r="G115" s="220"/>
      <c r="H115" s="221"/>
      <c r="I115" s="620"/>
      <c r="J115" s="635"/>
    </row>
    <row r="116" spans="2:10" x14ac:dyDescent="0.35">
      <c r="B116" s="934"/>
      <c r="C116" s="901"/>
      <c r="D116" s="904"/>
      <c r="E116" s="906"/>
      <c r="F116" s="219"/>
      <c r="G116" s="220"/>
      <c r="H116" s="221"/>
      <c r="I116" s="620"/>
      <c r="J116" s="635"/>
    </row>
    <row r="117" spans="2:10" x14ac:dyDescent="0.35">
      <c r="B117" s="934"/>
      <c r="C117" s="901"/>
      <c r="D117" s="904"/>
      <c r="E117" s="906"/>
      <c r="F117" s="219"/>
      <c r="G117" s="220"/>
      <c r="H117" s="221"/>
      <c r="I117" s="620"/>
      <c r="J117" s="635"/>
    </row>
    <row r="118" spans="2:10" x14ac:dyDescent="0.35">
      <c r="B118" s="934"/>
      <c r="C118" s="901"/>
      <c r="D118" s="560"/>
      <c r="E118" s="907"/>
      <c r="F118" s="219"/>
      <c r="G118" s="226"/>
      <c r="H118" s="227"/>
      <c r="I118" s="621"/>
      <c r="J118" s="635"/>
    </row>
    <row r="119" spans="2:10" x14ac:dyDescent="0.35">
      <c r="B119" s="506"/>
      <c r="C119" s="228"/>
      <c r="D119" s="257"/>
      <c r="E119" s="229"/>
      <c r="F119" s="190"/>
      <c r="G119" s="230"/>
      <c r="H119" s="230"/>
      <c r="I119" s="230"/>
      <c r="J119" s="635"/>
    </row>
    <row r="120" spans="2:10" x14ac:dyDescent="0.35">
      <c r="B120" s="507"/>
      <c r="C120" s="231" t="s">
        <v>418</v>
      </c>
      <c r="D120" s="232"/>
      <c r="E120" s="231"/>
      <c r="F120" s="233"/>
      <c r="G120" s="234"/>
      <c r="H120" s="235"/>
      <c r="I120" s="235"/>
      <c r="J120" s="635"/>
    </row>
    <row r="121" spans="2:10" x14ac:dyDescent="0.35">
      <c r="B121" s="508"/>
      <c r="C121" s="236"/>
      <c r="D121" s="237" t="s">
        <v>419</v>
      </c>
      <c r="E121" s="237" t="s">
        <v>420</v>
      </c>
      <c r="F121" s="238" t="s">
        <v>421</v>
      </c>
      <c r="G121" s="239" t="s">
        <v>314</v>
      </c>
      <c r="H121" s="509"/>
      <c r="I121" s="509"/>
      <c r="J121" s="635"/>
    </row>
    <row r="122" spans="2:10" x14ac:dyDescent="0.35">
      <c r="B122" s="510">
        <v>1</v>
      </c>
      <c r="C122" s="240" t="s">
        <v>422</v>
      </c>
      <c r="D122" s="273">
        <f>+D89</f>
        <v>2</v>
      </c>
      <c r="E122" s="273">
        <f>COUNTIF(I89:I94,"&lt;1/4/2022")</f>
        <v>0</v>
      </c>
      <c r="F122" s="274">
        <f t="shared" ref="F122:F125" si="6">+D122-E122</f>
        <v>2</v>
      </c>
      <c r="G122" s="279">
        <f>IF(F122=1,-5,(IF(F122=2,-10,(IF(F122&gt;2,-40,)))))</f>
        <v>-10</v>
      </c>
      <c r="H122" s="920"/>
      <c r="I122" s="921"/>
      <c r="J122" s="635"/>
    </row>
    <row r="123" spans="2:10" x14ac:dyDescent="0.35">
      <c r="B123" s="510">
        <v>2</v>
      </c>
      <c r="C123" s="240" t="s">
        <v>423</v>
      </c>
      <c r="D123" s="273">
        <f>+D95</f>
        <v>1</v>
      </c>
      <c r="E123" s="273">
        <f>COUNTIF(I95:I100,"&lt;1/4/2022")</f>
        <v>0</v>
      </c>
      <c r="F123" s="274">
        <f t="shared" si="6"/>
        <v>1</v>
      </c>
      <c r="G123" s="279">
        <f>IF(F123=1,-5,(IF(F123=2,-10,(IF(F123&gt;2,-40,)))))</f>
        <v>-5</v>
      </c>
      <c r="H123" s="920"/>
      <c r="I123" s="921"/>
      <c r="J123" s="635"/>
    </row>
    <row r="124" spans="2:10" x14ac:dyDescent="0.35">
      <c r="B124" s="510">
        <v>3</v>
      </c>
      <c r="C124" s="241" t="s">
        <v>424</v>
      </c>
      <c r="D124" s="273">
        <f>+D101</f>
        <v>0</v>
      </c>
      <c r="E124" s="273">
        <f>COUNTIF(I101:I106,"&lt;1/4/2022")</f>
        <v>0</v>
      </c>
      <c r="F124" s="274">
        <f t="shared" si="6"/>
        <v>0</v>
      </c>
      <c r="G124" s="279">
        <f>IF(F124=1,-10,(IF(F124=2,-40,(IF(F124&gt;2,-40,)))))</f>
        <v>0</v>
      </c>
      <c r="H124" s="509"/>
      <c r="I124" s="509"/>
      <c r="J124" s="635"/>
    </row>
    <row r="125" spans="2:10" x14ac:dyDescent="0.35">
      <c r="B125" s="510">
        <v>4</v>
      </c>
      <c r="C125" s="240" t="s">
        <v>425</v>
      </c>
      <c r="D125" s="273">
        <f>+D107</f>
        <v>0</v>
      </c>
      <c r="E125" s="273">
        <f>COUNTIF(I107:I112,"&lt;1/4/2022")</f>
        <v>0</v>
      </c>
      <c r="F125" s="274">
        <f t="shared" si="6"/>
        <v>0</v>
      </c>
      <c r="G125" s="279">
        <f>IF(F125=1,-15,(IF(F125=2,-40,(IF(F125&gt;2,-40,)))))</f>
        <v>0</v>
      </c>
      <c r="H125" s="509"/>
      <c r="I125" s="509"/>
      <c r="J125" s="635"/>
    </row>
    <row r="126" spans="2:10" x14ac:dyDescent="0.35">
      <c r="B126" s="511"/>
      <c r="C126" s="242"/>
      <c r="D126" s="243"/>
      <c r="E126" s="244"/>
      <c r="F126" s="244"/>
      <c r="G126" s="243"/>
      <c r="H126" s="245"/>
      <c r="I126" s="245"/>
      <c r="J126" s="635"/>
    </row>
    <row r="127" spans="2:10" x14ac:dyDescent="0.35">
      <c r="B127" s="512"/>
      <c r="C127" s="275"/>
      <c r="D127" s="276"/>
      <c r="E127" s="277"/>
      <c r="F127" s="277"/>
      <c r="G127" s="281">
        <f>SUM(G122:G125)</f>
        <v>-15</v>
      </c>
      <c r="H127" s="278" t="s">
        <v>444</v>
      </c>
      <c r="I127" s="278"/>
      <c r="J127" s="635"/>
    </row>
    <row r="128" spans="2:10" x14ac:dyDescent="0.35">
      <c r="B128" s="513"/>
      <c r="C128" s="246" t="s">
        <v>426</v>
      </c>
      <c r="D128" s="247"/>
      <c r="E128" s="247"/>
      <c r="F128" s="248"/>
      <c r="G128" s="280">
        <f>IF(G127&gt;-40,G127,-40)</f>
        <v>-15</v>
      </c>
      <c r="H128" s="246" t="s">
        <v>445</v>
      </c>
      <c r="I128" s="246"/>
      <c r="J128" s="635"/>
    </row>
    <row r="129" spans="2:10" x14ac:dyDescent="0.35">
      <c r="B129" s="514"/>
      <c r="C129" s="515"/>
      <c r="D129" s="516"/>
      <c r="E129" s="517"/>
      <c r="F129" s="515"/>
      <c r="G129" s="515"/>
      <c r="H129" s="515"/>
      <c r="I129" s="515"/>
      <c r="J129" s="635"/>
    </row>
    <row r="130" spans="2:10" x14ac:dyDescent="0.35">
      <c r="B130" s="514"/>
      <c r="C130" s="515"/>
      <c r="D130" s="516"/>
      <c r="E130" s="517"/>
      <c r="F130" s="515"/>
      <c r="G130" s="515"/>
      <c r="H130" s="515"/>
      <c r="I130" s="515"/>
      <c r="J130" s="635"/>
    </row>
    <row r="131" spans="2:10" x14ac:dyDescent="0.35">
      <c r="B131" s="514"/>
      <c r="C131" s="515"/>
      <c r="D131" s="516"/>
      <c r="E131" s="517"/>
      <c r="F131" s="515"/>
      <c r="G131" s="515"/>
      <c r="H131" s="515"/>
      <c r="I131" s="515"/>
      <c r="J131" s="635"/>
    </row>
    <row r="132" spans="2:10" x14ac:dyDescent="0.35">
      <c r="B132" s="514"/>
      <c r="C132" s="515"/>
      <c r="D132" s="516"/>
      <c r="E132" s="517"/>
      <c r="F132" s="515"/>
      <c r="G132" s="515"/>
      <c r="H132" s="515"/>
      <c r="I132" s="515"/>
      <c r="J132" s="635"/>
    </row>
    <row r="133" spans="2:10" x14ac:dyDescent="0.35">
      <c r="B133" s="922"/>
      <c r="C133" s="923"/>
      <c r="D133" s="516"/>
      <c r="E133" s="517"/>
      <c r="F133" s="515"/>
      <c r="G133" s="515"/>
      <c r="H133" s="515"/>
      <c r="I133" s="515"/>
      <c r="J133" s="635"/>
    </row>
    <row r="134" spans="2:10" x14ac:dyDescent="0.35">
      <c r="B134" s="922"/>
      <c r="C134" s="923"/>
      <c r="D134" s="516"/>
      <c r="E134" s="517"/>
      <c r="F134" s="515"/>
      <c r="G134" s="515"/>
      <c r="H134" s="515"/>
      <c r="I134" s="515"/>
      <c r="J134" s="635"/>
    </row>
    <row r="135" spans="2:10" x14ac:dyDescent="0.35">
      <c r="B135" s="514"/>
      <c r="C135" s="515"/>
      <c r="D135" s="516"/>
      <c r="E135" s="517"/>
      <c r="F135" s="515"/>
      <c r="G135" s="515"/>
      <c r="H135" s="515"/>
      <c r="I135" s="515"/>
      <c r="J135" s="635"/>
    </row>
    <row r="136" spans="2:10" x14ac:dyDescent="0.35">
      <c r="B136" s="514"/>
      <c r="C136" s="515"/>
      <c r="D136" s="516"/>
      <c r="E136" s="517"/>
      <c r="F136" s="515"/>
      <c r="G136" s="515"/>
      <c r="H136" s="515"/>
      <c r="I136" s="515"/>
      <c r="J136" s="635"/>
    </row>
    <row r="137" spans="2:10" x14ac:dyDescent="0.35">
      <c r="B137" s="514"/>
      <c r="C137" s="515"/>
      <c r="D137" s="516"/>
      <c r="E137" s="517"/>
      <c r="F137" s="515"/>
      <c r="G137" s="515"/>
      <c r="H137" s="515"/>
      <c r="I137" s="515"/>
      <c r="J137" s="635"/>
    </row>
    <row r="138" spans="2:10" x14ac:dyDescent="0.35">
      <c r="B138" s="514"/>
      <c r="C138" s="515"/>
      <c r="D138" s="516"/>
      <c r="E138" s="517"/>
      <c r="F138" s="515"/>
      <c r="G138" s="515"/>
      <c r="H138" s="515"/>
      <c r="I138" s="515"/>
      <c r="J138" s="635"/>
    </row>
    <row r="139" spans="2:10" x14ac:dyDescent="0.35">
      <c r="B139" s="514"/>
      <c r="C139" s="515"/>
      <c r="D139" s="516"/>
      <c r="E139" s="517"/>
      <c r="F139" s="515"/>
      <c r="G139" s="515"/>
      <c r="H139" s="515"/>
      <c r="I139" s="515"/>
      <c r="J139" s="635"/>
    </row>
    <row r="140" spans="2:10" x14ac:dyDescent="0.35">
      <c r="B140" s="514"/>
      <c r="C140" s="515"/>
      <c r="D140" s="516"/>
      <c r="E140" s="517"/>
      <c r="F140" s="515"/>
      <c r="G140" s="515"/>
      <c r="H140" s="515"/>
      <c r="I140" s="515"/>
      <c r="J140" s="635"/>
    </row>
    <row r="141" spans="2:10" x14ac:dyDescent="0.35">
      <c r="B141" s="514"/>
      <c r="C141" s="515"/>
      <c r="D141" s="516"/>
      <c r="E141" s="517"/>
      <c r="F141" s="515"/>
      <c r="G141" s="515"/>
      <c r="H141" s="515"/>
      <c r="I141" s="515"/>
      <c r="J141" s="635"/>
    </row>
    <row r="142" spans="2:10" x14ac:dyDescent="0.35">
      <c r="B142" s="514"/>
      <c r="C142" s="515"/>
      <c r="D142" s="516"/>
      <c r="E142" s="517"/>
      <c r="F142" s="515"/>
      <c r="G142" s="515"/>
      <c r="H142" s="515"/>
      <c r="I142" s="515"/>
      <c r="J142" s="635"/>
    </row>
    <row r="143" spans="2:10" x14ac:dyDescent="0.35">
      <c r="B143" s="514"/>
      <c r="C143" s="515"/>
      <c r="D143" s="516"/>
      <c r="E143" s="517"/>
      <c r="F143" s="515"/>
      <c r="G143" s="515"/>
      <c r="H143" s="515"/>
      <c r="I143" s="515"/>
      <c r="J143" s="635"/>
    </row>
    <row r="144" spans="2:10" x14ac:dyDescent="0.35">
      <c r="B144" s="514"/>
      <c r="C144" s="515"/>
      <c r="D144" s="516"/>
      <c r="E144" s="517"/>
      <c r="F144" s="515"/>
      <c r="G144" s="515"/>
      <c r="H144" s="515"/>
      <c r="I144" s="515"/>
      <c r="J144" s="635"/>
    </row>
    <row r="145" spans="2:10" x14ac:dyDescent="0.35">
      <c r="B145" s="514"/>
      <c r="C145" s="515"/>
      <c r="D145" s="516"/>
      <c r="E145" s="517"/>
      <c r="F145" s="515"/>
      <c r="G145" s="515"/>
      <c r="H145" s="515"/>
      <c r="I145" s="515"/>
      <c r="J145" s="635"/>
    </row>
    <row r="146" spans="2:10" x14ac:dyDescent="0.35">
      <c r="B146" s="514"/>
      <c r="C146" s="515"/>
      <c r="D146" s="516"/>
      <c r="E146" s="517"/>
      <c r="F146" s="515"/>
      <c r="G146" s="515"/>
      <c r="H146" s="515"/>
      <c r="I146" s="515"/>
      <c r="J146" s="635"/>
    </row>
    <row r="147" spans="2:10" x14ac:dyDescent="0.35">
      <c r="B147" s="514"/>
      <c r="C147" s="515"/>
      <c r="D147" s="516"/>
      <c r="E147" s="517"/>
      <c r="F147" s="515"/>
      <c r="G147" s="515"/>
      <c r="H147" s="515"/>
      <c r="I147" s="515"/>
      <c r="J147" s="635"/>
    </row>
    <row r="148" spans="2:10" x14ac:dyDescent="0.35">
      <c r="B148" s="514"/>
      <c r="C148" s="515"/>
      <c r="D148" s="516"/>
      <c r="E148" s="517"/>
      <c r="F148" s="515"/>
      <c r="G148" s="515"/>
      <c r="H148" s="515"/>
      <c r="I148" s="515"/>
      <c r="J148" s="635"/>
    </row>
    <row r="149" spans="2:10" x14ac:dyDescent="0.35">
      <c r="B149" s="514"/>
      <c r="C149" s="515"/>
      <c r="D149" s="516"/>
      <c r="E149" s="517"/>
      <c r="F149" s="515"/>
      <c r="G149" s="515"/>
      <c r="H149" s="515"/>
      <c r="I149" s="515"/>
      <c r="J149" s="635"/>
    </row>
    <row r="150" spans="2:10" x14ac:dyDescent="0.35">
      <c r="B150" s="514"/>
      <c r="C150" s="515"/>
      <c r="D150" s="516"/>
      <c r="E150" s="517"/>
      <c r="F150" s="515"/>
      <c r="G150" s="515"/>
      <c r="H150" s="515"/>
      <c r="I150" s="515"/>
      <c r="J150" s="635"/>
    </row>
    <row r="151" spans="2:10" ht="32.25" customHeight="1" x14ac:dyDescent="0.35">
      <c r="B151" s="514"/>
      <c r="C151" s="515"/>
      <c r="D151" s="516"/>
      <c r="E151" s="517"/>
      <c r="F151" s="515"/>
      <c r="G151" s="515"/>
      <c r="H151" s="249"/>
      <c r="I151" s="515"/>
      <c r="J151" s="635"/>
    </row>
    <row r="152" spans="2:10" ht="33.75" customHeight="1" x14ac:dyDescent="0.35">
      <c r="B152" s="936" t="s">
        <v>427</v>
      </c>
      <c r="C152" s="937"/>
      <c r="D152" s="937"/>
      <c r="E152" s="937"/>
      <c r="F152" s="938"/>
      <c r="G152" s="282" t="s">
        <v>769</v>
      </c>
      <c r="H152" s="283" t="str">
        <f>IF(I165&gt;8,"A",(IF(I165&gt;6,"B",(IF(I165&gt;4,"C",(IF(I165&gt;2,"D","E")))))))</f>
        <v>D</v>
      </c>
      <c r="I152" s="622"/>
      <c r="J152" s="635"/>
    </row>
    <row r="153" spans="2:10" x14ac:dyDescent="0.35">
      <c r="B153" s="514"/>
      <c r="C153" s="515"/>
      <c r="D153" s="516"/>
      <c r="E153" s="517"/>
      <c r="F153" s="515"/>
      <c r="G153" s="518"/>
      <c r="H153" s="250"/>
      <c r="I153" s="623"/>
      <c r="J153" s="635"/>
    </row>
    <row r="154" spans="2:10" x14ac:dyDescent="0.35">
      <c r="B154" s="519"/>
      <c r="C154" s="924" t="s">
        <v>428</v>
      </c>
      <c r="D154" s="926" t="str">
        <f>+Introduction!E10</f>
        <v>Dairy Partners (Cymru Wales) Ltd</v>
      </c>
      <c r="E154" s="926"/>
      <c r="F154" s="926"/>
      <c r="G154" s="924" t="s">
        <v>429</v>
      </c>
      <c r="H154" s="928" t="str">
        <f>+Introduction!K10</f>
        <v>WP3231NB</v>
      </c>
      <c r="I154" s="624"/>
      <c r="J154" s="635"/>
    </row>
    <row r="155" spans="2:10" x14ac:dyDescent="0.35">
      <c r="B155" s="520"/>
      <c r="C155" s="925"/>
      <c r="D155" s="927"/>
      <c r="E155" s="927"/>
      <c r="F155" s="927"/>
      <c r="G155" s="925"/>
      <c r="H155" s="929"/>
      <c r="I155" s="624"/>
      <c r="J155" s="635"/>
    </row>
    <row r="156" spans="2:10" x14ac:dyDescent="0.35">
      <c r="B156" s="514"/>
      <c r="C156" s="515"/>
      <c r="D156" s="516"/>
      <c r="E156" s="517"/>
      <c r="F156" s="515"/>
      <c r="G156" s="515"/>
      <c r="H156" s="515"/>
      <c r="I156" s="515"/>
      <c r="J156" s="635"/>
    </row>
    <row r="157" spans="2:10" x14ac:dyDescent="0.35">
      <c r="B157" s="514"/>
      <c r="C157" s="249"/>
      <c r="D157" s="251"/>
      <c r="E157" s="252"/>
      <c r="F157" s="249"/>
      <c r="G157" s="249"/>
      <c r="H157" s="249"/>
      <c r="I157" s="515"/>
      <c r="J157" s="637"/>
    </row>
    <row r="158" spans="2:10" x14ac:dyDescent="0.35">
      <c r="B158" s="514"/>
      <c r="C158" s="253" t="s">
        <v>430</v>
      </c>
      <c r="D158" s="254"/>
      <c r="E158" s="254"/>
      <c r="F158" s="254"/>
      <c r="G158" s="254"/>
      <c r="H158" s="254"/>
      <c r="I158" s="254"/>
      <c r="J158" s="632"/>
    </row>
    <row r="159" spans="2:10" ht="39" x14ac:dyDescent="0.35">
      <c r="B159" s="514"/>
      <c r="C159" s="640" t="s">
        <v>431</v>
      </c>
      <c r="D159" s="638" t="s">
        <v>432</v>
      </c>
      <c r="E159" s="640" t="s">
        <v>433</v>
      </c>
      <c r="F159" s="640" t="s">
        <v>683</v>
      </c>
      <c r="G159" s="640" t="s">
        <v>434</v>
      </c>
      <c r="H159" s="638" t="s">
        <v>435</v>
      </c>
      <c r="I159" s="639" t="s">
        <v>436</v>
      </c>
      <c r="J159" s="646" t="s">
        <v>695</v>
      </c>
    </row>
    <row r="160" spans="2:10" x14ac:dyDescent="0.35">
      <c r="B160" s="514"/>
      <c r="C160" s="324" t="s">
        <v>704</v>
      </c>
      <c r="D160" s="255">
        <v>12</v>
      </c>
      <c r="E160" s="299">
        <f>+F19</f>
        <v>5</v>
      </c>
      <c r="F160" s="303">
        <f>+E160/D160*100</f>
        <v>41.666666666666671</v>
      </c>
      <c r="G160" s="300">
        <f>+E160/D160*10</f>
        <v>4.166666666666667</v>
      </c>
      <c r="H160" s="301">
        <v>20</v>
      </c>
      <c r="I160" s="625">
        <f>+G160*H160/100</f>
        <v>0.83333333333333348</v>
      </c>
      <c r="J160" s="647" t="str">
        <f>IF(OR(D10=0,D11=0,D12=0,D13=0,D14=0,D15=0,D16=0,D17=0,D18=0),"Incomplete","Complete")</f>
        <v>Complete</v>
      </c>
    </row>
    <row r="161" spans="2:12" x14ac:dyDescent="0.35">
      <c r="B161" s="514"/>
      <c r="C161" s="325" t="s">
        <v>437</v>
      </c>
      <c r="D161" s="255">
        <v>17</v>
      </c>
      <c r="E161" s="299">
        <f>+F40</f>
        <v>15</v>
      </c>
      <c r="F161" s="303">
        <f t="shared" ref="F161:F164" si="7">+E161/D161*100</f>
        <v>88.235294117647058</v>
      </c>
      <c r="G161" s="300">
        <f>+E161/D161*10</f>
        <v>8.8235294117647065</v>
      </c>
      <c r="H161" s="301">
        <v>20</v>
      </c>
      <c r="I161" s="625">
        <f t="shared" ref="I161:I163" si="8">+G161*H161/100</f>
        <v>1.7647058823529413</v>
      </c>
      <c r="J161" s="647" t="str">
        <f>IF(OR(D26=0,D29=0,D30=0,D31=0,D32=0,D33=0,D34=0,D36=0,D37=0,D38=0,D39=0),"Incomplete","Complete")</f>
        <v>Complete</v>
      </c>
    </row>
    <row r="162" spans="2:12" x14ac:dyDescent="0.35">
      <c r="B162" s="514"/>
      <c r="C162" s="325" t="s">
        <v>438</v>
      </c>
      <c r="D162" s="255">
        <v>12</v>
      </c>
      <c r="E162" s="302">
        <f>+F59</f>
        <v>8</v>
      </c>
      <c r="F162" s="303">
        <f t="shared" si="7"/>
        <v>66.666666666666657</v>
      </c>
      <c r="G162" s="300">
        <f>+E162/D162*10</f>
        <v>6.6666666666666661</v>
      </c>
      <c r="H162" s="301">
        <v>20</v>
      </c>
      <c r="I162" s="625">
        <f t="shared" si="8"/>
        <v>1.333333333333333</v>
      </c>
      <c r="J162" s="647" t="str">
        <f>IF(OR(D51=0,D52=0,D53=0,D54=0,D55=0,D56=0,D57=0,D58=0),"Incomplete","Complete")</f>
        <v>Complete</v>
      </c>
      <c r="K162" s="641" t="s">
        <v>699</v>
      </c>
      <c r="L162" s="641"/>
    </row>
    <row r="163" spans="2:12" ht="41.25" customHeight="1" x14ac:dyDescent="0.35">
      <c r="B163" s="514"/>
      <c r="C163" s="326" t="s">
        <v>439</v>
      </c>
      <c r="D163" s="308">
        <v>20</v>
      </c>
      <c r="E163" s="309">
        <f>+F85</f>
        <v>0</v>
      </c>
      <c r="F163" s="310">
        <f t="shared" si="7"/>
        <v>0</v>
      </c>
      <c r="G163" s="311">
        <f>+E163/D163*10</f>
        <v>0</v>
      </c>
      <c r="H163" s="311">
        <v>40</v>
      </c>
      <c r="I163" s="626">
        <f t="shared" si="8"/>
        <v>0</v>
      </c>
      <c r="J163" s="648" t="str">
        <f>IF(AND(J65="complete",J66="complete",J77="complete",J71="complete",J72="complete",J73="complete",J75="complete",J76="complete",J77="complete",J78="complete",J79="complete",J80="complete",J81="complete",J83="complete",J84="complete"),"complete","Incomplete")</f>
        <v>complete</v>
      </c>
      <c r="K163" s="642" t="str">
        <f>IF(OR(J65="complete",J66="complete",J67="complete"),"complete","Incomplete")</f>
        <v>complete</v>
      </c>
      <c r="L163" s="642" t="str">
        <f>IF(OR(D71=0,D72=0,D73=0,D75=0,D76=0,D77=0,D78=0,D79=0,D80=0,D81=0,D83=0,D84=""),"Incomplete","Complete")</f>
        <v>Complete</v>
      </c>
    </row>
    <row r="164" spans="2:12" x14ac:dyDescent="0.35">
      <c r="B164" s="514"/>
      <c r="C164" s="241" t="s">
        <v>440</v>
      </c>
      <c r="D164" s="255">
        <v>-40</v>
      </c>
      <c r="E164" s="299">
        <f>+G127</f>
        <v>-15</v>
      </c>
      <c r="F164" s="303">
        <f t="shared" si="7"/>
        <v>37.5</v>
      </c>
      <c r="G164" s="300">
        <f>+E164/D164*10</f>
        <v>3.75</v>
      </c>
      <c r="H164" s="301">
        <v>40</v>
      </c>
      <c r="I164" s="625">
        <f>-G164*H164/100</f>
        <v>-1.5</v>
      </c>
      <c r="J164" s="649"/>
    </row>
    <row r="165" spans="2:12" x14ac:dyDescent="0.35">
      <c r="B165" s="514"/>
      <c r="C165" s="256" t="s">
        <v>441</v>
      </c>
      <c r="D165" s="257"/>
      <c r="E165" s="257"/>
      <c r="F165" s="257"/>
      <c r="G165" s="257"/>
      <c r="H165" s="258"/>
      <c r="I165" s="627">
        <f>SUM(I160:I164)</f>
        <v>2.4313725490196081</v>
      </c>
      <c r="J165" s="650"/>
    </row>
    <row r="166" spans="2:12" x14ac:dyDescent="0.35">
      <c r="B166" s="514"/>
      <c r="C166" s="509"/>
      <c r="D166" s="521"/>
      <c r="E166" s="522"/>
      <c r="F166" s="522"/>
      <c r="G166" s="522"/>
      <c r="H166" s="522"/>
      <c r="I166" s="522"/>
      <c r="J166" s="445"/>
    </row>
    <row r="167" spans="2:12" x14ac:dyDescent="0.35">
      <c r="B167" s="468"/>
      <c r="C167" s="469"/>
      <c r="D167" s="469"/>
      <c r="E167" s="469"/>
      <c r="F167" s="469"/>
      <c r="G167" s="469"/>
      <c r="H167" s="469"/>
      <c r="I167" s="469"/>
      <c r="J167" s="445"/>
    </row>
    <row r="168" spans="2:12" ht="15" thickBot="1" x14ac:dyDescent="0.4">
      <c r="B168" s="523"/>
      <c r="C168" s="259"/>
      <c r="D168" s="259"/>
      <c r="E168" s="259"/>
      <c r="F168" s="259"/>
      <c r="G168" s="259"/>
      <c r="H168" s="259"/>
      <c r="I168" s="259"/>
      <c r="J168" s="633"/>
    </row>
  </sheetData>
  <sheetProtection algorithmName="SHA-512" hashValue="4V04bhDNRewTYCSyDX/8giRzfenWtXpjGNfVxmp3bDE0Ld/sQ4ZxiA3vvOF6sUDlKc6943+VKjP+Hfe0AsRmhA==" saltValue="DV4HVNqmeyDpZH7bXkqKag==" spinCount="100000" sheet="1" objects="1" scenarios="1"/>
  <mergeCells count="109">
    <mergeCell ref="B4:J4"/>
    <mergeCell ref="D1:F1"/>
    <mergeCell ref="D2:F2"/>
    <mergeCell ref="H122:I123"/>
    <mergeCell ref="B133:C134"/>
    <mergeCell ref="C154:C155"/>
    <mergeCell ref="D154:F155"/>
    <mergeCell ref="G154:G155"/>
    <mergeCell ref="H154:H155"/>
    <mergeCell ref="B107:B112"/>
    <mergeCell ref="C107:C112"/>
    <mergeCell ref="D107:D112"/>
    <mergeCell ref="E107:E112"/>
    <mergeCell ref="B113:B118"/>
    <mergeCell ref="C113:C118"/>
    <mergeCell ref="D113:D117"/>
    <mergeCell ref="E113:E118"/>
    <mergeCell ref="B152:F152"/>
    <mergeCell ref="E95:E100"/>
    <mergeCell ref="B101:B106"/>
    <mergeCell ref="C101:C106"/>
    <mergeCell ref="D101:D106"/>
    <mergeCell ref="E101:E106"/>
    <mergeCell ref="G80:H80"/>
    <mergeCell ref="G81:H81"/>
    <mergeCell ref="G83:H83"/>
    <mergeCell ref="G84:H84"/>
    <mergeCell ref="B87:D87"/>
    <mergeCell ref="C89:C94"/>
    <mergeCell ref="D89:D94"/>
    <mergeCell ref="E89:E94"/>
    <mergeCell ref="G85:H85"/>
    <mergeCell ref="B95:B100"/>
    <mergeCell ref="C95:C100"/>
    <mergeCell ref="D95:D100"/>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51" priority="46" operator="equal">
      <formula>"No"</formula>
    </cfRule>
    <cfRule type="cellIs" dxfId="50" priority="47" operator="equal">
      <formula>"Yes"</formula>
    </cfRule>
  </conditionalFormatting>
  <conditionalFormatting sqref="D26:D39">
    <cfRule type="cellIs" dxfId="49" priority="44" operator="equal">
      <formula>"No"</formula>
    </cfRule>
    <cfRule type="cellIs" dxfId="48" priority="45" operator="equal">
      <formula>"Yes"</formula>
    </cfRule>
  </conditionalFormatting>
  <conditionalFormatting sqref="D38">
    <cfRule type="containsText" dxfId="47" priority="31" operator="containsText" text="N/A">
      <formula>NOT(ISERROR(SEARCH("N/A",D38)))</formula>
    </cfRule>
  </conditionalFormatting>
  <conditionalFormatting sqref="D51:D58">
    <cfRule type="cellIs" dxfId="46" priority="42" operator="equal">
      <formula>"No"</formula>
    </cfRule>
    <cfRule type="cellIs" dxfId="45" priority="43" operator="equal">
      <formula>"Yes"</formula>
    </cfRule>
  </conditionalFormatting>
  <conditionalFormatting sqref="D65:D67">
    <cfRule type="cellIs" dxfId="44" priority="40" operator="equal">
      <formula>"No"</formula>
    </cfRule>
    <cfRule type="cellIs" dxfId="43" priority="41" operator="equal">
      <formula>"Yes"</formula>
    </cfRule>
  </conditionalFormatting>
  <conditionalFormatting sqref="D71:D73">
    <cfRule type="cellIs" dxfId="42" priority="37" operator="equal">
      <formula>"Yes"</formula>
    </cfRule>
    <cfRule type="cellIs" dxfId="41" priority="38" operator="equal">
      <formula>"No"</formula>
    </cfRule>
  </conditionalFormatting>
  <conditionalFormatting sqref="D75:D81">
    <cfRule type="cellIs" dxfId="40" priority="35" operator="equal">
      <formula>"No"</formula>
    </cfRule>
    <cfRule type="cellIs" dxfId="39" priority="36" operator="equal">
      <formula>"Yes"</formula>
    </cfRule>
  </conditionalFormatting>
  <conditionalFormatting sqref="D83">
    <cfRule type="cellIs" dxfId="38" priority="33" operator="equal">
      <formula>"No"</formula>
    </cfRule>
    <cfRule type="cellIs" dxfId="37" priority="34" operator="equal">
      <formula>"Yes"</formula>
    </cfRule>
  </conditionalFormatting>
  <conditionalFormatting sqref="D84">
    <cfRule type="cellIs" dxfId="36" priority="30" operator="greaterThanOrEqual">
      <formula>1</formula>
    </cfRule>
  </conditionalFormatting>
  <conditionalFormatting sqref="J65:J67">
    <cfRule type="containsText" dxfId="35" priority="28" operator="containsText" text="incomplete">
      <formula>NOT(ISERROR(SEARCH("incomplete",J65)))</formula>
    </cfRule>
    <cfRule type="containsText" dxfId="34" priority="29" operator="containsText" text="complete">
      <formula>NOT(ISERROR(SEARCH("complete",J65)))</formula>
    </cfRule>
  </conditionalFormatting>
  <conditionalFormatting sqref="J160:J164">
    <cfRule type="containsText" dxfId="33" priority="24" operator="containsText" text="incomplete">
      <formula>NOT(ISERROR(SEARCH("incomplete",J160)))</formula>
    </cfRule>
    <cfRule type="containsText" dxfId="32" priority="25" operator="containsText" text="complete">
      <formula>NOT(ISERROR(SEARCH("complete",J160)))</formula>
    </cfRule>
    <cfRule type="cellIs" dxfId="31" priority="50" operator="equal">
      <formula>"Complete"</formula>
    </cfRule>
    <cfRule type="cellIs" dxfId="30" priority="51" operator="equal">
      <formula>"Incomplete"</formula>
    </cfRule>
  </conditionalFormatting>
  <conditionalFormatting sqref="K65:K67">
    <cfRule type="beginsWith" dxfId="29" priority="52" operator="beginsWith" text="enter">
      <formula>LEFT(K65,LEN("enter"))="enter"</formula>
    </cfRule>
  </conditionalFormatting>
  <conditionalFormatting sqref="K83">
    <cfRule type="beginsWith" dxfId="28" priority="32" operator="beginsWith" text="Provide">
      <formula>LEFT(K83,LEN("Provide"))="Provide"</formula>
    </cfRule>
  </conditionalFormatting>
  <conditionalFormatting sqref="K89:K94">
    <cfRule type="containsText" dxfId="27" priority="21" operator="containsText" text="Enter">
      <formula>NOT(ISERROR(SEARCH("Enter",K89)))</formula>
    </cfRule>
  </conditionalFormatting>
  <conditionalFormatting sqref="J83:J84">
    <cfRule type="containsText" dxfId="26" priority="26" operator="containsText" text="incomplete">
      <formula>NOT(ISERROR(SEARCH("incomplete",J83)))</formula>
    </cfRule>
    <cfRule type="containsText" dxfId="25" priority="27" operator="containsText" text="complete">
      <formula>NOT(ISERROR(SEARCH("complete",J83)))</formula>
    </cfRule>
  </conditionalFormatting>
  <conditionalFormatting sqref="J71">
    <cfRule type="containsText" dxfId="24" priority="19" operator="containsText" text="incomplete">
      <formula>NOT(ISERROR(SEARCH("incomplete",J71)))</formula>
    </cfRule>
    <cfRule type="containsText" dxfId="23" priority="20" operator="containsText" text="complete">
      <formula>NOT(ISERROR(SEARCH("complete",J71)))</formula>
    </cfRule>
  </conditionalFormatting>
  <conditionalFormatting sqref="J72">
    <cfRule type="containsText" dxfId="22" priority="17" operator="containsText" text="incomplete">
      <formula>NOT(ISERROR(SEARCH("incomplete",J72)))</formula>
    </cfRule>
    <cfRule type="containsText" dxfId="21" priority="18" operator="containsText" text="complete">
      <formula>NOT(ISERROR(SEARCH("complete",J72)))</formula>
    </cfRule>
  </conditionalFormatting>
  <conditionalFormatting sqref="J73">
    <cfRule type="containsText" dxfId="20" priority="15" operator="containsText" text="incomplete">
      <formula>NOT(ISERROR(SEARCH("incomplete",J73)))</formula>
    </cfRule>
    <cfRule type="containsText" dxfId="19" priority="16" operator="containsText" text="complete">
      <formula>NOT(ISERROR(SEARCH("complete",J73)))</formula>
    </cfRule>
  </conditionalFormatting>
  <conditionalFormatting sqref="J75">
    <cfRule type="containsText" dxfId="18" priority="13" operator="containsText" text="incomplete">
      <formula>NOT(ISERROR(SEARCH("incomplete",J75)))</formula>
    </cfRule>
    <cfRule type="containsText" dxfId="17" priority="14" operator="containsText" text="complete">
      <formula>NOT(ISERROR(SEARCH("complete",J75)))</formula>
    </cfRule>
  </conditionalFormatting>
  <conditionalFormatting sqref="J76">
    <cfRule type="containsText" dxfId="16" priority="11" operator="containsText" text="incomplete">
      <formula>NOT(ISERROR(SEARCH("incomplete",J76)))</formula>
    </cfRule>
    <cfRule type="containsText" dxfId="15" priority="12" operator="containsText" text="complete">
      <formula>NOT(ISERROR(SEARCH("complete",J76)))</formula>
    </cfRule>
  </conditionalFormatting>
  <conditionalFormatting sqref="J77">
    <cfRule type="containsText" dxfId="14" priority="9" operator="containsText" text="incomplete">
      <formula>NOT(ISERROR(SEARCH("incomplete",J77)))</formula>
    </cfRule>
    <cfRule type="containsText" dxfId="13" priority="10" operator="containsText" text="complete">
      <formula>NOT(ISERROR(SEARCH("complete",J77)))</formula>
    </cfRule>
  </conditionalFormatting>
  <conditionalFormatting sqref="J78">
    <cfRule type="containsText" dxfId="12" priority="7" operator="containsText" text="incomplete">
      <formula>NOT(ISERROR(SEARCH("incomplete",J78)))</formula>
    </cfRule>
    <cfRule type="containsText" dxfId="11" priority="8" operator="containsText" text="complete">
      <formula>NOT(ISERROR(SEARCH("complete",J78)))</formula>
    </cfRule>
  </conditionalFormatting>
  <conditionalFormatting sqref="J79">
    <cfRule type="containsText" dxfId="10" priority="5" operator="containsText" text="incomplete">
      <formula>NOT(ISERROR(SEARCH("incomplete",J79)))</formula>
    </cfRule>
    <cfRule type="containsText" dxfId="9" priority="6" operator="containsText" text="complete">
      <formula>NOT(ISERROR(SEARCH("complete",J79)))</formula>
    </cfRule>
  </conditionalFormatting>
  <conditionalFormatting sqref="J80">
    <cfRule type="containsText" dxfId="8" priority="3" operator="containsText" text="incomplete">
      <formula>NOT(ISERROR(SEARCH("incomplete",J80)))</formula>
    </cfRule>
    <cfRule type="containsText" dxfId="7" priority="4" operator="containsText" text="complete">
      <formula>NOT(ISERROR(SEARCH("complete",J80)))</formula>
    </cfRule>
  </conditionalFormatting>
  <conditionalFormatting sqref="J81">
    <cfRule type="containsText" dxfId="6" priority="1" operator="containsText" text="incomplete">
      <formula>NOT(ISERROR(SEARCH("incomplete",J81)))</formula>
    </cfRule>
    <cfRule type="containsText" dxfId="5" priority="2" operator="containsText" text="complete">
      <formula>NOT(ISERROR(SEARCH("complete",J81)))</formula>
    </cfRule>
  </conditionalFormatting>
  <dataValidations xWindow="479" yWindow="491"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xWindow="479" yWindow="491" count="4">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D83 D65:D67 D71:D73 D54:D58 D75:D81</xm:sqref>
        </x14:dataValidation>
        <x14:dataValidation type="list" allowBlank="1" showInputMessage="1" showErrorMessage="1" error="Enter Y or N" prompt="Enter Y or N" xr:uid="{1596AEA1-D92D-4F05-9A1B-74389849DEEB}">
          <x14:formula1>
            <xm:f>Picklists!$Y$5:$Y$7</xm:f>
          </x14:formula1>
          <xm:sqref>D38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C30" sqref="C30"/>
    </sheetView>
  </sheetViews>
  <sheetFormatPr defaultColWidth="9.08984375" defaultRowHeight="14.5" x14ac:dyDescent="0.35"/>
  <cols>
    <col min="1" max="1" width="9.08984375" style="375"/>
    <col min="2" max="2" width="14.6328125" style="375" customWidth="1"/>
    <col min="3" max="3" width="22.36328125" style="375" customWidth="1"/>
    <col min="4" max="4" width="10.36328125" style="375" customWidth="1"/>
    <col min="5" max="5" width="10.54296875" style="375" customWidth="1"/>
    <col min="6" max="7" width="10.6328125" style="375" customWidth="1"/>
    <col min="8" max="8" width="12.08984375" style="375" customWidth="1"/>
    <col min="9" max="16384" width="9.08984375" style="375"/>
  </cols>
  <sheetData>
    <row r="1" spans="2:8" ht="15" thickBot="1" x14ac:dyDescent="0.4"/>
    <row r="2" spans="2:8" x14ac:dyDescent="0.35">
      <c r="B2" s="651" t="s">
        <v>53</v>
      </c>
      <c r="C2" s="652"/>
      <c r="D2" s="944" t="str">
        <f>+Introduction!E10</f>
        <v>Dairy Partners (Cymru Wales) Ltd</v>
      </c>
      <c r="E2" s="944"/>
      <c r="F2" s="944"/>
      <c r="G2" s="944"/>
      <c r="H2" s="653"/>
    </row>
    <row r="3" spans="2:8" x14ac:dyDescent="0.35">
      <c r="B3" s="945" t="s">
        <v>30</v>
      </c>
      <c r="C3" s="946"/>
      <c r="D3" s="832" t="str">
        <f>+Introduction!K10</f>
        <v>WP3231NB</v>
      </c>
      <c r="E3" s="832"/>
      <c r="F3" s="832"/>
      <c r="G3" s="832"/>
      <c r="H3" s="654"/>
    </row>
    <row r="4" spans="2:8" x14ac:dyDescent="0.35">
      <c r="B4" s="655"/>
      <c r="C4" s="656"/>
      <c r="D4" s="656"/>
      <c r="E4" s="656"/>
      <c r="F4" s="596"/>
      <c r="G4" s="596"/>
      <c r="H4" s="654"/>
    </row>
    <row r="5" spans="2:8" ht="63" customHeight="1" x14ac:dyDescent="0.35">
      <c r="B5" s="657"/>
      <c r="C5" s="418"/>
      <c r="D5" s="949" t="s">
        <v>446</v>
      </c>
      <c r="E5" s="950"/>
      <c r="F5" s="940" t="s">
        <v>663</v>
      </c>
      <c r="G5" s="941"/>
      <c r="H5" s="654"/>
    </row>
    <row r="6" spans="2:8" x14ac:dyDescent="0.35">
      <c r="B6" s="942" t="s">
        <v>447</v>
      </c>
      <c r="C6" s="943"/>
      <c r="D6" s="419" t="s">
        <v>448</v>
      </c>
      <c r="E6" s="419" t="s">
        <v>309</v>
      </c>
      <c r="F6" s="420" t="s">
        <v>448</v>
      </c>
      <c r="G6" s="420" t="s">
        <v>309</v>
      </c>
      <c r="H6" s="663" t="s">
        <v>694</v>
      </c>
    </row>
    <row r="7" spans="2:8" x14ac:dyDescent="0.35">
      <c r="B7" s="947" t="s">
        <v>57</v>
      </c>
      <c r="C7" s="948"/>
      <c r="D7" s="421">
        <f>+'1 Listed activity'!K8</f>
        <v>1</v>
      </c>
      <c r="E7" s="422" t="s">
        <v>37</v>
      </c>
      <c r="F7" s="421">
        <f>+'3 Complexities'!E50</f>
        <v>1</v>
      </c>
      <c r="G7" s="420" t="s">
        <v>37</v>
      </c>
      <c r="H7" s="654"/>
    </row>
    <row r="8" spans="2:8" x14ac:dyDescent="0.35">
      <c r="B8" s="956"/>
      <c r="C8" s="957"/>
      <c r="D8" s="421">
        <f>+'1 Listed activity'!K9</f>
        <v>1</v>
      </c>
      <c r="E8" s="422" t="s">
        <v>38</v>
      </c>
      <c r="F8" s="421">
        <f>+'3 Complexities'!E51</f>
        <v>1</v>
      </c>
      <c r="G8" s="420" t="s">
        <v>38</v>
      </c>
      <c r="H8" s="654"/>
    </row>
    <row r="9" spans="2:8" x14ac:dyDescent="0.35">
      <c r="B9" s="956"/>
      <c r="C9" s="957"/>
      <c r="D9" s="421">
        <f>+'1 Listed activity'!K10</f>
        <v>0</v>
      </c>
      <c r="E9" s="422" t="s">
        <v>36</v>
      </c>
      <c r="F9" s="421">
        <f>+'3 Complexities'!E52</f>
        <v>0</v>
      </c>
      <c r="G9" s="420" t="s">
        <v>36</v>
      </c>
      <c r="H9" s="654"/>
    </row>
    <row r="10" spans="2:8" x14ac:dyDescent="0.35">
      <c r="B10" s="956"/>
      <c r="C10" s="957"/>
      <c r="D10" s="421">
        <f>+'1 Listed activity'!K11</f>
        <v>0</v>
      </c>
      <c r="E10" s="422" t="s">
        <v>39</v>
      </c>
      <c r="F10" s="421">
        <f>+'3 Complexities'!E53</f>
        <v>0</v>
      </c>
      <c r="G10" s="420" t="s">
        <v>39</v>
      </c>
      <c r="H10" s="654"/>
    </row>
    <row r="11" spans="2:8" x14ac:dyDescent="0.35">
      <c r="B11" s="958"/>
      <c r="C11" s="959"/>
      <c r="D11" s="421">
        <f>+'1 Listed activity'!K12</f>
        <v>0</v>
      </c>
      <c r="E11" s="422" t="s">
        <v>40</v>
      </c>
      <c r="F11" s="421">
        <f>+'3 Complexities'!E54</f>
        <v>0</v>
      </c>
      <c r="G11" s="420" t="s">
        <v>40</v>
      </c>
      <c r="H11" s="654"/>
    </row>
    <row r="12" spans="2:8" x14ac:dyDescent="0.35">
      <c r="B12" s="960" t="s">
        <v>449</v>
      </c>
      <c r="C12" s="423" t="s">
        <v>302</v>
      </c>
      <c r="D12" s="962"/>
      <c r="E12" s="421" t="str">
        <f>+'9 Emissions summary'!E24</f>
        <v>-</v>
      </c>
      <c r="F12" s="596"/>
      <c r="G12" s="421" t="str">
        <f>+'9 Emissions summary'!E24</f>
        <v>-</v>
      </c>
      <c r="H12" s="654"/>
    </row>
    <row r="13" spans="2:8" x14ac:dyDescent="0.35">
      <c r="B13" s="961"/>
      <c r="C13" s="423" t="s">
        <v>303</v>
      </c>
      <c r="D13" s="963"/>
      <c r="E13" s="421" t="str">
        <f>+'9 Emissions summary'!E25</f>
        <v>-</v>
      </c>
      <c r="F13" s="596"/>
      <c r="G13" s="421" t="str">
        <f>+'9 Emissions summary'!E25</f>
        <v>-</v>
      </c>
      <c r="H13" s="654"/>
    </row>
    <row r="14" spans="2:8" x14ac:dyDescent="0.35">
      <c r="B14" s="961"/>
      <c r="C14" s="423" t="s">
        <v>304</v>
      </c>
      <c r="D14" s="963"/>
      <c r="E14" s="421" t="str">
        <f>+'9 Emissions summary'!E26</f>
        <v>-</v>
      </c>
      <c r="F14" s="596"/>
      <c r="G14" s="421" t="str">
        <f>+'9 Emissions summary'!E26</f>
        <v>-</v>
      </c>
      <c r="H14" s="654"/>
    </row>
    <row r="15" spans="2:8" x14ac:dyDescent="0.35">
      <c r="B15" s="961"/>
      <c r="C15" s="423" t="s">
        <v>305</v>
      </c>
      <c r="D15" s="963"/>
      <c r="E15" s="421" t="str">
        <f>+'9 Emissions summary'!E27</f>
        <v>-</v>
      </c>
      <c r="F15" s="596"/>
      <c r="G15" s="421" t="str">
        <f>+'9 Emissions summary'!E27</f>
        <v>-</v>
      </c>
      <c r="H15" s="654"/>
    </row>
    <row r="16" spans="2:8" x14ac:dyDescent="0.35">
      <c r="B16" s="961"/>
      <c r="C16" s="423" t="s">
        <v>306</v>
      </c>
      <c r="D16" s="824"/>
      <c r="E16" s="421" t="str">
        <f>+'9 Emissions summary'!E28</f>
        <v>A</v>
      </c>
      <c r="F16" s="596"/>
      <c r="G16" s="421" t="str">
        <f>+'9 Emissions summary'!E28</f>
        <v>A</v>
      </c>
      <c r="H16" s="654"/>
    </row>
    <row r="17" spans="2:8" x14ac:dyDescent="0.35">
      <c r="B17" s="658"/>
      <c r="C17" s="423" t="s">
        <v>307</v>
      </c>
      <c r="D17" s="424"/>
      <c r="E17" s="421" t="str">
        <f>+'9 Emissions summary'!E29</f>
        <v>-</v>
      </c>
      <c r="F17" s="596"/>
      <c r="G17" s="421" t="str">
        <f>+'9 Emissions summary'!E29</f>
        <v>-</v>
      </c>
      <c r="H17" s="654"/>
    </row>
    <row r="18" spans="2:8" x14ac:dyDescent="0.35">
      <c r="B18" s="659" t="s">
        <v>6</v>
      </c>
      <c r="C18" s="951"/>
      <c r="D18" s="952"/>
      <c r="E18" s="421" t="str">
        <f>+'10 Location'!F42</f>
        <v>D</v>
      </c>
      <c r="F18" s="425"/>
      <c r="G18" s="421" t="str">
        <f>+'10 Location'!F42</f>
        <v>D</v>
      </c>
      <c r="H18" s="664" t="str">
        <f>IF(COUNTIF('10 Location'!D45:D51,"incomplete"),"Incomplete","Complete")</f>
        <v>Complete</v>
      </c>
    </row>
    <row r="19" spans="2:8" ht="15" thickBot="1" x14ac:dyDescent="0.4">
      <c r="B19" s="953" t="s">
        <v>342</v>
      </c>
      <c r="C19" s="954"/>
      <c r="D19" s="955"/>
      <c r="E19" s="660" t="str">
        <f>+'11 Operator performance'!H152</f>
        <v>D</v>
      </c>
      <c r="F19" s="661"/>
      <c r="G19" s="660" t="str">
        <f>+'11 Operator performance'!H152</f>
        <v>D</v>
      </c>
      <c r="H19" s="662" t="str">
        <f>IF(COUNTIF('11 Operator performance'!J160:J163,"incomplete"),"Incomplete","Complete")</f>
        <v>Complete</v>
      </c>
    </row>
  </sheetData>
  <sheetProtection algorithmName="SHA-512" hashValue="CUtayyqXt/dPrp+yG4Dm9wPAt4yg2qVCQk3XssbhQG2TRoefROWqyD006/3G+JPoVZUQT0KKfOmYwWhxIrCMfw==" saltValue="F0nvRzzbedYdq25FeIPzLg=="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zoomScaleNormal="100" workbookViewId="0">
      <selection activeCell="F47" sqref="F47"/>
    </sheetView>
  </sheetViews>
  <sheetFormatPr defaultRowHeight="14.5" x14ac:dyDescent="0.35"/>
  <cols>
    <col min="3" max="3" width="28.6328125" customWidth="1"/>
    <col min="4" max="4" width="13.08984375" customWidth="1"/>
    <col min="5" max="6" width="11.6328125" customWidth="1"/>
    <col min="7" max="7" width="11.453125" customWidth="1"/>
    <col min="8" max="8" width="10.6328125" customWidth="1"/>
    <col min="9" max="9" width="13" customWidth="1"/>
    <col min="10" max="10" width="22.54296875" customWidth="1"/>
  </cols>
  <sheetData>
    <row r="1" spans="2:10" ht="15" thickBot="1" x14ac:dyDescent="0.4"/>
    <row r="2" spans="2:10" x14ac:dyDescent="0.35">
      <c r="B2" s="285"/>
      <c r="C2" s="286"/>
      <c r="D2" s="286"/>
      <c r="E2" s="286"/>
      <c r="F2" s="286"/>
      <c r="G2" s="286"/>
      <c r="H2" s="286"/>
      <c r="I2" s="286"/>
      <c r="J2" s="524"/>
    </row>
    <row r="3" spans="2:10" ht="15.5" x14ac:dyDescent="0.35">
      <c r="B3" s="287"/>
      <c r="C3" s="670" t="s">
        <v>754</v>
      </c>
      <c r="D3" s="980" t="str">
        <f>+Introduction!E10</f>
        <v>Dairy Partners (Cymru Wales) Ltd</v>
      </c>
      <c r="E3" s="981"/>
      <c r="F3" s="982" t="s">
        <v>30</v>
      </c>
      <c r="G3" s="983"/>
      <c r="H3" s="980" t="str">
        <f>+Introduction!K10</f>
        <v>WP3231NB</v>
      </c>
      <c r="I3" s="981"/>
      <c r="J3" s="39"/>
    </row>
    <row r="4" spans="2:10" x14ac:dyDescent="0.35">
      <c r="B4" s="288"/>
      <c r="C4" s="17"/>
      <c r="D4" s="17"/>
      <c r="E4" s="17"/>
      <c r="F4" s="17"/>
      <c r="G4" s="17"/>
      <c r="H4" s="17"/>
      <c r="I4" s="17"/>
      <c r="J4" s="39"/>
    </row>
    <row r="5" spans="2:10" ht="20" x14ac:dyDescent="0.4">
      <c r="B5" s="288"/>
      <c r="C5" s="525" t="s">
        <v>450</v>
      </c>
      <c r="D5" s="17"/>
      <c r="E5" s="17"/>
      <c r="F5" s="17"/>
      <c r="G5" s="17"/>
      <c r="H5" s="17"/>
      <c r="I5" s="17"/>
      <c r="J5" s="39"/>
    </row>
    <row r="6" spans="2:10" x14ac:dyDescent="0.35">
      <c r="B6" s="288"/>
      <c r="C6" s="526" t="s">
        <v>451</v>
      </c>
      <c r="D6" s="17"/>
      <c r="E6" s="17"/>
      <c r="F6" s="17"/>
      <c r="G6" s="17"/>
      <c r="H6" s="17"/>
      <c r="I6" s="17"/>
      <c r="J6" s="39"/>
    </row>
    <row r="7" spans="2:10" ht="18" x14ac:dyDescent="0.4">
      <c r="B7" s="288"/>
      <c r="C7" s="527" t="s">
        <v>452</v>
      </c>
      <c r="D7" s="528"/>
      <c r="E7" s="529"/>
      <c r="F7" s="17"/>
      <c r="G7" s="17"/>
      <c r="H7" s="17"/>
      <c r="I7" s="17"/>
      <c r="J7" s="39"/>
    </row>
    <row r="8" spans="2:10" ht="15" thickBot="1" x14ac:dyDescent="0.4">
      <c r="B8" s="288"/>
      <c r="C8" s="17"/>
      <c r="D8" s="17"/>
      <c r="E8" s="17"/>
      <c r="F8" s="17"/>
      <c r="G8" s="17"/>
      <c r="H8" s="17"/>
      <c r="I8" s="17"/>
      <c r="J8" s="39"/>
    </row>
    <row r="9" spans="2:10" ht="31.5" thickBot="1" x14ac:dyDescent="0.4">
      <c r="B9" s="288"/>
      <c r="C9" s="667" t="s">
        <v>447</v>
      </c>
      <c r="D9" s="686" t="s">
        <v>309</v>
      </c>
      <c r="E9" s="668" t="s">
        <v>448</v>
      </c>
      <c r="F9" s="668" t="s">
        <v>314</v>
      </c>
      <c r="G9" s="669" t="s">
        <v>453</v>
      </c>
      <c r="H9" s="17"/>
      <c r="I9" s="17"/>
      <c r="J9" s="39"/>
    </row>
    <row r="10" spans="2:10" ht="15.5" x14ac:dyDescent="0.35">
      <c r="B10" s="288"/>
      <c r="C10" s="665" t="s">
        <v>57</v>
      </c>
      <c r="D10" s="671" t="s">
        <v>37</v>
      </c>
      <c r="E10" s="687">
        <f>+'12 EP Summary'!F7</f>
        <v>1</v>
      </c>
      <c r="F10" s="673">
        <v>2</v>
      </c>
      <c r="G10" s="674">
        <f>+F10*E10</f>
        <v>2</v>
      </c>
      <c r="H10" s="17"/>
      <c r="I10" s="17"/>
      <c r="J10" s="39"/>
    </row>
    <row r="11" spans="2:10" ht="15.5" x14ac:dyDescent="0.35">
      <c r="B11" s="288"/>
      <c r="C11" s="665"/>
      <c r="D11" s="671" t="s">
        <v>38</v>
      </c>
      <c r="E11" s="688">
        <f>+'12 EP Summary'!F8</f>
        <v>1</v>
      </c>
      <c r="F11" s="673">
        <v>15</v>
      </c>
      <c r="G11" s="674">
        <f t="shared" ref="G11:G14" si="0">+F11*E11</f>
        <v>15</v>
      </c>
      <c r="H11" s="17"/>
      <c r="I11" s="17"/>
      <c r="J11" s="39"/>
    </row>
    <row r="12" spans="2:10" ht="15.5" x14ac:dyDescent="0.35">
      <c r="B12" s="288"/>
      <c r="C12" s="665"/>
      <c r="D12" s="671" t="s">
        <v>36</v>
      </c>
      <c r="E12" s="688">
        <f>+'12 EP Summary'!F9</f>
        <v>0</v>
      </c>
      <c r="F12" s="673">
        <v>45</v>
      </c>
      <c r="G12" s="674">
        <f t="shared" si="0"/>
        <v>0</v>
      </c>
      <c r="H12" s="17"/>
      <c r="I12" s="17"/>
      <c r="J12" s="39"/>
    </row>
    <row r="13" spans="2:10" ht="15.5" x14ac:dyDescent="0.35">
      <c r="B13" s="288"/>
      <c r="C13" s="665"/>
      <c r="D13" s="671" t="s">
        <v>39</v>
      </c>
      <c r="E13" s="688">
        <f>+'12 EP Summary'!F10</f>
        <v>0</v>
      </c>
      <c r="F13" s="673">
        <v>82</v>
      </c>
      <c r="G13" s="674">
        <f t="shared" si="0"/>
        <v>0</v>
      </c>
      <c r="H13" s="17"/>
      <c r="I13" s="17"/>
      <c r="J13" s="39"/>
    </row>
    <row r="14" spans="2:10" ht="15.5" x14ac:dyDescent="0.35">
      <c r="B14" s="288"/>
      <c r="C14" s="665"/>
      <c r="D14" s="671" t="s">
        <v>40</v>
      </c>
      <c r="E14" s="688">
        <f>+'12 EP Summary'!F11</f>
        <v>0</v>
      </c>
      <c r="F14" s="673">
        <v>110</v>
      </c>
      <c r="G14" s="674">
        <f t="shared" si="0"/>
        <v>0</v>
      </c>
      <c r="H14" s="17"/>
      <c r="I14" s="17"/>
      <c r="J14" s="39"/>
    </row>
    <row r="15" spans="2:10" ht="15.5" x14ac:dyDescent="0.35">
      <c r="B15" s="288"/>
      <c r="C15" s="665" t="s">
        <v>11</v>
      </c>
      <c r="D15" s="672" t="str">
        <f>+'12 EP Summary'!G12</f>
        <v>-</v>
      </c>
      <c r="E15" s="689"/>
      <c r="F15" s="675"/>
      <c r="G15" s="674">
        <f>IF(D15="E",50,(IF(D15="D",35,(IF(D15="C",20,(IF(D15="B",10,(IF(D15="A",3,0)))))))))</f>
        <v>0</v>
      </c>
      <c r="H15" s="17"/>
      <c r="I15" s="17"/>
      <c r="J15" s="39"/>
    </row>
    <row r="16" spans="2:10" ht="15.5" x14ac:dyDescent="0.35">
      <c r="B16" s="288"/>
      <c r="C16" s="665" t="s">
        <v>13</v>
      </c>
      <c r="D16" s="672" t="str">
        <f>+'12 EP Summary'!G13</f>
        <v>-</v>
      </c>
      <c r="E16" s="689"/>
      <c r="F16" s="675"/>
      <c r="G16" s="674">
        <f t="shared" ref="G16:G17" si="1">IF(D16="E",50,(IF(D16="D",35,(IF(D16="C",20,(IF(D16="B",10,(IF(D16="A",3,0)))))))))</f>
        <v>0</v>
      </c>
      <c r="H16" s="17"/>
      <c r="I16" s="17"/>
      <c r="J16" s="39"/>
    </row>
    <row r="17" spans="2:10" ht="15.5" x14ac:dyDescent="0.35">
      <c r="B17" s="288"/>
      <c r="C17" s="665" t="s">
        <v>14</v>
      </c>
      <c r="D17" s="672" t="str">
        <f>+'12 EP Summary'!G14</f>
        <v>-</v>
      </c>
      <c r="E17" s="689"/>
      <c r="F17" s="675"/>
      <c r="G17" s="674">
        <f t="shared" si="1"/>
        <v>0</v>
      </c>
      <c r="H17" s="17"/>
      <c r="I17" s="17"/>
      <c r="J17" s="39"/>
    </row>
    <row r="18" spans="2:10" ht="15.5" x14ac:dyDescent="0.35">
      <c r="B18" s="288"/>
      <c r="C18" s="665" t="s">
        <v>15</v>
      </c>
      <c r="D18" s="672" t="str">
        <f>+'12 EP Summary'!G15</f>
        <v>-</v>
      </c>
      <c r="E18" s="689"/>
      <c r="F18" s="675"/>
      <c r="G18" s="674">
        <f>IF(D18="E",10,(IF(D18="D",5,(IF(D18="C",3,(IF(D18="B",2,(IF(D18="A",1,0)))))))))</f>
        <v>0</v>
      </c>
      <c r="H18" s="17"/>
      <c r="I18" s="17"/>
      <c r="J18" s="39"/>
    </row>
    <row r="19" spans="2:10" ht="15.5" x14ac:dyDescent="0.35">
      <c r="B19" s="288"/>
      <c r="C19" s="665" t="s">
        <v>454</v>
      </c>
      <c r="D19" s="672" t="str">
        <f>+'12 EP Summary'!G16</f>
        <v>A</v>
      </c>
      <c r="E19" s="689"/>
      <c r="F19" s="675"/>
      <c r="G19" s="674">
        <f>IF(D19="E",10,(IF(D19="D",5,(IF(D19="C",3,(IF(D19="B",2,(IF(D19="A",1,0)))))))))</f>
        <v>1</v>
      </c>
      <c r="H19" s="17"/>
      <c r="I19" s="17"/>
      <c r="J19" s="39"/>
    </row>
    <row r="20" spans="2:10" ht="15.5" x14ac:dyDescent="0.35">
      <c r="B20" s="288"/>
      <c r="C20" s="665" t="s">
        <v>455</v>
      </c>
      <c r="D20" s="672" t="str">
        <f>+'12 EP Summary'!G17</f>
        <v>-</v>
      </c>
      <c r="E20" s="689"/>
      <c r="F20" s="675"/>
      <c r="G20" s="674">
        <f t="shared" ref="G20" si="2">IF(D20="E",50,(IF(D20="D",35,(IF(D20="C",20,(IF(D20="B",10,(IF(D20="A",3,0)))))))))</f>
        <v>0</v>
      </c>
      <c r="H20" s="17"/>
      <c r="I20" s="17"/>
      <c r="J20" s="39"/>
    </row>
    <row r="21" spans="2:10" ht="15.5" x14ac:dyDescent="0.35">
      <c r="B21" s="288"/>
      <c r="C21" s="665" t="s">
        <v>6</v>
      </c>
      <c r="D21" s="672" t="str">
        <f>+'12 EP Summary'!G18</f>
        <v>D</v>
      </c>
      <c r="E21" s="689"/>
      <c r="F21" s="675"/>
      <c r="G21" s="674">
        <f>IF(D21="E",60,(IF(D21="D",40,(IF(D21="C",20,(IF(D21="B",10,(IF(D21="A",3,0)))))))))</f>
        <v>40</v>
      </c>
      <c r="H21" s="17" t="str">
        <f>+'12 EP Summary'!H18</f>
        <v>Complete</v>
      </c>
      <c r="I21" s="17"/>
      <c r="J21" s="39"/>
    </row>
    <row r="22" spans="2:10" ht="16" thickBot="1" x14ac:dyDescent="0.4">
      <c r="B22" s="288"/>
      <c r="C22" s="666" t="s">
        <v>342</v>
      </c>
      <c r="D22" s="672" t="str">
        <f>+'12 EP Summary'!G19</f>
        <v>D</v>
      </c>
      <c r="E22" s="690"/>
      <c r="F22" s="676"/>
      <c r="G22" s="674">
        <f>IF(D22="E",75,(IF(D22="D",60,(IF(D22="C",40,(IF(D22="B",25,(IF(D22="A",10,0)))))))))</f>
        <v>60</v>
      </c>
      <c r="H22" s="17" t="str">
        <f>+'12 EP Summary'!H19</f>
        <v>Complete</v>
      </c>
      <c r="I22" s="17"/>
      <c r="J22" s="39"/>
    </row>
    <row r="23" spans="2:10" ht="16" thickBot="1" x14ac:dyDescent="0.4">
      <c r="B23" s="288"/>
      <c r="C23" s="17"/>
      <c r="D23" s="984" t="s">
        <v>456</v>
      </c>
      <c r="E23" s="985"/>
      <c r="F23" s="986"/>
      <c r="G23" s="677">
        <f>SUM(G10:G22)</f>
        <v>118</v>
      </c>
      <c r="H23" s="17"/>
      <c r="I23" s="17"/>
      <c r="J23" s="39"/>
    </row>
    <row r="24" spans="2:10" ht="15" thickBot="1" x14ac:dyDescent="0.4">
      <c r="B24" s="288"/>
      <c r="C24" s="17"/>
      <c r="D24" s="17"/>
      <c r="E24" s="17"/>
      <c r="F24" s="17"/>
      <c r="G24" s="17"/>
      <c r="H24" s="530"/>
      <c r="I24" s="17"/>
      <c r="J24" s="39"/>
    </row>
    <row r="25" spans="2:10" ht="16" thickBot="1" x14ac:dyDescent="0.4">
      <c r="B25" s="288"/>
      <c r="C25" s="17"/>
      <c r="D25" s="17"/>
      <c r="E25" s="17"/>
      <c r="F25" s="987" t="s">
        <v>679</v>
      </c>
      <c r="G25" s="988"/>
      <c r="H25" s="988"/>
      <c r="I25" s="988"/>
      <c r="J25" s="989"/>
    </row>
    <row r="26" spans="2:10" ht="16.5" customHeight="1" x14ac:dyDescent="0.35">
      <c r="B26" s="288"/>
      <c r="C26" s="531" t="s">
        <v>457</v>
      </c>
      <c r="D26" s="17"/>
      <c r="E26" s="17"/>
      <c r="F26" s="964" t="s">
        <v>770</v>
      </c>
      <c r="G26" s="965"/>
      <c r="H26" s="965"/>
      <c r="I26" s="965"/>
      <c r="J26" s="966"/>
    </row>
    <row r="27" spans="2:10" ht="15.75" customHeight="1" x14ac:dyDescent="0.35">
      <c r="B27" s="288"/>
      <c r="C27" s="289" t="s">
        <v>458</v>
      </c>
      <c r="D27" s="681">
        <f>+$G$23*I33</f>
        <v>24898</v>
      </c>
      <c r="E27" s="17"/>
      <c r="F27" s="967"/>
      <c r="G27" s="968"/>
      <c r="H27" s="968"/>
      <c r="I27" s="968"/>
      <c r="J27" s="969"/>
    </row>
    <row r="28" spans="2:10" x14ac:dyDescent="0.35">
      <c r="B28" s="288"/>
      <c r="C28" s="290"/>
      <c r="D28" s="682"/>
      <c r="E28" s="17"/>
      <c r="F28" s="967"/>
      <c r="G28" s="968"/>
      <c r="H28" s="968"/>
      <c r="I28" s="968"/>
      <c r="J28" s="969"/>
    </row>
    <row r="29" spans="2:10" ht="15.5" x14ac:dyDescent="0.35">
      <c r="B29" s="288"/>
      <c r="C29" s="291" t="s">
        <v>459</v>
      </c>
      <c r="D29" s="683">
        <f>+G23*I34</f>
        <v>12036</v>
      </c>
      <c r="E29" s="17"/>
      <c r="F29" s="967"/>
      <c r="G29" s="968"/>
      <c r="H29" s="968"/>
      <c r="I29" s="968"/>
      <c r="J29" s="969"/>
    </row>
    <row r="30" spans="2:10" ht="15" thickBot="1" x14ac:dyDescent="0.4">
      <c r="B30" s="288"/>
      <c r="C30" s="290"/>
      <c r="D30" s="683"/>
      <c r="E30" s="17"/>
      <c r="F30" s="970"/>
      <c r="G30" s="971"/>
      <c r="H30" s="971"/>
      <c r="I30" s="971"/>
      <c r="J30" s="972"/>
    </row>
    <row r="31" spans="2:10" ht="15.5" x14ac:dyDescent="0.35">
      <c r="B31" s="288"/>
      <c r="C31" s="291" t="s">
        <v>460</v>
      </c>
      <c r="D31" s="683">
        <f>+G23*I35</f>
        <v>13688</v>
      </c>
      <c r="E31" s="17"/>
      <c r="F31" s="17"/>
      <c r="G31" s="17"/>
      <c r="H31" s="17"/>
      <c r="I31" s="17"/>
      <c r="J31" s="39"/>
    </row>
    <row r="32" spans="2:10" ht="15.5" x14ac:dyDescent="0.35">
      <c r="B32" s="288"/>
      <c r="C32" s="290"/>
      <c r="D32" s="683"/>
      <c r="E32" s="17"/>
      <c r="F32" s="976" t="s">
        <v>762</v>
      </c>
      <c r="G32" s="977"/>
      <c r="H32" s="977"/>
      <c r="I32" s="978"/>
      <c r="J32" s="39"/>
    </row>
    <row r="33" spans="2:10" ht="15.5" x14ac:dyDescent="0.35">
      <c r="B33" s="288"/>
      <c r="C33" s="291" t="s">
        <v>461</v>
      </c>
      <c r="D33" s="683">
        <f>+G23*I36</f>
        <v>6844</v>
      </c>
      <c r="E33" s="17"/>
      <c r="F33" s="979" t="s">
        <v>462</v>
      </c>
      <c r="G33" s="979"/>
      <c r="H33" s="979"/>
      <c r="I33" s="678">
        <f>+Picklists!AO5</f>
        <v>211</v>
      </c>
      <c r="J33" s="39"/>
    </row>
    <row r="34" spans="2:10" ht="15.5" x14ac:dyDescent="0.35">
      <c r="B34" s="288"/>
      <c r="C34" s="290"/>
      <c r="D34" s="683"/>
      <c r="E34" s="17"/>
      <c r="F34" s="979" t="s">
        <v>463</v>
      </c>
      <c r="G34" s="979"/>
      <c r="H34" s="979"/>
      <c r="I34" s="678">
        <f>+Picklists!AO6</f>
        <v>102</v>
      </c>
      <c r="J34" s="39"/>
    </row>
    <row r="35" spans="2:10" ht="15.5" x14ac:dyDescent="0.35">
      <c r="B35" s="288"/>
      <c r="C35" s="291" t="s">
        <v>464</v>
      </c>
      <c r="D35" s="683">
        <f>+G23*I37</f>
        <v>11800</v>
      </c>
      <c r="E35" s="17"/>
      <c r="F35" s="979" t="s">
        <v>460</v>
      </c>
      <c r="G35" s="979"/>
      <c r="H35" s="979"/>
      <c r="I35" s="678">
        <f>+Picklists!AO8</f>
        <v>116</v>
      </c>
      <c r="J35" s="39"/>
    </row>
    <row r="36" spans="2:10" ht="15.5" x14ac:dyDescent="0.35">
      <c r="B36" s="288"/>
      <c r="C36" s="291"/>
      <c r="D36" s="683"/>
      <c r="E36" s="17"/>
      <c r="F36" s="979" t="s">
        <v>461</v>
      </c>
      <c r="G36" s="979"/>
      <c r="H36" s="979"/>
      <c r="I36" s="678">
        <f>+Picklists!AO7</f>
        <v>58</v>
      </c>
      <c r="J36" s="39"/>
    </row>
    <row r="37" spans="2:10" ht="15.5" x14ac:dyDescent="0.35">
      <c r="B37" s="288"/>
      <c r="C37" s="291" t="s">
        <v>465</v>
      </c>
      <c r="D37" s="683">
        <f>+G23*I38</f>
        <v>15340</v>
      </c>
      <c r="E37" s="17"/>
      <c r="F37" s="973" t="s">
        <v>464</v>
      </c>
      <c r="G37" s="974"/>
      <c r="H37" s="975"/>
      <c r="I37" s="678">
        <f>+Picklists!AO10</f>
        <v>100</v>
      </c>
      <c r="J37" s="39"/>
    </row>
    <row r="38" spans="2:10" ht="15.5" x14ac:dyDescent="0.35">
      <c r="B38" s="288"/>
      <c r="C38" s="290"/>
      <c r="D38" s="684"/>
      <c r="E38" s="17"/>
      <c r="F38" s="973" t="s">
        <v>465</v>
      </c>
      <c r="G38" s="974"/>
      <c r="H38" s="975"/>
      <c r="I38" s="679">
        <f>+Picklists!AO9</f>
        <v>130</v>
      </c>
      <c r="J38" s="39"/>
    </row>
    <row r="39" spans="2:10" ht="15.5" x14ac:dyDescent="0.35">
      <c r="B39" s="288"/>
      <c r="C39" s="292" t="s">
        <v>466</v>
      </c>
      <c r="D39" s="685">
        <v>0</v>
      </c>
      <c r="E39" s="17"/>
      <c r="F39" s="973" t="s">
        <v>467</v>
      </c>
      <c r="G39" s="974"/>
      <c r="H39" s="975"/>
      <c r="I39" s="680"/>
      <c r="J39" s="39"/>
    </row>
    <row r="40" spans="2:10" x14ac:dyDescent="0.35">
      <c r="B40" s="288"/>
      <c r="C40" s="17"/>
      <c r="D40" s="17"/>
      <c r="E40" s="17"/>
      <c r="F40" s="17"/>
      <c r="G40" s="17"/>
      <c r="H40" s="17"/>
      <c r="I40" s="17"/>
      <c r="J40" s="39"/>
    </row>
    <row r="41" spans="2:10" ht="15" thickBot="1" x14ac:dyDescent="0.4">
      <c r="B41" s="293"/>
      <c r="C41" s="294" t="s">
        <v>468</v>
      </c>
      <c r="D41" s="295"/>
      <c r="E41" s="295"/>
      <c r="F41" s="295"/>
      <c r="G41" s="295"/>
      <c r="H41" s="295"/>
      <c r="I41" s="295"/>
      <c r="J41" s="417"/>
    </row>
  </sheetData>
  <sheetProtection algorithmName="SHA-512" hashValue="PawqncvbnCEgqPhOc6fjThknqu99oBl+5KAaQrIkAm49EtlLdQY/lyLuk3HOV3GEFzG+0kRnD0ZL+ml0l1dmMQ==" saltValue="Jda4VcJaoa7CEkqD5ybPyQ=="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L3" sqref="L3:L9"/>
    </sheetView>
  </sheetViews>
  <sheetFormatPr defaultRowHeight="14.5" x14ac:dyDescent="0.35"/>
  <cols>
    <col min="4" max="4" width="26.90625" customWidth="1"/>
    <col min="10" max="10" width="14.90625" customWidth="1"/>
    <col min="11" max="12" width="18.54296875" customWidth="1"/>
    <col min="18" max="18" width="21.54296875" customWidth="1"/>
  </cols>
  <sheetData>
    <row r="1" spans="2:41" x14ac:dyDescent="0.35">
      <c r="B1" t="s">
        <v>49</v>
      </c>
      <c r="D1" t="s">
        <v>50</v>
      </c>
      <c r="H1" t="s">
        <v>62</v>
      </c>
      <c r="J1" t="s">
        <v>62</v>
      </c>
      <c r="P1" t="s">
        <v>664</v>
      </c>
      <c r="R1" t="s">
        <v>62</v>
      </c>
      <c r="W1" t="s">
        <v>341</v>
      </c>
      <c r="Y1" t="s">
        <v>442</v>
      </c>
      <c r="AM1" t="s">
        <v>653</v>
      </c>
    </row>
    <row r="2" spans="2:41" x14ac:dyDescent="0.35">
      <c r="B2" t="s">
        <v>17</v>
      </c>
      <c r="D2" t="s">
        <v>51</v>
      </c>
      <c r="E2" t="s">
        <v>57</v>
      </c>
      <c r="J2" t="s">
        <v>63</v>
      </c>
      <c r="R2" t="s">
        <v>82</v>
      </c>
      <c r="W2" t="s">
        <v>18</v>
      </c>
      <c r="Y2" t="s">
        <v>18</v>
      </c>
      <c r="AB2" t="s">
        <v>18</v>
      </c>
      <c r="AC2" t="s">
        <v>19</v>
      </c>
    </row>
    <row r="3" spans="2:41" ht="29" x14ac:dyDescent="0.35">
      <c r="B3" t="s">
        <v>18</v>
      </c>
      <c r="D3" s="29" t="s">
        <v>572</v>
      </c>
      <c r="E3" s="30" t="s">
        <v>36</v>
      </c>
      <c r="H3" t="s">
        <v>61</v>
      </c>
      <c r="J3" t="s">
        <v>80</v>
      </c>
      <c r="K3" t="s">
        <v>81</v>
      </c>
      <c r="L3" t="s">
        <v>671</v>
      </c>
      <c r="M3" t="s">
        <v>649</v>
      </c>
      <c r="N3" t="s">
        <v>670</v>
      </c>
      <c r="O3" t="s">
        <v>669</v>
      </c>
      <c r="P3" t="s">
        <v>665</v>
      </c>
      <c r="R3" t="s">
        <v>51</v>
      </c>
      <c r="S3" t="s">
        <v>52</v>
      </c>
      <c r="U3" t="s">
        <v>83</v>
      </c>
      <c r="W3" t="s">
        <v>19</v>
      </c>
      <c r="Y3" t="s">
        <v>19</v>
      </c>
      <c r="AB3" t="s">
        <v>19</v>
      </c>
      <c r="AC3" t="s">
        <v>698</v>
      </c>
    </row>
    <row r="4" spans="2:41" x14ac:dyDescent="0.35">
      <c r="B4" t="s">
        <v>19</v>
      </c>
      <c r="D4" s="29" t="s">
        <v>469</v>
      </c>
      <c r="E4" s="30" t="s">
        <v>39</v>
      </c>
      <c r="J4" t="s">
        <v>64</v>
      </c>
      <c r="K4" t="s">
        <v>68</v>
      </c>
      <c r="L4" t="s">
        <v>672</v>
      </c>
      <c r="M4" t="s">
        <v>650</v>
      </c>
      <c r="N4" t="s">
        <v>666</v>
      </c>
      <c r="O4" t="s">
        <v>668</v>
      </c>
      <c r="P4" t="s">
        <v>667</v>
      </c>
      <c r="R4" t="s">
        <v>573</v>
      </c>
      <c r="U4">
        <v>1</v>
      </c>
      <c r="AA4" t="s">
        <v>761</v>
      </c>
      <c r="AB4" t="s">
        <v>18</v>
      </c>
    </row>
    <row r="5" spans="2:41" x14ac:dyDescent="0.35">
      <c r="D5" s="29" t="s">
        <v>470</v>
      </c>
      <c r="E5" s="30" t="s">
        <v>39</v>
      </c>
      <c r="J5" t="s">
        <v>73</v>
      </c>
      <c r="K5" t="s">
        <v>69</v>
      </c>
      <c r="L5" t="s">
        <v>673</v>
      </c>
      <c r="U5">
        <v>2</v>
      </c>
      <c r="Y5" t="s">
        <v>18</v>
      </c>
      <c r="AA5">
        <v>1</v>
      </c>
      <c r="AM5" t="s">
        <v>654</v>
      </c>
      <c r="AO5">
        <v>211</v>
      </c>
    </row>
    <row r="6" spans="2:41" x14ac:dyDescent="0.35">
      <c r="D6" s="29" t="s">
        <v>471</v>
      </c>
      <c r="E6" s="30" t="s">
        <v>40</v>
      </c>
      <c r="J6" t="s">
        <v>74</v>
      </c>
      <c r="K6" t="s">
        <v>70</v>
      </c>
      <c r="L6" t="s">
        <v>674</v>
      </c>
      <c r="U6">
        <v>3</v>
      </c>
      <c r="Y6" t="s">
        <v>19</v>
      </c>
      <c r="AA6">
        <v>2</v>
      </c>
      <c r="AM6" t="s">
        <v>656</v>
      </c>
      <c r="AO6">
        <v>102</v>
      </c>
    </row>
    <row r="7" spans="2:41" x14ac:dyDescent="0.35">
      <c r="D7" s="29" t="s">
        <v>472</v>
      </c>
      <c r="E7" s="30" t="s">
        <v>38</v>
      </c>
      <c r="J7" t="s">
        <v>75</v>
      </c>
      <c r="K7" t="s">
        <v>71</v>
      </c>
      <c r="L7" t="s">
        <v>676</v>
      </c>
      <c r="U7">
        <v>4</v>
      </c>
      <c r="Y7" t="s">
        <v>698</v>
      </c>
      <c r="AA7">
        <v>3</v>
      </c>
      <c r="AM7" t="s">
        <v>655</v>
      </c>
      <c r="AO7">
        <v>58</v>
      </c>
    </row>
    <row r="8" spans="2:41" x14ac:dyDescent="0.35">
      <c r="D8" s="29" t="s">
        <v>41</v>
      </c>
      <c r="E8" s="30" t="s">
        <v>40</v>
      </c>
      <c r="J8" t="s">
        <v>76</v>
      </c>
      <c r="K8" t="s">
        <v>65</v>
      </c>
      <c r="L8" t="s">
        <v>677</v>
      </c>
      <c r="U8">
        <v>5</v>
      </c>
      <c r="AA8">
        <v>4</v>
      </c>
      <c r="AM8" t="s">
        <v>657</v>
      </c>
      <c r="AO8">
        <v>116</v>
      </c>
    </row>
    <row r="9" spans="2:41" x14ac:dyDescent="0.35">
      <c r="D9" s="29" t="s">
        <v>473</v>
      </c>
      <c r="E9" s="30" t="s">
        <v>36</v>
      </c>
      <c r="J9" t="s">
        <v>574</v>
      </c>
      <c r="K9" t="s">
        <v>66</v>
      </c>
      <c r="L9" t="s">
        <v>675</v>
      </c>
      <c r="U9">
        <v>6</v>
      </c>
      <c r="AA9">
        <v>5</v>
      </c>
      <c r="AM9" t="s">
        <v>658</v>
      </c>
      <c r="AO9">
        <v>130</v>
      </c>
    </row>
    <row r="10" spans="2:41" x14ac:dyDescent="0.35">
      <c r="D10" s="29" t="s">
        <v>474</v>
      </c>
      <c r="E10" s="30" t="s">
        <v>36</v>
      </c>
      <c r="J10" t="s">
        <v>580</v>
      </c>
      <c r="K10" t="s">
        <v>67</v>
      </c>
      <c r="AA10" t="s">
        <v>697</v>
      </c>
      <c r="AM10" t="s">
        <v>659</v>
      </c>
      <c r="AO10">
        <v>100</v>
      </c>
    </row>
    <row r="11" spans="2:41" x14ac:dyDescent="0.35">
      <c r="D11" s="29" t="s">
        <v>475</v>
      </c>
      <c r="E11" s="30" t="s">
        <v>36</v>
      </c>
      <c r="J11" t="s">
        <v>581</v>
      </c>
      <c r="K11" t="s">
        <v>72</v>
      </c>
    </row>
    <row r="12" spans="2:41" ht="29" x14ac:dyDescent="0.35">
      <c r="D12" s="29" t="s">
        <v>476</v>
      </c>
      <c r="E12" s="30" t="s">
        <v>38</v>
      </c>
      <c r="J12" t="s">
        <v>590</v>
      </c>
      <c r="K12" t="s">
        <v>77</v>
      </c>
    </row>
    <row r="13" spans="2:41" x14ac:dyDescent="0.35">
      <c r="D13" s="29" t="s">
        <v>477</v>
      </c>
      <c r="E13" s="30" t="s">
        <v>40</v>
      </c>
      <c r="J13" t="s">
        <v>589</v>
      </c>
      <c r="K13" t="s">
        <v>78</v>
      </c>
    </row>
    <row r="14" spans="2:41" x14ac:dyDescent="0.35">
      <c r="D14" s="29" t="s">
        <v>478</v>
      </c>
      <c r="E14" s="30" t="s">
        <v>36</v>
      </c>
      <c r="J14" t="s">
        <v>594</v>
      </c>
      <c r="K14" t="s">
        <v>79</v>
      </c>
    </row>
    <row r="15" spans="2:41" x14ac:dyDescent="0.35">
      <c r="D15" s="29" t="s">
        <v>479</v>
      </c>
      <c r="E15" s="30" t="s">
        <v>40</v>
      </c>
      <c r="J15" t="s">
        <v>610</v>
      </c>
      <c r="K15" t="s">
        <v>575</v>
      </c>
    </row>
    <row r="16" spans="2:41" x14ac:dyDescent="0.35">
      <c r="D16" s="29" t="s">
        <v>42</v>
      </c>
      <c r="E16" s="30" t="s">
        <v>36</v>
      </c>
      <c r="J16" t="s">
        <v>611</v>
      </c>
      <c r="K16" t="s">
        <v>576</v>
      </c>
    </row>
    <row r="17" spans="4:11" x14ac:dyDescent="0.35">
      <c r="D17" s="29" t="s">
        <v>652</v>
      </c>
      <c r="E17" s="30" t="s">
        <v>40</v>
      </c>
      <c r="J17" t="s">
        <v>617</v>
      </c>
      <c r="K17" t="s">
        <v>577</v>
      </c>
    </row>
    <row r="18" spans="4:11" x14ac:dyDescent="0.35">
      <c r="D18" s="29" t="s">
        <v>651</v>
      </c>
      <c r="E18" s="30" t="s">
        <v>39</v>
      </c>
      <c r="J18" t="s">
        <v>618</v>
      </c>
      <c r="K18" t="s">
        <v>578</v>
      </c>
    </row>
    <row r="19" spans="4:11" x14ac:dyDescent="0.35">
      <c r="D19" s="29" t="s">
        <v>43</v>
      </c>
      <c r="E19" s="30" t="s">
        <v>36</v>
      </c>
      <c r="J19" t="s">
        <v>619</v>
      </c>
      <c r="K19" t="s">
        <v>579</v>
      </c>
    </row>
    <row r="20" spans="4:11" x14ac:dyDescent="0.35">
      <c r="D20" s="29" t="s">
        <v>44</v>
      </c>
      <c r="E20" s="30" t="s">
        <v>37</v>
      </c>
      <c r="J20" t="s">
        <v>624</v>
      </c>
      <c r="K20" t="s">
        <v>582</v>
      </c>
    </row>
    <row r="21" spans="4:11" x14ac:dyDescent="0.35">
      <c r="D21" s="29" t="s">
        <v>480</v>
      </c>
      <c r="E21" s="30" t="s">
        <v>36</v>
      </c>
      <c r="J21" t="s">
        <v>625</v>
      </c>
      <c r="K21" t="s">
        <v>583</v>
      </c>
    </row>
    <row r="22" spans="4:11" x14ac:dyDescent="0.35">
      <c r="D22" s="29" t="s">
        <v>481</v>
      </c>
      <c r="E22" s="30" t="s">
        <v>38</v>
      </c>
      <c r="J22" t="s">
        <v>633</v>
      </c>
      <c r="K22" t="s">
        <v>584</v>
      </c>
    </row>
    <row r="23" spans="4:11" x14ac:dyDescent="0.35">
      <c r="D23" s="29" t="s">
        <v>482</v>
      </c>
      <c r="E23" s="30" t="s">
        <v>38</v>
      </c>
      <c r="J23" t="s">
        <v>641</v>
      </c>
      <c r="K23" t="s">
        <v>585</v>
      </c>
    </row>
    <row r="24" spans="4:11" x14ac:dyDescent="0.35">
      <c r="D24" s="29" t="s">
        <v>483</v>
      </c>
      <c r="E24" s="30" t="s">
        <v>37</v>
      </c>
      <c r="K24" t="s">
        <v>586</v>
      </c>
    </row>
    <row r="25" spans="4:11" x14ac:dyDescent="0.35">
      <c r="D25" s="29" t="s">
        <v>45</v>
      </c>
      <c r="E25" s="30" t="s">
        <v>37</v>
      </c>
      <c r="K25" t="s">
        <v>587</v>
      </c>
    </row>
    <row r="26" spans="4:11" x14ac:dyDescent="0.35">
      <c r="D26" s="29" t="s">
        <v>484</v>
      </c>
      <c r="E26" s="30" t="s">
        <v>36</v>
      </c>
      <c r="K26" t="s">
        <v>588</v>
      </c>
    </row>
    <row r="27" spans="4:11" x14ac:dyDescent="0.35">
      <c r="D27" s="29" t="s">
        <v>485</v>
      </c>
      <c r="E27" s="30" t="s">
        <v>36</v>
      </c>
      <c r="K27" t="s">
        <v>591</v>
      </c>
    </row>
    <row r="28" spans="4:11" x14ac:dyDescent="0.35">
      <c r="D28" s="29" t="s">
        <v>486</v>
      </c>
      <c r="E28" s="30" t="s">
        <v>37</v>
      </c>
      <c r="K28" t="s">
        <v>592</v>
      </c>
    </row>
    <row r="29" spans="4:11" x14ac:dyDescent="0.35">
      <c r="D29" s="29" t="s">
        <v>487</v>
      </c>
      <c r="E29" s="30" t="s">
        <v>37</v>
      </c>
      <c r="K29" t="s">
        <v>593</v>
      </c>
    </row>
    <row r="30" spans="4:11" x14ac:dyDescent="0.35">
      <c r="D30" s="29" t="s">
        <v>488</v>
      </c>
      <c r="E30" s="30" t="s">
        <v>37</v>
      </c>
      <c r="K30" t="s">
        <v>595</v>
      </c>
    </row>
    <row r="31" spans="4:11" x14ac:dyDescent="0.35">
      <c r="D31" s="29" t="s">
        <v>489</v>
      </c>
      <c r="E31" s="30" t="s">
        <v>37</v>
      </c>
      <c r="K31" t="s">
        <v>596</v>
      </c>
    </row>
    <row r="32" spans="4:11" x14ac:dyDescent="0.35">
      <c r="D32" s="29" t="s">
        <v>490</v>
      </c>
      <c r="E32" s="30" t="s">
        <v>37</v>
      </c>
      <c r="K32" t="s">
        <v>597</v>
      </c>
    </row>
    <row r="33" spans="4:11" x14ac:dyDescent="0.35">
      <c r="D33" s="29" t="s">
        <v>712</v>
      </c>
      <c r="E33" s="30" t="s">
        <v>38</v>
      </c>
      <c r="K33" t="s">
        <v>598</v>
      </c>
    </row>
    <row r="34" spans="4:11" x14ac:dyDescent="0.35">
      <c r="D34" s="29" t="s">
        <v>713</v>
      </c>
      <c r="E34" s="30" t="s">
        <v>36</v>
      </c>
      <c r="K34" t="s">
        <v>599</v>
      </c>
    </row>
    <row r="35" spans="4:11" x14ac:dyDescent="0.35">
      <c r="D35" s="29" t="s">
        <v>714</v>
      </c>
      <c r="E35" s="30" t="s">
        <v>38</v>
      </c>
      <c r="K35" t="s">
        <v>600</v>
      </c>
    </row>
    <row r="36" spans="4:11" x14ac:dyDescent="0.35">
      <c r="D36" s="29" t="s">
        <v>715</v>
      </c>
      <c r="E36" s="30" t="s">
        <v>36</v>
      </c>
      <c r="K36" t="s">
        <v>601</v>
      </c>
    </row>
    <row r="37" spans="4:11" x14ac:dyDescent="0.35">
      <c r="D37" s="29" t="s">
        <v>716</v>
      </c>
      <c r="E37" s="30" t="s">
        <v>38</v>
      </c>
      <c r="K37" t="s">
        <v>602</v>
      </c>
    </row>
    <row r="38" spans="4:11" x14ac:dyDescent="0.35">
      <c r="D38" s="29" t="s">
        <v>717</v>
      </c>
      <c r="E38" s="30" t="s">
        <v>36</v>
      </c>
      <c r="K38" t="s">
        <v>603</v>
      </c>
    </row>
    <row r="39" spans="4:11" x14ac:dyDescent="0.35">
      <c r="D39" s="29" t="s">
        <v>718</v>
      </c>
      <c r="E39" s="30" t="s">
        <v>38</v>
      </c>
      <c r="K39" t="s">
        <v>604</v>
      </c>
    </row>
    <row r="40" spans="4:11" x14ac:dyDescent="0.35">
      <c r="D40" s="29" t="s">
        <v>719</v>
      </c>
      <c r="E40" s="30" t="s">
        <v>36</v>
      </c>
      <c r="K40" t="s">
        <v>605</v>
      </c>
    </row>
    <row r="41" spans="4:11" x14ac:dyDescent="0.35">
      <c r="D41" s="29" t="s">
        <v>720</v>
      </c>
      <c r="E41" s="30" t="s">
        <v>38</v>
      </c>
      <c r="K41" t="s">
        <v>606</v>
      </c>
    </row>
    <row r="42" spans="4:11" x14ac:dyDescent="0.35">
      <c r="D42" s="29" t="s">
        <v>721</v>
      </c>
      <c r="E42" s="30" t="s">
        <v>36</v>
      </c>
      <c r="K42" t="s">
        <v>607</v>
      </c>
    </row>
    <row r="43" spans="4:11" x14ac:dyDescent="0.35">
      <c r="D43" s="29" t="s">
        <v>722</v>
      </c>
      <c r="E43" s="30" t="s">
        <v>38</v>
      </c>
      <c r="K43" t="s">
        <v>608</v>
      </c>
    </row>
    <row r="44" spans="4:11" x14ac:dyDescent="0.35">
      <c r="D44" s="29" t="s">
        <v>723</v>
      </c>
      <c r="E44" s="30" t="s">
        <v>36</v>
      </c>
      <c r="K44" t="s">
        <v>609</v>
      </c>
    </row>
    <row r="45" spans="4:11" x14ac:dyDescent="0.35">
      <c r="D45" s="29" t="s">
        <v>724</v>
      </c>
      <c r="E45" s="30" t="s">
        <v>38</v>
      </c>
      <c r="K45" t="s">
        <v>612</v>
      </c>
    </row>
    <row r="46" spans="4:11" x14ac:dyDescent="0.35">
      <c r="D46" s="29" t="s">
        <v>725</v>
      </c>
      <c r="E46" s="30" t="s">
        <v>36</v>
      </c>
      <c r="K46" t="s">
        <v>613</v>
      </c>
    </row>
    <row r="47" spans="4:11" x14ac:dyDescent="0.35">
      <c r="D47" s="29" t="s">
        <v>726</v>
      </c>
      <c r="E47" s="30" t="s">
        <v>38</v>
      </c>
      <c r="K47" t="s">
        <v>614</v>
      </c>
    </row>
    <row r="48" spans="4:11" x14ac:dyDescent="0.35">
      <c r="D48" s="29" t="s">
        <v>727</v>
      </c>
      <c r="E48" s="30" t="s">
        <v>36</v>
      </c>
      <c r="K48" t="s">
        <v>615</v>
      </c>
    </row>
    <row r="49" spans="4:11" x14ac:dyDescent="0.35">
      <c r="D49" s="29" t="s">
        <v>728</v>
      </c>
      <c r="E49" s="30" t="s">
        <v>38</v>
      </c>
      <c r="K49" t="s">
        <v>616</v>
      </c>
    </row>
    <row r="50" spans="4:11" x14ac:dyDescent="0.35">
      <c r="D50" s="29" t="s">
        <v>729</v>
      </c>
      <c r="E50" s="30" t="s">
        <v>36</v>
      </c>
      <c r="K50" t="s">
        <v>620</v>
      </c>
    </row>
    <row r="51" spans="4:11" x14ac:dyDescent="0.35">
      <c r="D51" s="29" t="s">
        <v>730</v>
      </c>
      <c r="E51" s="30" t="s">
        <v>38</v>
      </c>
      <c r="K51" t="s">
        <v>621</v>
      </c>
    </row>
    <row r="52" spans="4:11" x14ac:dyDescent="0.35">
      <c r="D52" s="29" t="s">
        <v>731</v>
      </c>
      <c r="E52" s="30" t="s">
        <v>36</v>
      </c>
      <c r="K52" t="s">
        <v>622</v>
      </c>
    </row>
    <row r="53" spans="4:11" x14ac:dyDescent="0.35">
      <c r="D53" s="29" t="s">
        <v>732</v>
      </c>
      <c r="E53" s="30" t="s">
        <v>38</v>
      </c>
      <c r="K53" t="s">
        <v>623</v>
      </c>
    </row>
    <row r="54" spans="4:11" x14ac:dyDescent="0.35">
      <c r="D54" s="29" t="s">
        <v>733</v>
      </c>
      <c r="E54" s="30" t="s">
        <v>36</v>
      </c>
      <c r="K54" t="s">
        <v>626</v>
      </c>
    </row>
    <row r="55" spans="4:11" ht="29" x14ac:dyDescent="0.35">
      <c r="D55" s="29" t="s">
        <v>491</v>
      </c>
      <c r="E55" s="30" t="s">
        <v>38</v>
      </c>
      <c r="K55" t="s">
        <v>627</v>
      </c>
    </row>
    <row r="56" spans="4:11" x14ac:dyDescent="0.35">
      <c r="D56" s="29" t="s">
        <v>492</v>
      </c>
      <c r="E56" s="30" t="s">
        <v>37</v>
      </c>
      <c r="K56" t="s">
        <v>628</v>
      </c>
    </row>
    <row r="57" spans="4:11" x14ac:dyDescent="0.35">
      <c r="D57" s="29" t="s">
        <v>493</v>
      </c>
      <c r="E57" s="30" t="s">
        <v>37</v>
      </c>
      <c r="K57" t="s">
        <v>630</v>
      </c>
    </row>
    <row r="58" spans="4:11" x14ac:dyDescent="0.35">
      <c r="D58" s="29" t="s">
        <v>494</v>
      </c>
      <c r="E58" s="30" t="s">
        <v>37</v>
      </c>
      <c r="K58" t="s">
        <v>631</v>
      </c>
    </row>
    <row r="59" spans="4:11" x14ac:dyDescent="0.35">
      <c r="D59" s="29" t="s">
        <v>495</v>
      </c>
      <c r="E59" s="30" t="s">
        <v>36</v>
      </c>
      <c r="K59" t="s">
        <v>632</v>
      </c>
    </row>
    <row r="60" spans="4:11" x14ac:dyDescent="0.35">
      <c r="D60" s="29" t="s">
        <v>496</v>
      </c>
      <c r="E60" s="30" t="s">
        <v>36</v>
      </c>
      <c r="K60" t="s">
        <v>629</v>
      </c>
    </row>
    <row r="61" spans="4:11" x14ac:dyDescent="0.35">
      <c r="D61" s="29" t="s">
        <v>497</v>
      </c>
      <c r="E61" s="30" t="s">
        <v>36</v>
      </c>
      <c r="K61" t="s">
        <v>634</v>
      </c>
    </row>
    <row r="62" spans="4:11" x14ac:dyDescent="0.35">
      <c r="D62" s="29" t="s">
        <v>498</v>
      </c>
      <c r="E62" s="30" t="s">
        <v>36</v>
      </c>
      <c r="K62" t="s">
        <v>635</v>
      </c>
    </row>
    <row r="63" spans="4:11" x14ac:dyDescent="0.35">
      <c r="D63" s="29" t="s">
        <v>499</v>
      </c>
      <c r="E63" s="30" t="s">
        <v>36</v>
      </c>
      <c r="K63" t="s">
        <v>636</v>
      </c>
    </row>
    <row r="64" spans="4:11" x14ac:dyDescent="0.35">
      <c r="D64" s="29" t="s">
        <v>500</v>
      </c>
      <c r="E64" s="30" t="s">
        <v>36</v>
      </c>
      <c r="K64" t="s">
        <v>639</v>
      </c>
    </row>
    <row r="65" spans="4:11" x14ac:dyDescent="0.35">
      <c r="D65" s="29" t="s">
        <v>501</v>
      </c>
      <c r="E65" s="30" t="s">
        <v>37</v>
      </c>
      <c r="K65" t="s">
        <v>640</v>
      </c>
    </row>
    <row r="66" spans="4:11" x14ac:dyDescent="0.35">
      <c r="D66" s="29" t="s">
        <v>502</v>
      </c>
      <c r="E66" s="30" t="s">
        <v>36</v>
      </c>
      <c r="K66" t="s">
        <v>637</v>
      </c>
    </row>
    <row r="67" spans="4:11" x14ac:dyDescent="0.35">
      <c r="D67" s="29" t="s">
        <v>503</v>
      </c>
      <c r="E67" s="30" t="s">
        <v>37</v>
      </c>
      <c r="K67" t="s">
        <v>638</v>
      </c>
    </row>
    <row r="68" spans="4:11" x14ac:dyDescent="0.35">
      <c r="D68" s="29" t="s">
        <v>504</v>
      </c>
      <c r="E68" s="30" t="s">
        <v>37</v>
      </c>
      <c r="K68" t="s">
        <v>642</v>
      </c>
    </row>
    <row r="69" spans="4:11" x14ac:dyDescent="0.35">
      <c r="D69" s="29" t="s">
        <v>505</v>
      </c>
      <c r="E69" s="30" t="s">
        <v>37</v>
      </c>
      <c r="K69" t="s">
        <v>643</v>
      </c>
    </row>
    <row r="70" spans="4:11" x14ac:dyDescent="0.35">
      <c r="D70" s="29" t="s">
        <v>506</v>
      </c>
      <c r="E70" s="30" t="s">
        <v>37</v>
      </c>
      <c r="K70" t="s">
        <v>644</v>
      </c>
    </row>
    <row r="71" spans="4:11" x14ac:dyDescent="0.35">
      <c r="D71" s="29" t="s">
        <v>507</v>
      </c>
      <c r="E71" s="30" t="s">
        <v>37</v>
      </c>
      <c r="K71" t="s">
        <v>645</v>
      </c>
    </row>
    <row r="72" spans="4:11" x14ac:dyDescent="0.35">
      <c r="D72" s="29" t="s">
        <v>743</v>
      </c>
      <c r="E72" s="30" t="s">
        <v>36</v>
      </c>
      <c r="K72" t="s">
        <v>646</v>
      </c>
    </row>
    <row r="73" spans="4:11" x14ac:dyDescent="0.35">
      <c r="D73" s="29" t="s">
        <v>744</v>
      </c>
      <c r="E73" s="30" t="s">
        <v>37</v>
      </c>
      <c r="K73" t="s">
        <v>647</v>
      </c>
    </row>
    <row r="74" spans="4:11" x14ac:dyDescent="0.35">
      <c r="D74" s="29" t="s">
        <v>508</v>
      </c>
      <c r="E74" s="30" t="s">
        <v>37</v>
      </c>
      <c r="K74" t="s">
        <v>648</v>
      </c>
    </row>
    <row r="75" spans="4:11" x14ac:dyDescent="0.35">
      <c r="D75" s="29" t="s">
        <v>510</v>
      </c>
      <c r="E75" s="30" t="s">
        <v>36</v>
      </c>
    </row>
    <row r="76" spans="4:11" x14ac:dyDescent="0.35">
      <c r="D76" s="29" t="s">
        <v>509</v>
      </c>
      <c r="E76" s="30" t="s">
        <v>39</v>
      </c>
    </row>
    <row r="77" spans="4:11" x14ac:dyDescent="0.35">
      <c r="D77" s="29" t="s">
        <v>511</v>
      </c>
      <c r="E77" s="30" t="s">
        <v>36</v>
      </c>
    </row>
    <row r="78" spans="4:11" x14ac:dyDescent="0.35">
      <c r="D78" s="29" t="s">
        <v>512</v>
      </c>
      <c r="E78" s="30" t="s">
        <v>39</v>
      </c>
    </row>
    <row r="79" spans="4:11" x14ac:dyDescent="0.35">
      <c r="D79" s="29" t="s">
        <v>513</v>
      </c>
      <c r="E79" s="30" t="s">
        <v>36</v>
      </c>
    </row>
    <row r="80" spans="4:11" x14ac:dyDescent="0.35">
      <c r="D80" s="29" t="s">
        <v>514</v>
      </c>
      <c r="E80" s="30" t="s">
        <v>39</v>
      </c>
    </row>
    <row r="81" spans="4:5" x14ac:dyDescent="0.35">
      <c r="D81" s="29" t="s">
        <v>515</v>
      </c>
      <c r="E81" s="30" t="s">
        <v>37</v>
      </c>
    </row>
    <row r="82" spans="4:5" x14ac:dyDescent="0.35">
      <c r="D82" s="29" t="s">
        <v>516</v>
      </c>
      <c r="E82" s="30" t="s">
        <v>40</v>
      </c>
    </row>
    <row r="83" spans="4:5" x14ac:dyDescent="0.35">
      <c r="D83" s="29" t="s">
        <v>517</v>
      </c>
      <c r="E83" s="30" t="s">
        <v>36</v>
      </c>
    </row>
    <row r="84" spans="4:5" x14ac:dyDescent="0.35">
      <c r="D84" s="29" t="s">
        <v>518</v>
      </c>
      <c r="E84" s="30" t="s">
        <v>36</v>
      </c>
    </row>
    <row r="85" spans="4:5" x14ac:dyDescent="0.35">
      <c r="D85" s="29" t="s">
        <v>519</v>
      </c>
      <c r="E85" s="30" t="s">
        <v>38</v>
      </c>
    </row>
    <row r="86" spans="4:5" x14ac:dyDescent="0.35">
      <c r="D86" s="29" t="s">
        <v>521</v>
      </c>
      <c r="E86" s="30" t="s">
        <v>40</v>
      </c>
    </row>
    <row r="87" spans="4:5" x14ac:dyDescent="0.35">
      <c r="D87" s="29" t="s">
        <v>522</v>
      </c>
      <c r="E87" s="30" t="s">
        <v>36</v>
      </c>
    </row>
    <row r="88" spans="4:5" x14ac:dyDescent="0.35">
      <c r="D88" s="29" t="s">
        <v>523</v>
      </c>
      <c r="E88" s="30" t="s">
        <v>36</v>
      </c>
    </row>
    <row r="89" spans="4:5" x14ac:dyDescent="0.35">
      <c r="D89" s="29" t="s">
        <v>524</v>
      </c>
      <c r="E89" s="30" t="s">
        <v>36</v>
      </c>
    </row>
    <row r="90" spans="4:5" x14ac:dyDescent="0.35">
      <c r="D90" s="29" t="s">
        <v>525</v>
      </c>
      <c r="E90" s="30" t="s">
        <v>38</v>
      </c>
    </row>
    <row r="91" spans="4:5" x14ac:dyDescent="0.35">
      <c r="D91" s="29" t="s">
        <v>526</v>
      </c>
      <c r="E91" s="30" t="s">
        <v>36</v>
      </c>
    </row>
    <row r="92" spans="4:5" x14ac:dyDescent="0.35">
      <c r="D92" s="29" t="s">
        <v>520</v>
      </c>
      <c r="E92" s="30" t="s">
        <v>36</v>
      </c>
    </row>
    <row r="93" spans="4:5" x14ac:dyDescent="0.35">
      <c r="D93" s="29" t="s">
        <v>527</v>
      </c>
      <c r="E93" s="30" t="s">
        <v>39</v>
      </c>
    </row>
    <row r="94" spans="4:5" x14ac:dyDescent="0.35">
      <c r="D94" s="29" t="s">
        <v>46</v>
      </c>
      <c r="E94" s="30" t="s">
        <v>38</v>
      </c>
    </row>
    <row r="95" spans="4:5" x14ac:dyDescent="0.35">
      <c r="D95" s="29" t="s">
        <v>528</v>
      </c>
      <c r="E95" s="30" t="s">
        <v>38</v>
      </c>
    </row>
    <row r="96" spans="4:5" x14ac:dyDescent="0.35">
      <c r="D96" s="29" t="s">
        <v>543</v>
      </c>
      <c r="E96" s="30" t="s">
        <v>36</v>
      </c>
    </row>
    <row r="97" spans="4:5" x14ac:dyDescent="0.35">
      <c r="D97" s="29" t="s">
        <v>544</v>
      </c>
      <c r="E97" s="30" t="s">
        <v>38</v>
      </c>
    </row>
    <row r="98" spans="4:5" x14ac:dyDescent="0.35">
      <c r="D98" s="29" t="s">
        <v>545</v>
      </c>
      <c r="E98" s="30" t="s">
        <v>37</v>
      </c>
    </row>
    <row r="99" spans="4:5" x14ac:dyDescent="0.35">
      <c r="D99" s="29" t="s">
        <v>529</v>
      </c>
      <c r="E99" s="30" t="s">
        <v>38</v>
      </c>
    </row>
    <row r="100" spans="4:5" x14ac:dyDescent="0.35">
      <c r="D100" s="29" t="s">
        <v>546</v>
      </c>
      <c r="E100" s="30" t="s">
        <v>37</v>
      </c>
    </row>
    <row r="101" spans="4:5" x14ac:dyDescent="0.35">
      <c r="D101" s="29" t="s">
        <v>530</v>
      </c>
      <c r="E101" s="30" t="s">
        <v>38</v>
      </c>
    </row>
    <row r="102" spans="4:5" x14ac:dyDescent="0.35">
      <c r="D102" s="29" t="s">
        <v>547</v>
      </c>
      <c r="E102" s="30" t="s">
        <v>37</v>
      </c>
    </row>
    <row r="103" spans="4:5" x14ac:dyDescent="0.35">
      <c r="D103" s="29" t="s">
        <v>531</v>
      </c>
      <c r="E103" s="30" t="s">
        <v>37</v>
      </c>
    </row>
    <row r="104" spans="4:5" x14ac:dyDescent="0.35">
      <c r="D104" s="29" t="s">
        <v>532</v>
      </c>
      <c r="E104" s="30" t="s">
        <v>37</v>
      </c>
    </row>
    <row r="105" spans="4:5" x14ac:dyDescent="0.35">
      <c r="D105" s="29" t="s">
        <v>533</v>
      </c>
      <c r="E105" s="30" t="s">
        <v>37</v>
      </c>
    </row>
    <row r="106" spans="4:5" x14ac:dyDescent="0.35">
      <c r="D106" s="29" t="s">
        <v>534</v>
      </c>
      <c r="E106" s="30" t="s">
        <v>37</v>
      </c>
    </row>
    <row r="107" spans="4:5" x14ac:dyDescent="0.35">
      <c r="D107" s="29" t="s">
        <v>535</v>
      </c>
      <c r="E107" s="30" t="s">
        <v>37</v>
      </c>
    </row>
    <row r="108" spans="4:5" x14ac:dyDescent="0.35">
      <c r="D108" s="29" t="s">
        <v>536</v>
      </c>
      <c r="E108" s="30" t="s">
        <v>37</v>
      </c>
    </row>
    <row r="109" spans="4:5" x14ac:dyDescent="0.35">
      <c r="D109" s="29" t="s">
        <v>537</v>
      </c>
      <c r="E109" s="30" t="s">
        <v>36</v>
      </c>
    </row>
    <row r="110" spans="4:5" x14ac:dyDescent="0.35">
      <c r="D110" s="29" t="s">
        <v>539</v>
      </c>
      <c r="E110" s="30" t="s">
        <v>37</v>
      </c>
    </row>
    <row r="111" spans="4:5" x14ac:dyDescent="0.35">
      <c r="D111" s="29" t="s">
        <v>540</v>
      </c>
      <c r="E111" s="30" t="s">
        <v>37</v>
      </c>
    </row>
    <row r="112" spans="4:5" x14ac:dyDescent="0.35">
      <c r="D112" s="29" t="s">
        <v>538</v>
      </c>
      <c r="E112" s="30" t="s">
        <v>37</v>
      </c>
    </row>
    <row r="113" spans="4:5" x14ac:dyDescent="0.35">
      <c r="D113" s="29" t="s">
        <v>541</v>
      </c>
      <c r="E113" s="30" t="s">
        <v>37</v>
      </c>
    </row>
    <row r="114" spans="4:5" x14ac:dyDescent="0.35">
      <c r="D114" s="29" t="s">
        <v>542</v>
      </c>
      <c r="E114" s="30" t="s">
        <v>37</v>
      </c>
    </row>
    <row r="115" spans="4:5" x14ac:dyDescent="0.35">
      <c r="D115" s="29" t="s">
        <v>548</v>
      </c>
      <c r="E115" s="30" t="s">
        <v>37</v>
      </c>
    </row>
    <row r="116" spans="4:5" x14ac:dyDescent="0.35">
      <c r="D116" s="29" t="s">
        <v>549</v>
      </c>
      <c r="E116" s="30" t="s">
        <v>37</v>
      </c>
    </row>
    <row r="117" spans="4:5" x14ac:dyDescent="0.35">
      <c r="D117" s="29" t="s">
        <v>47</v>
      </c>
      <c r="E117" s="30" t="s">
        <v>37</v>
      </c>
    </row>
    <row r="118" spans="4:5" x14ac:dyDescent="0.35">
      <c r="D118" s="29" t="s">
        <v>550</v>
      </c>
      <c r="E118" s="30" t="s">
        <v>37</v>
      </c>
    </row>
    <row r="119" spans="4:5" x14ac:dyDescent="0.35">
      <c r="D119" s="29" t="s">
        <v>551</v>
      </c>
      <c r="E119" s="30" t="s">
        <v>38</v>
      </c>
    </row>
    <row r="120" spans="4:5" x14ac:dyDescent="0.35">
      <c r="D120" s="29" t="s">
        <v>552</v>
      </c>
      <c r="E120" s="30" t="s">
        <v>38</v>
      </c>
    </row>
    <row r="121" spans="4:5" x14ac:dyDescent="0.35">
      <c r="D121" s="29" t="s">
        <v>554</v>
      </c>
      <c r="E121" s="30" t="s">
        <v>39</v>
      </c>
    </row>
    <row r="122" spans="4:5" x14ac:dyDescent="0.35">
      <c r="D122" s="29" t="s">
        <v>553</v>
      </c>
      <c r="E122" s="30" t="s">
        <v>37</v>
      </c>
    </row>
    <row r="123" spans="4:5" x14ac:dyDescent="0.35">
      <c r="D123" s="29" t="s">
        <v>555</v>
      </c>
      <c r="E123" s="30" t="s">
        <v>38</v>
      </c>
    </row>
    <row r="124" spans="4:5" x14ac:dyDescent="0.35">
      <c r="D124" s="29" t="s">
        <v>556</v>
      </c>
      <c r="E124" s="30" t="s">
        <v>37</v>
      </c>
    </row>
    <row r="125" spans="4:5" ht="17.25" customHeight="1" x14ac:dyDescent="0.35">
      <c r="D125" s="29" t="s">
        <v>558</v>
      </c>
      <c r="E125" s="30" t="s">
        <v>36</v>
      </c>
    </row>
    <row r="126" spans="4:5" ht="20.25" customHeight="1" x14ac:dyDescent="0.35">
      <c r="D126" s="29" t="s">
        <v>557</v>
      </c>
      <c r="E126" s="30" t="s">
        <v>37</v>
      </c>
    </row>
    <row r="127" spans="4:5" x14ac:dyDescent="0.35">
      <c r="D127" s="29" t="s">
        <v>559</v>
      </c>
      <c r="E127" s="30" t="s">
        <v>37</v>
      </c>
    </row>
    <row r="128" spans="4:5" x14ac:dyDescent="0.35">
      <c r="D128" s="29" t="s">
        <v>560</v>
      </c>
      <c r="E128" s="30" t="s">
        <v>37</v>
      </c>
    </row>
    <row r="129" spans="4:5" x14ac:dyDescent="0.35">
      <c r="D129" s="29" t="s">
        <v>561</v>
      </c>
      <c r="E129" s="30" t="s">
        <v>37</v>
      </c>
    </row>
    <row r="130" spans="4:5" x14ac:dyDescent="0.35">
      <c r="D130" s="29" t="s">
        <v>562</v>
      </c>
      <c r="E130" s="30" t="s">
        <v>37</v>
      </c>
    </row>
    <row r="131" spans="4:5" x14ac:dyDescent="0.35">
      <c r="D131" s="29" t="s">
        <v>563</v>
      </c>
      <c r="E131" s="30" t="s">
        <v>38</v>
      </c>
    </row>
    <row r="132" spans="4:5" x14ac:dyDescent="0.35">
      <c r="D132" s="29" t="s">
        <v>564</v>
      </c>
      <c r="E132" s="30" t="s">
        <v>38</v>
      </c>
    </row>
    <row r="133" spans="4:5" x14ac:dyDescent="0.35">
      <c r="D133" s="29" t="s">
        <v>565</v>
      </c>
      <c r="E133" s="30" t="s">
        <v>36</v>
      </c>
    </row>
    <row r="134" spans="4:5" x14ac:dyDescent="0.35">
      <c r="D134" s="29" t="s">
        <v>566</v>
      </c>
      <c r="E134" s="30" t="s">
        <v>37</v>
      </c>
    </row>
    <row r="135" spans="4:5" x14ac:dyDescent="0.35">
      <c r="D135" s="29" t="s">
        <v>567</v>
      </c>
      <c r="E135" s="30" t="s">
        <v>38</v>
      </c>
    </row>
    <row r="136" spans="4:5" x14ac:dyDescent="0.35">
      <c r="D136" s="29" t="s">
        <v>568</v>
      </c>
      <c r="E136" s="30" t="s">
        <v>38</v>
      </c>
    </row>
    <row r="137" spans="4:5" x14ac:dyDescent="0.35">
      <c r="D137" s="29" t="s">
        <v>569</v>
      </c>
      <c r="E137" s="30" t="s">
        <v>38</v>
      </c>
    </row>
    <row r="138" spans="4:5" x14ac:dyDescent="0.35">
      <c r="D138" s="29" t="s">
        <v>570</v>
      </c>
      <c r="E138" s="30" t="s">
        <v>38</v>
      </c>
    </row>
    <row r="139" spans="4:5" x14ac:dyDescent="0.35">
      <c r="D139" s="29" t="s">
        <v>571</v>
      </c>
      <c r="E139" s="30" t="s">
        <v>40</v>
      </c>
    </row>
    <row r="140" spans="4:5" x14ac:dyDescent="0.35">
      <c r="D140" s="28"/>
    </row>
  </sheetData>
  <sheetProtection algorithmName="SHA-512" hashValue="Vufuug7Nz0DizcLx60Rbe3R3V5Z+OiZYTECdGSbYIk2Ko9R7/t2dITZPXhmiLCWcTk0ywHTOgEPnME2wDb0mSA==" saltValue="T6+6t38Wwu3UHfsS1QbT2w==" spinCount="100000"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3" ma:contentTypeDescription="Permitting &amp; Compliance Excel Document" ma:contentTypeScope="" ma:versionID="9c22f68f5a820173f881d972d5ec3434">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eb444411a104659c8c1fc941edb7a67a"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REGU-409-3556605</_dlc_DocId>
    <_dlc_DocIdUrl xmlns="9be56660-2c31-41ef-bc00-23e72f632f2a">
      <Url>https://cyfoethnaturiolcymru.sharepoint.com/teams/Regulatory/Permitting/_layouts/15/DocIdRedir.aspx?ID=REGU-409-3556605</Url>
      <Description>REGU-409-3556605</Description>
    </_dlc_DocIdUrl>
    <Site_x0020_Name xmlns="859f7ad6-93f6-4205-b62b-a17f28acbbac">The Creamery, Aber-arad</Site_x0020_Name>
    <lcf76f155ced4ddcb4097134ff3c332f xmlns="83f546a9-c1c9-4c40-bfe0-8714c2c0a127" xsi:nil="true"/>
    <Internal_x002f_External xmlns="859f7ad6-93f6-4205-b62b-a17f28acbbac">Internal document</Internal_x002f_External>
    <Post_x0020_code xmlns="859f7ad6-93f6-4205-b62b-a17f28acbbac">SA38 9DQ</Post_x0020_code>
    <TaxCatchAll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2023-10-19T23:00:00+00:00</Document_x0020_Date>
    <Facility_x0020_Address xmlns="859f7ad6-93f6-4205-b62b-a17f28acbbac">Aber-arad, Newcastle Emlyn.  SA38 9DQ</Facility_x0020_Address>
    <Environment_x0020_Sub_x0020_Folder xmlns="859f7ad6-93f6-4205-b62b-a17f28acbbac">Licence supervision</Environment_x0020_Sub_x0020_Folder>
    <Customer_x0020_Name xmlns="859f7ad6-93f6-4205-b62b-a17f28acbbac">Dairy Partners (Cymru Wales)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67E3084-A546-4EDC-9568-03AED0BC51EE}"/>
</file>

<file path=customXml/itemProps2.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3.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4.xml><?xml version="1.0" encoding="utf-8"?>
<ds:datastoreItem xmlns:ds="http://schemas.openxmlformats.org/officeDocument/2006/customXml" ds:itemID="{845B5C51-60FC-4021-B870-3A5643A34C58}">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9BE882C5-27DB-4B51-8D15-6DEB87B980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Mark.Broom</dc:creator>
  <cp:lastModifiedBy>Kirsty.Thomas</cp:lastModifiedBy>
  <dcterms:created xsi:type="dcterms:W3CDTF">2022-08-19T07:52:48Z</dcterms:created>
  <dcterms:modified xsi:type="dcterms:W3CDTF">2023-10-17T13:26:24Z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82c61c8b-b1b5-48d8-99b4-2c8f265fe454</vt:lpwstr>
  </property>
  <property fmtid="{D5CDD505-2E9C-101B-9397-08002B2CF9AE}" pid="4" name="MediaServiceImageTags">
    <vt:lpwstr/>
  </property>
</Properties>
</file>