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3140/"/>
    </mc:Choice>
  </mc:AlternateContent>
  <xr:revisionPtr revIDLastSave="0" documentId="13_ncr:1_{8D6B7E76-1D0B-4791-96E2-1D166DCBBE7B}" xr6:coauthVersionLast="47" xr6:coauthVersionMax="47" xr10:uidLastSave="{00000000-0000-0000-0000-000000000000}"/>
  <bookViews>
    <workbookView xWindow="-108" yWindow="-108" windowWidth="23256" windowHeight="12576" tabRatio="870" activeTab="2" xr2:uid="{00000000-000D-0000-FFFF-FFFF00000000}"/>
  </bookViews>
  <sheets>
    <sheet name="Dairy Partners" sheetId="1" r:id="rId1"/>
    <sheet name="Volac" sheetId="21" r:id="rId2"/>
    <sheet name="First milk"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Q65" i="1" l="1"/>
  <c r="R65" i="1"/>
  <c r="S65" i="1"/>
  <c r="T65" i="1"/>
  <c r="U65" i="1"/>
  <c r="Q65" i="21"/>
  <c r="R65" i="21"/>
  <c r="S65" i="21"/>
  <c r="T65" i="21"/>
  <c r="U65" i="21"/>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20" i="19"/>
  <c r="H24" i="19"/>
  <c r="C26" i="19"/>
  <c r="C25" i="19"/>
  <c r="C24" i="19"/>
  <c r="C23" i="19"/>
  <c r="C22" i="19"/>
  <c r="C21" i="19"/>
  <c r="C20" i="19"/>
  <c r="C5" i="19"/>
  <c r="C19" i="19" s="1"/>
  <c r="C4" i="19"/>
  <c r="C18" i="19" s="1"/>
  <c r="C3" i="19"/>
  <c r="C17" i="19" s="1"/>
  <c r="B5" i="20"/>
  <c r="B4" i="20"/>
  <c r="B3" i="20"/>
  <c r="R21" i="19"/>
  <c r="J21" i="19"/>
  <c r="T24" i="19"/>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I22" i="27"/>
  <c r="V20" i="27"/>
  <c r="U20" i="27"/>
  <c r="T20" i="27"/>
  <c r="S20" i="27"/>
  <c r="R20" i="27"/>
  <c r="U18" i="27"/>
  <c r="T18" i="27"/>
  <c r="S18" i="27"/>
  <c r="R18" i="27"/>
  <c r="K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N58" i="21" l="1"/>
  <c r="N61" i="21" s="1"/>
  <c r="F58" i="21"/>
  <c r="F61" i="21" s="1"/>
  <c r="U57" i="21"/>
  <c r="F57" i="21"/>
  <c r="S23" i="19"/>
  <c r="L20" i="19"/>
  <c r="R26" i="19"/>
  <c r="K23" i="19"/>
  <c r="D20" i="19"/>
  <c r="O58" i="21"/>
  <c r="O61" i="21" s="1"/>
  <c r="J26" i="19"/>
  <c r="V22" i="19"/>
  <c r="U25" i="19"/>
  <c r="N22" i="19"/>
  <c r="G58" i="21"/>
  <c r="G61" i="21" s="1"/>
  <c r="T58" i="21"/>
  <c r="T61" i="21" s="1"/>
  <c r="L58" i="21"/>
  <c r="L61" i="21" s="1"/>
  <c r="L64" i="21" s="1"/>
  <c r="D58" i="21"/>
  <c r="D61" i="21" s="1"/>
  <c r="D64" i="21" s="1"/>
  <c r="D65" i="21" s="1"/>
  <c r="M25" i="19"/>
  <c r="F22" i="19"/>
  <c r="G17" i="27"/>
  <c r="G19" i="27" s="1"/>
  <c r="G20" i="27" s="1"/>
  <c r="O17" i="27"/>
  <c r="O19" i="27" s="1"/>
  <c r="O20" i="27" s="1"/>
  <c r="E25" i="19"/>
  <c r="Q21" i="19"/>
  <c r="P24" i="19"/>
  <c r="I21" i="19"/>
  <c r="D22" i="19"/>
  <c r="L22" i="19"/>
  <c r="T22" i="19"/>
  <c r="O4" i="20"/>
  <c r="P4" i="19"/>
  <c r="P18" i="19" s="1"/>
  <c r="H20" i="19"/>
  <c r="P20" i="19"/>
  <c r="G4" i="20"/>
  <c r="H4" i="19"/>
  <c r="H18" i="19" s="1"/>
  <c r="G26" i="19"/>
  <c r="O26" i="19"/>
  <c r="I4" i="20"/>
  <c r="J4" i="19"/>
  <c r="J18" i="19" s="1"/>
  <c r="I59" i="21"/>
  <c r="J17" i="21"/>
  <c r="J19" i="21" s="1"/>
  <c r="J20" i="21" s="1"/>
  <c r="J21" i="21"/>
  <c r="J23" i="21" s="1"/>
  <c r="J24" i="21" s="1"/>
  <c r="P26" i="19"/>
  <c r="R23" i="19"/>
  <c r="F5" i="20"/>
  <c r="G5" i="19"/>
  <c r="G19" i="19" s="1"/>
  <c r="N5" i="20"/>
  <c r="O5" i="19"/>
  <c r="O19" i="19" s="1"/>
  <c r="Q4" i="20"/>
  <c r="R4" i="19"/>
  <c r="R18" i="19" s="1"/>
  <c r="Q59" i="21"/>
  <c r="R21" i="21"/>
  <c r="R17" i="21"/>
  <c r="H26" i="19"/>
  <c r="J4" i="20"/>
  <c r="K4" i="19"/>
  <c r="K18" i="19" s="1"/>
  <c r="U63" i="21"/>
  <c r="N63" i="21"/>
  <c r="F63" i="21"/>
  <c r="P59" i="21"/>
  <c r="Q21" i="21"/>
  <c r="Q23" i="21" s="1"/>
  <c r="Q24" i="21" s="1"/>
  <c r="Q17" i="21"/>
  <c r="Q19" i="21" s="1"/>
  <c r="Q20" i="21" s="1"/>
  <c r="I17" i="21"/>
  <c r="I19" i="21" s="1"/>
  <c r="I20" i="21" s="1"/>
  <c r="I21" i="21"/>
  <c r="D59" i="27"/>
  <c r="E17" i="27"/>
  <c r="E19" i="27" s="1"/>
  <c r="E20" i="27" s="1"/>
  <c r="L59" i="27"/>
  <c r="M17" i="27"/>
  <c r="M19" i="27" s="1"/>
  <c r="M20" i="27" s="1"/>
  <c r="T59" i="27"/>
  <c r="U17" i="27"/>
  <c r="J23" i="19"/>
  <c r="R4" i="20"/>
  <c r="S4" i="19"/>
  <c r="S18" i="19" s="1"/>
  <c r="S25" i="19"/>
  <c r="M24" i="19"/>
  <c r="U24" i="19"/>
  <c r="K25" i="19"/>
  <c r="E24" i="19"/>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T26" i="19"/>
  <c r="L26" i="19"/>
  <c r="D26" i="19"/>
  <c r="O25" i="19"/>
  <c r="G25" i="19"/>
  <c r="R24" i="19"/>
  <c r="J24" i="19"/>
  <c r="U23" i="19"/>
  <c r="M23" i="19"/>
  <c r="E23" i="19"/>
  <c r="P22" i="19"/>
  <c r="H22" i="19"/>
  <c r="S21" i="19"/>
  <c r="K21" i="19"/>
  <c r="V20" i="19"/>
  <c r="N20" i="19"/>
  <c r="F20" i="19"/>
  <c r="Q5" i="19"/>
  <c r="Q19" i="19" s="1"/>
  <c r="I5" i="19"/>
  <c r="I19" i="19" s="1"/>
  <c r="T4" i="19"/>
  <c r="T18" i="19" s="1"/>
  <c r="L4" i="19"/>
  <c r="L18" i="19" s="1"/>
  <c r="D4" i="19"/>
  <c r="D18" i="19" s="1"/>
  <c r="C59" i="27"/>
  <c r="D17" i="27"/>
  <c r="D19" i="27" s="1"/>
  <c r="D20" i="27" s="1"/>
  <c r="K59" i="27"/>
  <c r="L17" i="27"/>
  <c r="L19" i="27" s="1"/>
  <c r="L20" i="27" s="1"/>
  <c r="S59" i="27"/>
  <c r="T17" i="27"/>
  <c r="T19" i="27" s="1"/>
  <c r="S26" i="19"/>
  <c r="K26" i="19"/>
  <c r="V25" i="19"/>
  <c r="N25" i="19"/>
  <c r="F25" i="19"/>
  <c r="Q24" i="19"/>
  <c r="I24" i="19"/>
  <c r="T23" i="19"/>
  <c r="L23" i="19"/>
  <c r="D23" i="19"/>
  <c r="O22" i="19"/>
  <c r="G22" i="19"/>
  <c r="U20" i="19"/>
  <c r="M20" i="19"/>
  <c r="E20" i="19"/>
  <c r="P5" i="19"/>
  <c r="P19" i="19" s="1"/>
  <c r="H5" i="19"/>
  <c r="H19" i="19" s="1"/>
  <c r="O59" i="21"/>
  <c r="P21" i="21"/>
  <c r="P23" i="21" s="1"/>
  <c r="P24" i="21" s="1"/>
  <c r="P17" i="21"/>
  <c r="P19" i="21" s="1"/>
  <c r="P20" i="21" s="1"/>
  <c r="H21" i="21"/>
  <c r="H23" i="21" s="1"/>
  <c r="H24" i="21" s="1"/>
  <c r="H17" i="21"/>
  <c r="H19" i="21" s="1"/>
  <c r="H20" i="21" s="1"/>
  <c r="E59" i="27"/>
  <c r="F17" i="27"/>
  <c r="F19" i="27" s="1"/>
  <c r="F20" i="27" s="1"/>
  <c r="M59" i="27"/>
  <c r="N17" i="27"/>
  <c r="N19" i="27" s="1"/>
  <c r="N20" i="27" s="1"/>
  <c r="U59" i="27"/>
  <c r="V17" i="27"/>
  <c r="L5" i="20"/>
  <c r="Q26" i="19"/>
  <c r="I26" i="19"/>
  <c r="T25" i="19"/>
  <c r="L25" i="19"/>
  <c r="D25" i="19"/>
  <c r="O24" i="19"/>
  <c r="G24" i="19"/>
  <c r="U22" i="19"/>
  <c r="M22" i="19"/>
  <c r="E22" i="19"/>
  <c r="P21" i="19"/>
  <c r="H21" i="19"/>
  <c r="S20" i="19"/>
  <c r="K20" i="19"/>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G19" i="21" s="1"/>
  <c r="G20" i="21" s="1"/>
  <c r="V24" i="19"/>
  <c r="N24" i="19"/>
  <c r="F24" i="19"/>
  <c r="Q23" i="19"/>
  <c r="I23" i="19"/>
  <c r="O21" i="19"/>
  <c r="G21" i="19"/>
  <c r="R20" i="19"/>
  <c r="J20" i="19"/>
  <c r="U5" i="19"/>
  <c r="U19" i="19" s="1"/>
  <c r="E5" i="19"/>
  <c r="E19" i="19" s="1"/>
  <c r="M59" i="21"/>
  <c r="N17" i="21"/>
  <c r="N19" i="21" s="1"/>
  <c r="N20" i="21" s="1"/>
  <c r="N21" i="21"/>
  <c r="N23" i="21" s="1"/>
  <c r="N24" i="21" s="1"/>
  <c r="H17" i="27"/>
  <c r="H19" i="27" s="1"/>
  <c r="H20" i="27" s="1"/>
  <c r="P17" i="27"/>
  <c r="P19" i="27" s="1"/>
  <c r="P20" i="27" s="1"/>
  <c r="R25" i="19"/>
  <c r="J25" i="19"/>
  <c r="P23" i="19"/>
  <c r="H23" i="19"/>
  <c r="S22" i="19"/>
  <c r="K22" i="19"/>
  <c r="V21" i="19"/>
  <c r="N21" i="19"/>
  <c r="F21" i="19"/>
  <c r="Q20" i="19"/>
  <c r="I20" i="19"/>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Q19" i="27" s="1"/>
  <c r="Q20" i="27" s="1"/>
  <c r="V26" i="19"/>
  <c r="N26" i="19"/>
  <c r="F26" i="19"/>
  <c r="Q25" i="19"/>
  <c r="I25" i="19"/>
  <c r="L24" i="19"/>
  <c r="D24" i="19"/>
  <c r="O23" i="19"/>
  <c r="G23" i="19"/>
  <c r="R22" i="19"/>
  <c r="J22" i="19"/>
  <c r="U21" i="19"/>
  <c r="M21" i="19"/>
  <c r="E21" i="19"/>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U26" i="19"/>
  <c r="M26" i="19"/>
  <c r="E26" i="19"/>
  <c r="P25" i="19"/>
  <c r="H25" i="19"/>
  <c r="S24" i="19"/>
  <c r="K24" i="19"/>
  <c r="V23" i="19"/>
  <c r="N23" i="19"/>
  <c r="F23" i="19"/>
  <c r="Q22" i="19"/>
  <c r="I22" i="19"/>
  <c r="T21" i="19"/>
  <c r="L21" i="19"/>
  <c r="D21" i="19"/>
  <c r="O20" i="19"/>
  <c r="G20" i="19"/>
  <c r="R5" i="19"/>
  <c r="R19" i="19" s="1"/>
  <c r="J5" i="19"/>
  <c r="J19" i="19" s="1"/>
  <c r="U4" i="19"/>
  <c r="U18" i="19" s="1"/>
  <c r="M4" i="19"/>
  <c r="M18" i="19" s="1"/>
  <c r="E4" i="19"/>
  <c r="E18" i="19" s="1"/>
  <c r="B59" i="27"/>
  <c r="C17" i="27"/>
  <c r="C19" i="27" s="1"/>
  <c r="C20" i="27" s="1"/>
  <c r="C21" i="27"/>
  <c r="C23" i="27" s="1"/>
  <c r="C24" i="27" s="1"/>
  <c r="B59" i="21"/>
  <c r="C21" i="21"/>
  <c r="C23" i="21" s="1"/>
  <c r="C24" i="21" s="1"/>
  <c r="C17" i="21"/>
  <c r="C19" i="21" s="1"/>
  <c r="C20" i="21" s="1"/>
  <c r="S58" i="21"/>
  <c r="S61" i="21" s="1"/>
  <c r="C58" i="21"/>
  <c r="C61" i="21" s="1"/>
  <c r="C64" i="21" s="1"/>
  <c r="C65"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P23" i="27" s="1"/>
  <c r="P24" i="27" s="1"/>
  <c r="J58" i="27"/>
  <c r="J61" i="27" s="1"/>
  <c r="J64" i="27" s="1"/>
  <c r="R58" i="27"/>
  <c r="R61" i="27" s="1"/>
  <c r="R64" i="27" s="1"/>
  <c r="L21" i="27"/>
  <c r="L23" i="27" s="1"/>
  <c r="L24" i="27" s="1"/>
  <c r="T21" i="27"/>
  <c r="P58" i="21"/>
  <c r="P61" i="21" s="1"/>
  <c r="H58" i="21"/>
  <c r="H61" i="21" s="1"/>
  <c r="R57" i="21"/>
  <c r="D58" i="27"/>
  <c r="D61" i="27" s="1"/>
  <c r="D64" i="27" s="1"/>
  <c r="D65" i="27" s="1"/>
  <c r="L58" i="27"/>
  <c r="L61" i="27" s="1"/>
  <c r="T58" i="27"/>
  <c r="T61" i="27" s="1"/>
  <c r="T64" i="27" s="1"/>
  <c r="J57" i="21"/>
  <c r="H59" i="21"/>
  <c r="R21" i="27"/>
  <c r="R23" i="27" s="1"/>
  <c r="R24" i="27" s="1"/>
  <c r="E58" i="27"/>
  <c r="E61"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Q58" i="27"/>
  <c r="Q61" i="27" s="1"/>
  <c r="Q64" i="27" s="1"/>
  <c r="H57" i="27"/>
  <c r="F59" i="27"/>
  <c r="N57" i="27"/>
  <c r="H59" i="27"/>
  <c r="Q58" i="21"/>
  <c r="Q61" i="21" s="1"/>
  <c r="Q64" i="21" s="1"/>
  <c r="I58" i="21"/>
  <c r="I61" i="21" s="1"/>
  <c r="C58" i="27"/>
  <c r="C61" i="27" s="1"/>
  <c r="K58" i="27"/>
  <c r="K61" i="27" s="1"/>
  <c r="S58" i="27"/>
  <c r="S61" i="27" s="1"/>
  <c r="S64" i="27" s="1"/>
  <c r="P57" i="27"/>
  <c r="N59" i="27"/>
  <c r="G57" i="21"/>
  <c r="P59" i="27"/>
  <c r="B58" i="27"/>
  <c r="B61" i="27" s="1"/>
  <c r="D5" i="20"/>
  <c r="D4"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Q65" i="27" s="1"/>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E63" i="27"/>
  <c r="M63" i="27"/>
  <c r="A33" i="21"/>
  <c r="A37" i="21"/>
  <c r="A41" i="21"/>
  <c r="A45" i="21"/>
  <c r="A49" i="21"/>
  <c r="E58" i="21"/>
  <c r="E61" i="21" s="1"/>
  <c r="M58" i="21"/>
  <c r="M61" i="21" s="1"/>
  <c r="U58" i="21"/>
  <c r="U61" i="21" s="1"/>
  <c r="U64" i="21" s="1"/>
  <c r="U66" i="21" s="1"/>
  <c r="S19" i="21"/>
  <c r="I23" i="21"/>
  <c r="I24" i="21" s="1"/>
  <c r="C57" i="21"/>
  <c r="K57" i="21"/>
  <c r="S57" i="21"/>
  <c r="R23" i="21"/>
  <c r="R24"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P64" i="21" l="1"/>
  <c r="P65" i="21" s="1"/>
  <c r="O64" i="21"/>
  <c r="O65" i="21" s="1"/>
  <c r="J65" i="27"/>
  <c r="L65" i="21"/>
  <c r="K65" i="21"/>
  <c r="N66" i="21"/>
  <c r="N65" i="21"/>
  <c r="K64" i="27"/>
  <c r="K65" i="27" s="1"/>
  <c r="I64" i="27"/>
  <c r="I65" i="27" s="1"/>
  <c r="E64" i="27"/>
  <c r="E65" i="27" s="1"/>
  <c r="C64" i="27"/>
  <c r="C65" i="27" s="1"/>
  <c r="P64" i="27"/>
  <c r="P65" i="27" s="1"/>
  <c r="G64" i="21"/>
  <c r="S64" i="21"/>
  <c r="S66" i="21" s="1"/>
  <c r="E64" i="21"/>
  <c r="F64" i="21"/>
  <c r="J64" i="21"/>
  <c r="H64" i="21"/>
  <c r="H65" i="21" s="1"/>
  <c r="M64" i="27"/>
  <c r="H64" i="27"/>
  <c r="L64" i="27"/>
  <c r="M64" i="21"/>
  <c r="M65" i="21" s="1"/>
  <c r="I64" i="21"/>
  <c r="U64" i="27"/>
  <c r="U66" i="27" s="1"/>
  <c r="S66" i="27"/>
  <c r="B64" i="27"/>
  <c r="B64" i="21"/>
  <c r="O64" i="27"/>
  <c r="N64" i="27"/>
  <c r="Q66" i="21"/>
  <c r="R66" i="27"/>
  <c r="J66" i="27"/>
  <c r="G64" i="27"/>
  <c r="F64" i="27"/>
  <c r="T66" i="27"/>
  <c r="T66" i="21"/>
  <c r="L66" i="21"/>
  <c r="S64" i="1"/>
  <c r="D66" i="27"/>
  <c r="R64" i="1"/>
  <c r="Q64" i="1"/>
  <c r="U64" i="1"/>
  <c r="P64" i="1"/>
  <c r="Q66" i="27"/>
  <c r="K66" i="21"/>
  <c r="C66" i="21"/>
  <c r="D66" i="21"/>
  <c r="R66" i="21"/>
  <c r="N64" i="1"/>
  <c r="M64" i="1"/>
  <c r="T64" i="1"/>
  <c r="L64" i="1"/>
  <c r="J64" i="1"/>
  <c r="K64" i="1"/>
  <c r="K65" i="1" s="1"/>
  <c r="O64" i="1"/>
  <c r="O65" i="1" s="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P66" i="21" l="1"/>
  <c r="O66" i="21"/>
  <c r="P65" i="1"/>
  <c r="M65" i="1"/>
  <c r="N65" i="1"/>
  <c r="L65" i="1"/>
  <c r="J65" i="1"/>
  <c r="H65" i="1"/>
  <c r="G65" i="1"/>
  <c r="F65" i="1"/>
  <c r="E65" i="1"/>
  <c r="D65" i="1"/>
  <c r="C65" i="1"/>
  <c r="B65" i="1"/>
  <c r="P66" i="27"/>
  <c r="N66" i="27"/>
  <c r="N65" i="27"/>
  <c r="O66" i="27"/>
  <c r="O65" i="27"/>
  <c r="K66" i="27"/>
  <c r="I66" i="27"/>
  <c r="E66" i="27"/>
  <c r="C66" i="27"/>
  <c r="M66" i="27"/>
  <c r="M65" i="27"/>
  <c r="J66" i="21"/>
  <c r="J65" i="21"/>
  <c r="F66" i="21"/>
  <c r="F65" i="21"/>
  <c r="F66" i="27"/>
  <c r="F65" i="27"/>
  <c r="L66" i="27"/>
  <c r="L65" i="27"/>
  <c r="M66" i="21"/>
  <c r="G66" i="21"/>
  <c r="G65" i="21"/>
  <c r="I66" i="21"/>
  <c r="I65" i="21"/>
  <c r="E66" i="21"/>
  <c r="E65" i="21"/>
  <c r="G66" i="27"/>
  <c r="G65" i="27"/>
  <c r="H66" i="21"/>
  <c r="H66" i="27"/>
  <c r="H65" i="27"/>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<sst xmlns="http://schemas.openxmlformats.org/spreadsheetml/2006/main" count="710" uniqueCount="172">
  <si>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</si>
  <si>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</si>
  <si>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</si>
  <si>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</si>
  <si>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</si>
  <si>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</si>
  <si>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</si>
  <si>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</si>
  <si>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</si>
  <si>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</si>
  <si>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</si>
  <si>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</si>
  <si>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</si>
  <si>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</si>
  <si>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</si>
  <si>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</si>
  <si>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</si>
  <si>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</si>
  <si>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</si>
  <si>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</si>
  <si>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</si>
  <si>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</si>
  <si>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</si>
  <si>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</si>
  <si>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</si>
  <si>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</si>
  <si>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</si>
  <si>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</si>
  <si>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</si>
  <si>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</si>
  <si>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</si>
  <si>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</si>
  <si>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</si>
  <si>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</si>
  <si>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</si>
  <si>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</si>
  <si>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</si>
  <si>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</si>
  <si>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</si>
  <si>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</si>
  <si>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</si>
  <si>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</si>
  <si>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</si>
  <si>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</si>
  <si>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</si>
  <si>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</si>
  <si>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</si>
  <si>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</si>
  <si>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</si>
  <si>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</si>
  <si>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</si>
  <si>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</si>
  <si>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</si>
  <si>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</si>
  <si>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</si>
  <si>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</si>
  <si>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</si>
  <si>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</si>
  <si>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</si>
  <si>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</si>
  <si>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</si>
  <si>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</si>
  <si>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</si>
  <si>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</si>
  <si>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</si>
  <si>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</si>
  <si>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</si>
  <si>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</si>
  <si>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</si>
  <si>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</si>
  <si>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</si>
  <si>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</si>
  <si>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</si>
  <si>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</si>
  <si>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</si>
  <si>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</si>
  <si>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</si>
  <si>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</si>
  <si>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</si>
  <si>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</si>
  <si>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</si>
  <si>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</si>
  <si>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</si>
  <si>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</si>
  <si>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</si>
  <si>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</si>
  <si>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</si>
  <si>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</si>
  <si>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</si>
  <si>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</si>
  <si>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</si>
  <si>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</si>
  <si>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</si>
  <si>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</si>
  <si>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</si>
  <si>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</si>
  <si>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</si>
  <si>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</si>
  <si>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</si>
  <si>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</si>
  <si>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</si>
  <si>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</si>
  <si>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</si>
  <si>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</si>
  <si>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</si>
  <si>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</si>
  <si>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</si>
  <si>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</si>
  <si>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</si>
  <si>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</si>
  <si>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</si>
  <si>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</si>
  <si>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</si>
  <si>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</si>
  <si>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</si>
  <si>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</si>
  <si>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</si>
  <si>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</si>
  <si>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</si>
  <si>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</si>
  <si>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</si>
  <si>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</si>
  <si>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</si>
  <si>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</si>
  <si>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</si>
  <si>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</si>
  <si>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</si>
  <si>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</si>
  <si>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</si>
  <si>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</si>
  <si>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</si>
  <si>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</si>
  <si>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</si>
  <si>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</si>
  <si>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</si>
  <si>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</si>
  <si>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</si>
  <si>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</si>
  <si>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</si>
  <si>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</si>
  <si>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</si>
  <si>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</si>
  <si>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</si>
  <si>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</si>
  <si>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</si>
  <si>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</si>
  <si>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</si>
  <si>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</si>
  <si>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</si>
  <si>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</si>
  <si>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</si>
  <si>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</si>
  <si>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</si>
  <si>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</si>
  <si>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</si>
  <si>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</si>
  <si>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</si>
  <si>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</si>
  <si>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</si>
  <si>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</si>
  <si>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PAN-023140 </t>
  </si>
  <si>
    <t>EPR/AB3891CX</t>
  </si>
  <si>
    <t>Mr Daniel James &amp; Mrs Carys James</t>
  </si>
  <si>
    <t>Login Farm, Ferwig, Cardigan, Ceredigion,
 SA43 1RU</t>
  </si>
  <si>
    <t>Owen Clee</t>
  </si>
  <si>
    <t>02 05 02</t>
  </si>
  <si>
    <t>Waste from the dairy
products</t>
  </si>
  <si>
    <t>H3</t>
  </si>
  <si>
    <t>H6</t>
  </si>
  <si>
    <t>H7</t>
  </si>
  <si>
    <t>H9</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</si>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</sst>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0">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4" zoomScale="90" zoomScaleNormal="90" workbookViewId="0">
      <selection activeCell="H18" sqref="H1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13.109375"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1" width="13.109375" style="11" hidden="1" customWidth="1"/>
    <col min="42" max="42" width="0" style="11" hidden="1" customWidth="1"/>
    <col min="43" max="16384" width="13.109375" style="11"/>
  </cols>
  <sheetData>
    <row r="1" spans="1:40" x14ac:dyDescent="0.25">
      <c r="A1" s="129" t="s">
        <v>41</v>
      </c>
      <c r="B1" s="129"/>
      <c r="C1" s="123" t="s">
        <v>160</v>
      </c>
      <c r="D1" s="124"/>
      <c r="E1" s="93" t="s">
        <v>45</v>
      </c>
      <c r="F1" s="96">
        <v>48.6</v>
      </c>
      <c r="G1" s="125" t="s">
        <v>43</v>
      </c>
      <c r="H1" s="126"/>
      <c r="I1" s="96">
        <v>5.43</v>
      </c>
      <c r="J1" s="129" t="s">
        <v>153</v>
      </c>
      <c r="K1" s="129"/>
      <c r="L1" s="96">
        <v>91</v>
      </c>
      <c r="AB1" s="18"/>
      <c r="AC1" s="18"/>
      <c r="AD1" s="30" t="s">
        <v>126</v>
      </c>
      <c r="AE1" s="17"/>
      <c r="AF1" s="17"/>
      <c r="AG1" s="18"/>
      <c r="AH1" s="18"/>
      <c r="AI1" s="40" t="s">
        <v>79</v>
      </c>
      <c r="AJ1" s="41" t="s">
        <v>94</v>
      </c>
      <c r="AK1" s="42" t="s">
        <v>95</v>
      </c>
      <c r="AL1" s="43" t="s">
        <v>125</v>
      </c>
      <c r="AM1" s="43" t="s">
        <v>131</v>
      </c>
      <c r="AN1" s="43" t="s">
        <v>111</v>
      </c>
    </row>
    <row r="2" spans="1:40" x14ac:dyDescent="0.25">
      <c r="A2" s="129" t="s">
        <v>87</v>
      </c>
      <c r="B2" s="129"/>
      <c r="C2" s="121" t="s">
        <v>161</v>
      </c>
      <c r="D2" s="122"/>
      <c r="E2" s="93" t="s">
        <v>109</v>
      </c>
      <c r="F2" s="96" t="s">
        <v>165</v>
      </c>
      <c r="G2" s="127" t="s">
        <v>110</v>
      </c>
      <c r="H2" s="128"/>
      <c r="I2" s="96">
        <v>461</v>
      </c>
      <c r="J2" s="129" t="s">
        <v>158</v>
      </c>
      <c r="K2" s="129"/>
      <c r="L2" s="96">
        <v>0.19</v>
      </c>
      <c r="AB2" s="30" t="s">
        <v>56</v>
      </c>
      <c r="AC2" s="17"/>
      <c r="AD2" s="30" t="s">
        <v>70</v>
      </c>
      <c r="AE2" s="17"/>
      <c r="AF2" s="17"/>
      <c r="AG2" s="44" t="s">
        <v>76</v>
      </c>
      <c r="AH2" s="18"/>
      <c r="AI2" s="45" t="s">
        <v>126</v>
      </c>
      <c r="AJ2" s="46">
        <v>0</v>
      </c>
      <c r="AK2" s="47">
        <v>0</v>
      </c>
      <c r="AL2" s="10">
        <v>0</v>
      </c>
      <c r="AM2" s="11">
        <v>0</v>
      </c>
      <c r="AN2" s="11">
        <v>0</v>
      </c>
    </row>
    <row r="3" spans="1:40" x14ac:dyDescent="0.25">
      <c r="A3" s="125" t="s">
        <v>42</v>
      </c>
      <c r="B3" s="126"/>
      <c r="C3" s="121" t="s">
        <v>162</v>
      </c>
      <c r="D3" s="122"/>
      <c r="E3" s="93" t="s">
        <v>108</v>
      </c>
      <c r="F3" s="31" t="s">
        <v>77</v>
      </c>
      <c r="G3" s="129" t="s">
        <v>159</v>
      </c>
      <c r="H3" s="129"/>
      <c r="I3" s="96">
        <v>14060</v>
      </c>
      <c r="J3" s="125" t="s">
        <v>154</v>
      </c>
      <c r="K3" s="126"/>
      <c r="L3" s="96">
        <f>(L1/(L2*10000))*100</f>
        <v>4.7894736842105257</v>
      </c>
      <c r="AB3" s="30" t="s">
        <v>57</v>
      </c>
      <c r="AC3" s="17"/>
      <c r="AD3" s="30" t="s">
        <v>71</v>
      </c>
      <c r="AE3" s="17"/>
      <c r="AF3" s="17"/>
      <c r="AG3" s="44" t="s">
        <v>77</v>
      </c>
      <c r="AH3" s="18"/>
      <c r="AI3" s="48" t="s">
        <v>113</v>
      </c>
      <c r="AJ3" s="49">
        <v>1.7</v>
      </c>
      <c r="AK3" s="50">
        <v>6</v>
      </c>
      <c r="AL3" s="51">
        <v>1</v>
      </c>
      <c r="AM3" s="11">
        <v>6.2</v>
      </c>
      <c r="AN3" s="11" t="s">
        <v>112</v>
      </c>
    </row>
    <row r="4" spans="1:40" ht="26.4" x14ac:dyDescent="0.25">
      <c r="A4" s="129" t="s">
        <v>0</v>
      </c>
      <c r="B4" s="129"/>
      <c r="C4" s="130" t="s">
        <v>163</v>
      </c>
      <c r="D4" s="124"/>
      <c r="E4" s="94" t="s">
        <v>1</v>
      </c>
      <c r="F4" s="120" t="s">
        <v>166</v>
      </c>
      <c r="G4" s="129"/>
      <c r="H4" s="129"/>
      <c r="I4" s="96"/>
      <c r="J4" s="125"/>
      <c r="K4" s="126"/>
      <c r="L4" s="96"/>
      <c r="AB4" s="30" t="s">
        <v>52</v>
      </c>
      <c r="AC4" s="17"/>
      <c r="AD4" s="52" t="s">
        <v>72</v>
      </c>
      <c r="AE4" s="17"/>
      <c r="AF4" s="17"/>
      <c r="AG4" s="44" t="s">
        <v>78</v>
      </c>
      <c r="AH4" s="18"/>
      <c r="AI4" s="53" t="s">
        <v>124</v>
      </c>
      <c r="AJ4" s="54">
        <v>7</v>
      </c>
      <c r="AK4" s="55">
        <v>10.5</v>
      </c>
      <c r="AL4" s="11">
        <v>2</v>
      </c>
      <c r="AM4" s="11">
        <v>6.7</v>
      </c>
      <c r="AN4" s="11" t="s">
        <v>135</v>
      </c>
    </row>
    <row r="5" spans="1:40" x14ac:dyDescent="0.25">
      <c r="A5" s="129" t="s">
        <v>47</v>
      </c>
      <c r="B5" s="129"/>
      <c r="C5" s="131" t="s">
        <v>164</v>
      </c>
      <c r="D5" s="131"/>
      <c r="E5" s="94"/>
      <c r="F5" s="95"/>
      <c r="G5" s="129"/>
      <c r="H5" s="129"/>
      <c r="I5" s="96"/>
      <c r="J5" s="125"/>
      <c r="K5" s="126"/>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35" t="s">
        <v>63</v>
      </c>
      <c r="B7" s="13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9" t="s">
        <v>2</v>
      </c>
      <c r="B8" s="129"/>
      <c r="C8" s="15">
        <v>6240</v>
      </c>
      <c r="D8" s="15">
        <v>7849</v>
      </c>
      <c r="E8" s="15">
        <v>252</v>
      </c>
      <c r="F8" s="15">
        <v>876</v>
      </c>
      <c r="G8" s="15">
        <v>1561</v>
      </c>
      <c r="H8" s="15">
        <v>4165</v>
      </c>
      <c r="I8" s="15">
        <v>5565</v>
      </c>
      <c r="J8" s="15">
        <v>1</v>
      </c>
      <c r="K8" s="15">
        <v>4993</v>
      </c>
      <c r="L8" s="15">
        <v>8065</v>
      </c>
      <c r="M8" s="15" t="s">
        <v>167</v>
      </c>
      <c r="N8" s="15" t="s">
        <v>168</v>
      </c>
      <c r="O8" s="15" t="s">
        <v>169</v>
      </c>
      <c r="P8" s="15" t="s">
        <v>170</v>
      </c>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29" t="s">
        <v>3</v>
      </c>
      <c r="B9" s="129"/>
      <c r="C9" s="15">
        <v>1</v>
      </c>
      <c r="D9" s="15" t="s">
        <v>171</v>
      </c>
      <c r="E9" s="15">
        <v>1</v>
      </c>
      <c r="F9" s="15" t="s">
        <v>171</v>
      </c>
      <c r="G9" s="15" t="s">
        <v>171</v>
      </c>
      <c r="H9" s="15">
        <v>1</v>
      </c>
      <c r="I9" s="15">
        <v>1</v>
      </c>
      <c r="J9" s="15" t="s">
        <v>171</v>
      </c>
      <c r="K9" s="15" t="s">
        <v>171</v>
      </c>
      <c r="L9" s="15">
        <v>1</v>
      </c>
      <c r="M9" s="15" t="s">
        <v>171</v>
      </c>
      <c r="N9" s="15" t="s">
        <v>171</v>
      </c>
      <c r="O9" s="15" t="s">
        <v>171</v>
      </c>
      <c r="P9" s="15" t="s">
        <v>171</v>
      </c>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29" t="s">
        <v>4</v>
      </c>
      <c r="B10" s="129"/>
      <c r="C10" s="15">
        <v>5.9</v>
      </c>
      <c r="D10" s="15">
        <v>6.4</v>
      </c>
      <c r="E10" s="15">
        <v>6.8</v>
      </c>
      <c r="F10" s="15">
        <v>5.5</v>
      </c>
      <c r="G10" s="15">
        <v>6.1</v>
      </c>
      <c r="H10" s="15">
        <v>5.9</v>
      </c>
      <c r="I10" s="15">
        <v>6.7</v>
      </c>
      <c r="J10" s="15">
        <v>6</v>
      </c>
      <c r="K10" s="15">
        <v>5.6</v>
      </c>
      <c r="L10" s="15">
        <v>6.9</v>
      </c>
      <c r="M10" s="15">
        <v>5.8</v>
      </c>
      <c r="N10" s="15">
        <v>5.8</v>
      </c>
      <c r="O10" s="15">
        <v>6.4</v>
      </c>
      <c r="P10" s="15">
        <v>6.6</v>
      </c>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29" t="s">
        <v>5</v>
      </c>
      <c r="B11" s="129"/>
      <c r="C11" s="15">
        <v>3</v>
      </c>
      <c r="D11" s="15">
        <v>3</v>
      </c>
      <c r="E11" s="15">
        <v>2</v>
      </c>
      <c r="F11" s="15">
        <v>2</v>
      </c>
      <c r="G11" s="15">
        <v>3</v>
      </c>
      <c r="H11" s="15">
        <v>2</v>
      </c>
      <c r="I11" s="15">
        <v>3</v>
      </c>
      <c r="J11" s="15">
        <v>2</v>
      </c>
      <c r="K11" s="15">
        <v>3</v>
      </c>
      <c r="L11" s="15">
        <v>3</v>
      </c>
      <c r="M11" s="15">
        <v>2</v>
      </c>
      <c r="N11" s="15">
        <v>2</v>
      </c>
      <c r="O11" s="15">
        <v>2</v>
      </c>
      <c r="P11" s="15">
        <v>3</v>
      </c>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29" t="s">
        <v>6</v>
      </c>
      <c r="B12" s="129"/>
      <c r="C12" s="15">
        <v>3</v>
      </c>
      <c r="D12" s="15">
        <v>3</v>
      </c>
      <c r="E12" s="15">
        <v>2</v>
      </c>
      <c r="F12" s="15">
        <v>0</v>
      </c>
      <c r="G12" s="15">
        <v>1</v>
      </c>
      <c r="H12" s="15">
        <v>1</v>
      </c>
      <c r="I12" s="15">
        <v>3</v>
      </c>
      <c r="J12" s="15">
        <v>1</v>
      </c>
      <c r="K12" s="15">
        <v>1</v>
      </c>
      <c r="L12" s="15">
        <v>3</v>
      </c>
      <c r="M12" s="15">
        <v>2</v>
      </c>
      <c r="N12" s="15">
        <v>2</v>
      </c>
      <c r="O12" s="15">
        <v>2</v>
      </c>
      <c r="P12" s="15">
        <v>2</v>
      </c>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29" t="s">
        <v>7</v>
      </c>
      <c r="B13" s="129"/>
      <c r="C13" s="15">
        <v>2</v>
      </c>
      <c r="D13" s="15">
        <v>1</v>
      </c>
      <c r="E13" s="15">
        <v>1</v>
      </c>
      <c r="F13" s="15">
        <v>1</v>
      </c>
      <c r="G13" s="15">
        <v>2</v>
      </c>
      <c r="H13" s="15">
        <v>2</v>
      </c>
      <c r="I13" s="15">
        <v>2</v>
      </c>
      <c r="J13" s="15">
        <v>2</v>
      </c>
      <c r="K13" s="15">
        <v>2</v>
      </c>
      <c r="L13" s="15">
        <v>2</v>
      </c>
      <c r="M13" s="15">
        <v>3</v>
      </c>
      <c r="N13" s="15">
        <v>2</v>
      </c>
      <c r="O13" s="15">
        <v>3</v>
      </c>
      <c r="P13" s="15">
        <v>2</v>
      </c>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9" t="s">
        <v>8</v>
      </c>
      <c r="B14" s="139"/>
      <c r="C14" s="100" t="s">
        <v>68</v>
      </c>
      <c r="D14" s="100" t="s">
        <v>113</v>
      </c>
      <c r="E14" s="100" t="s">
        <v>68</v>
      </c>
      <c r="F14" s="100" t="s">
        <v>113</v>
      </c>
      <c r="G14" s="100" t="s">
        <v>113</v>
      </c>
      <c r="H14" s="100" t="s">
        <v>124</v>
      </c>
      <c r="I14" s="100" t="s">
        <v>68</v>
      </c>
      <c r="J14" s="100" t="s">
        <v>113</v>
      </c>
      <c r="K14" s="100" t="s">
        <v>113</v>
      </c>
      <c r="L14" s="100" t="s">
        <v>68</v>
      </c>
      <c r="M14" s="100" t="s">
        <v>113</v>
      </c>
      <c r="N14" s="100" t="s">
        <v>113</v>
      </c>
      <c r="O14" s="100" t="s">
        <v>113</v>
      </c>
      <c r="P14" s="100" t="s">
        <v>113</v>
      </c>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8" t="s">
        <v>9</v>
      </c>
      <c r="B15" s="138"/>
      <c r="C15" s="15">
        <v>6.5</v>
      </c>
      <c r="D15" s="15">
        <v>47</v>
      </c>
      <c r="E15" s="15">
        <v>6.5</v>
      </c>
      <c r="F15" s="15">
        <v>38</v>
      </c>
      <c r="G15" s="15">
        <v>47</v>
      </c>
      <c r="H15" s="15">
        <v>9</v>
      </c>
      <c r="I15" s="15">
        <v>6.5</v>
      </c>
      <c r="J15" s="15">
        <v>23</v>
      </c>
      <c r="K15" s="15">
        <v>47</v>
      </c>
      <c r="L15" s="15">
        <v>6.5</v>
      </c>
      <c r="M15" s="15">
        <v>23</v>
      </c>
      <c r="N15" s="15">
        <v>23</v>
      </c>
      <c r="O15" s="15">
        <v>23</v>
      </c>
      <c r="P15" s="15">
        <v>23</v>
      </c>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40" t="s">
        <v>44</v>
      </c>
      <c r="B16" s="140"/>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36" t="s">
        <v>69</v>
      </c>
      <c r="B17" s="137"/>
      <c r="C17" s="28">
        <f>(VLOOKUP(C$14,$AI2:$AK26,2,FALSE))*C$15</f>
        <v>55.25</v>
      </c>
      <c r="D17" s="28">
        <f t="shared" ref="D17:V17" si="0">(VLOOKUP(D$14,$AI2:$AK26,2,FALSE))*D$15</f>
        <v>79.899999999999991</v>
      </c>
      <c r="E17" s="28">
        <f t="shared" si="0"/>
        <v>55.25</v>
      </c>
      <c r="F17" s="28">
        <f t="shared" si="0"/>
        <v>64.599999999999994</v>
      </c>
      <c r="G17" s="28">
        <f t="shared" si="0"/>
        <v>79.899999999999991</v>
      </c>
      <c r="H17" s="28">
        <f t="shared" si="0"/>
        <v>63</v>
      </c>
      <c r="I17" s="28">
        <f t="shared" si="0"/>
        <v>55.25</v>
      </c>
      <c r="J17" s="28">
        <f t="shared" si="0"/>
        <v>39.1</v>
      </c>
      <c r="K17" s="28">
        <f t="shared" si="0"/>
        <v>79.899999999999991</v>
      </c>
      <c r="L17" s="28">
        <f t="shared" si="0"/>
        <v>55.25</v>
      </c>
      <c r="M17" s="28">
        <f t="shared" si="0"/>
        <v>39.1</v>
      </c>
      <c r="N17" s="28">
        <f t="shared" si="0"/>
        <v>39.1</v>
      </c>
      <c r="O17" s="28">
        <f t="shared" si="0"/>
        <v>39.1</v>
      </c>
      <c r="P17" s="28">
        <f t="shared" si="0"/>
        <v>39.1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4" t="s">
        <v>23</v>
      </c>
      <c r="B18" s="135"/>
      <c r="C18" s="16">
        <f>$D31</f>
        <v>80.036085</v>
      </c>
      <c r="D18" s="16">
        <f>$D32</f>
        <v>80.036085</v>
      </c>
      <c r="E18" s="16">
        <f>$D33</f>
        <v>54.612858000000003</v>
      </c>
      <c r="F18" s="16">
        <f>$D34</f>
        <v>64.970469000000008</v>
      </c>
      <c r="G18" s="16">
        <f>$D35</f>
        <v>80.036085</v>
      </c>
      <c r="H18" s="16">
        <f>$D36</f>
        <v>62.145665999999999</v>
      </c>
      <c r="I18" s="16">
        <f>$D37</f>
        <v>54.612858000000003</v>
      </c>
      <c r="J18" s="16">
        <f>$D38</f>
        <v>38.605641000000006</v>
      </c>
      <c r="K18" s="16">
        <f>$D39</f>
        <v>80.036085</v>
      </c>
      <c r="L18" s="16">
        <f>$D40</f>
        <v>54.612858000000003</v>
      </c>
      <c r="M18" s="16">
        <f>$D41</f>
        <v>38.605641000000006</v>
      </c>
      <c r="N18" s="16">
        <f>$D42</f>
        <v>38.605641000000006</v>
      </c>
      <c r="O18" s="16">
        <f>$D43</f>
        <v>38.605641000000006</v>
      </c>
      <c r="P18" s="16">
        <f>$D44</f>
        <v>38.605641000000006</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4" t="s">
        <v>90</v>
      </c>
      <c r="B19" s="135"/>
      <c r="C19" s="16">
        <f>C18-C17</f>
        <v>24.786085</v>
      </c>
      <c r="D19" s="16">
        <f t="shared" ref="D19:V19" si="1">D18-D17</f>
        <v>0.13608500000000845</v>
      </c>
      <c r="E19" s="16">
        <f t="shared" si="1"/>
        <v>-0.63714199999999721</v>
      </c>
      <c r="F19" s="16">
        <f t="shared" si="1"/>
        <v>0.37046900000001415</v>
      </c>
      <c r="G19" s="16">
        <f t="shared" si="1"/>
        <v>0.13608500000000845</v>
      </c>
      <c r="H19" s="16">
        <f t="shared" si="1"/>
        <v>-0.85433400000000148</v>
      </c>
      <c r="I19" s="16">
        <f t="shared" si="1"/>
        <v>-0.63714199999999721</v>
      </c>
      <c r="J19" s="16">
        <f t="shared" si="1"/>
        <v>-0.49435899999999577</v>
      </c>
      <c r="K19" s="16">
        <f t="shared" si="1"/>
        <v>0.13608500000000845</v>
      </c>
      <c r="L19" s="16">
        <f t="shared" si="1"/>
        <v>-0.63714199999999721</v>
      </c>
      <c r="M19" s="16">
        <f t="shared" si="1"/>
        <v>-0.49435899999999577</v>
      </c>
      <c r="N19" s="16">
        <f t="shared" si="1"/>
        <v>-0.49435899999999577</v>
      </c>
      <c r="O19" s="16">
        <f t="shared" si="1"/>
        <v>-0.49435899999999577</v>
      </c>
      <c r="P19" s="16">
        <f t="shared" si="1"/>
        <v>-0.49435899999999577</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2" t="s">
        <v>91</v>
      </c>
      <c r="B20" s="133"/>
      <c r="C20" s="26" t="str">
        <f>IF($B31="","",IF(C$19&gt;=0,"INCREASE","DECREASE"))</f>
        <v>INCREASE</v>
      </c>
      <c r="D20" s="26" t="str">
        <f>IF($B32="","",IF(D$19&gt;=0,"INCREASE","DECREASE"))</f>
        <v>INCREASE</v>
      </c>
      <c r="E20" s="26" t="str">
        <f>IF($B33="","",IF(E$19&gt;=0,"INCREASE","DECREASE"))</f>
        <v>DECREASE</v>
      </c>
      <c r="F20" s="26" t="str">
        <f>IF($B34="","",IF(F$19&gt;=0,"INCREASE","DECREASE"))</f>
        <v>INCREASE</v>
      </c>
      <c r="G20" s="26" t="str">
        <f>IF($B35="","",IF(G$19&gt;=0,"INCREASE","DECREASE"))</f>
        <v>INCREASE</v>
      </c>
      <c r="H20" s="26" t="str">
        <f>IF($B36="","",IF(H$19&gt;=0,"INCREASE","DECREASE"))</f>
        <v>DECREASE</v>
      </c>
      <c r="I20" s="26" t="str">
        <f>IF($B37="","",IF(I$19&gt;=0,"INCREASE","DECREASE"))</f>
        <v>DECREASE</v>
      </c>
      <c r="J20" s="26" t="str">
        <f>IF($B38="","",IF(J$19&gt;=0,"INCREASE","DECREASE"))</f>
        <v>DECREASE</v>
      </c>
      <c r="K20" s="26" t="str">
        <f>IF($B39="","",IF(K$19&gt;=0,"INCREASE","DECREASE"))</f>
        <v>INCREASE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6" t="s">
        <v>88</v>
      </c>
      <c r="B21" s="137"/>
      <c r="C21" s="28">
        <f>(VLOOKUP(C$14,$AI2:$AK26,3,FALSE))*C$15</f>
        <v>78</v>
      </c>
      <c r="D21" s="28">
        <f t="shared" ref="D21:V21" si="2">(VLOOKUP(D$14,$AI2:$AK26,3,FALSE))*D$15</f>
        <v>282</v>
      </c>
      <c r="E21" s="28">
        <f t="shared" si="2"/>
        <v>78</v>
      </c>
      <c r="F21" s="28">
        <f t="shared" si="2"/>
        <v>228</v>
      </c>
      <c r="G21" s="28">
        <f t="shared" si="2"/>
        <v>282</v>
      </c>
      <c r="H21" s="28">
        <f t="shared" si="2"/>
        <v>94.5</v>
      </c>
      <c r="I21" s="28">
        <f t="shared" si="2"/>
        <v>78</v>
      </c>
      <c r="J21" s="28">
        <f t="shared" si="2"/>
        <v>138</v>
      </c>
      <c r="K21" s="28">
        <f t="shared" si="2"/>
        <v>282</v>
      </c>
      <c r="L21" s="28">
        <f t="shared" si="2"/>
        <v>78</v>
      </c>
      <c r="M21" s="28">
        <f t="shared" si="2"/>
        <v>138</v>
      </c>
      <c r="N21" s="28">
        <f t="shared" si="2"/>
        <v>138</v>
      </c>
      <c r="O21" s="28">
        <f t="shared" si="2"/>
        <v>138</v>
      </c>
      <c r="P21" s="28">
        <f t="shared" si="2"/>
        <v>138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4" t="s">
        <v>89</v>
      </c>
      <c r="B22" s="135"/>
      <c r="C22" s="16">
        <f>$E31</f>
        <v>22.943200000000001</v>
      </c>
      <c r="D22" s="16">
        <f>$E32</f>
        <v>22.943200000000001</v>
      </c>
      <c r="E22" s="16">
        <f>$E33</f>
        <v>15.655360000000002</v>
      </c>
      <c r="F22" s="16">
        <f>$E34</f>
        <v>18.624480000000002</v>
      </c>
      <c r="G22" s="16">
        <f>$E35</f>
        <v>22.943200000000001</v>
      </c>
      <c r="H22" s="16">
        <f>$E36</f>
        <v>17.814720000000001</v>
      </c>
      <c r="I22" s="16">
        <f>$E37</f>
        <v>15.655360000000002</v>
      </c>
      <c r="J22" s="16">
        <f>$E38</f>
        <v>11.066720000000002</v>
      </c>
      <c r="K22" s="16">
        <f>$E39</f>
        <v>22.943200000000001</v>
      </c>
      <c r="L22" s="16">
        <f>$E40</f>
        <v>15.655360000000002</v>
      </c>
      <c r="M22" s="16">
        <f>$E41</f>
        <v>11.066720000000002</v>
      </c>
      <c r="N22" s="16">
        <f>$E42</f>
        <v>11.066720000000002</v>
      </c>
      <c r="O22" s="16">
        <f>$E43</f>
        <v>11.066720000000002</v>
      </c>
      <c r="P22" s="16">
        <f>$E44</f>
        <v>11.066720000000002</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4" t="s">
        <v>92</v>
      </c>
      <c r="B23" s="135"/>
      <c r="C23" s="16">
        <f>C22-C21</f>
        <v>-55.056799999999996</v>
      </c>
      <c r="D23" s="16">
        <f t="shared" ref="D23:V23" si="3">D22-D21</f>
        <v>-259.05680000000001</v>
      </c>
      <c r="E23" s="16">
        <f t="shared" si="3"/>
        <v>-62.344639999999998</v>
      </c>
      <c r="F23" s="16">
        <f t="shared" si="3"/>
        <v>-209.37551999999999</v>
      </c>
      <c r="G23" s="16">
        <f t="shared" si="3"/>
        <v>-259.05680000000001</v>
      </c>
      <c r="H23" s="16">
        <f t="shared" si="3"/>
        <v>-76.685280000000006</v>
      </c>
      <c r="I23" s="16">
        <f t="shared" si="3"/>
        <v>-62.344639999999998</v>
      </c>
      <c r="J23" s="16">
        <f t="shared" si="3"/>
        <v>-126.93328</v>
      </c>
      <c r="K23" s="16">
        <f t="shared" si="3"/>
        <v>-259.05680000000001</v>
      </c>
      <c r="L23" s="16">
        <f t="shared" si="3"/>
        <v>-62.344639999999998</v>
      </c>
      <c r="M23" s="16">
        <f t="shared" si="3"/>
        <v>-126.93328</v>
      </c>
      <c r="N23" s="16">
        <f t="shared" si="3"/>
        <v>-126.93328</v>
      </c>
      <c r="O23" s="16">
        <f t="shared" si="3"/>
        <v>-126.93328</v>
      </c>
      <c r="P23" s="16">
        <f t="shared" si="3"/>
        <v>-126.93328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2" t="s">
        <v>93</v>
      </c>
      <c r="B24" s="133"/>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4.41</v>
      </c>
      <c r="C28" s="15">
        <v>0.19</v>
      </c>
      <c r="D28" s="15">
        <v>411</v>
      </c>
      <c r="E28" s="15">
        <v>224</v>
      </c>
      <c r="F28" s="15">
        <v>40.9</v>
      </c>
      <c r="G28" s="15">
        <v>0.2</v>
      </c>
      <c r="H28" s="15">
        <v>1.32</v>
      </c>
      <c r="I28" s="15">
        <v>0.5</v>
      </c>
      <c r="J28" s="15">
        <v>0.01</v>
      </c>
      <c r="K28" s="15">
        <v>0.05</v>
      </c>
      <c r="L28" s="15">
        <v>0.2</v>
      </c>
      <c r="M28" s="15">
        <v>0.3</v>
      </c>
      <c r="N28" s="15"/>
      <c r="O28" s="15"/>
      <c r="P28" s="15">
        <v>339</v>
      </c>
      <c r="Q28" s="15">
        <v>148</v>
      </c>
      <c r="R28" s="15"/>
      <c r="S28" s="15"/>
      <c r="T28" s="15"/>
      <c r="U28" s="15"/>
    </row>
    <row r="29" spans="1:40" s="7" customFormat="1" ht="28.8" x14ac:dyDescent="0.3">
      <c r="A29" s="14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6240</v>
      </c>
      <c r="B31" s="15">
        <v>85</v>
      </c>
      <c r="C31" s="77">
        <f>IF(C$27="%w/w SAR",((C$28*10)*$B31),IF(C$27="%w/w DM",(((C$28*10)*($B$28/100))*$B31),IF(C$27="kg/t SAR",(C$28*$B31),IF(C$27="kg/t DM",((C$28*($B$28/100))*$B31),IF(C$27="mg/kg SAR",((C$28*0.001)*$B31),IF(C$27="mg/kg DM",(((C$28*0.001)*($B$28/100))*$B31),0))))))</f>
        <v>161.5</v>
      </c>
      <c r="D31" s="77">
        <f>(IF(D$27="%w/w SAR",((D$28*10)*$B31),IF(D$27="%w/w DM",(((D$28*10)*($B$28/100))*$B31),IF(D$27="kg/t SAR",(D$28*$B31),IF(D$27="kg/t DM",((D$28*($B$28/100))*$B31),IF(D$27="mg/kg SAR",((D$28*0.001)*$B31),IF(D$27="mg/kg DM",(((D$28*0.001)*($B$28/100))*$B31),"0")))))))*2.291</f>
        <v>80.036085</v>
      </c>
      <c r="E31" s="77">
        <f>(IF(E$27="%w/w SAR",((E$28*10)*$B31),IF(E$27="%w/w DM",(((E$28*10)*($B$28/100))*$B31),IF(E$27="kg/t SAR",(E$28*$B31),IF(E$27="kg/t DM",((E$28*($B$28/100))*$B31),IF(E$27="mg/kg SAR",((E$28*0.001)*$B31),IF(E$27="mg/kg DM",(((E$28*0.001)*($B$28/100))*$B31),"0")))))))*1.205</f>
        <v>22.943200000000001</v>
      </c>
      <c r="F31" s="77">
        <f>(IF(F$27="%w/w SAR",((F$28*10)*$B31),IF(F$27="%w/w DM",(((F$28*10)*($B$28/100))*$B31),IF(F$27="kg/t SAR",(F$28*$B31),IF(F$27="kg/t DM",((F$28*($B$28/100))*$B31),IF(F$27="mg/kg SAR",((F$28*0.001)*$B31),IF(F$27="mg/kg DM",(((F$28*0.001)*($B$28/100))*$B31),"0")))))))*1.658</f>
        <v>5.7640369999999992</v>
      </c>
      <c r="G31" s="77">
        <f t="shared" ref="G31:P31" si="5">IF(G$27="%w/w SAR",((G$28*10)*$B31),IF(G$27="%w/w DM",(((G$28*10)*($B$28/100))*$B31),IF(G$27="kg/t SAR",(G$28*$B31),IF(G$27="kg/t DM",((G$28*($B$28/100))*$B31),IF(G$27="mg/kg SAR",((G$28*0.001)*$B31),IF(G$27="mg/kg DM",(((G$28*0.001)*($B$28/100))*$B31),0))))))</f>
        <v>1.7000000000000001E-2</v>
      </c>
      <c r="H31" s="77">
        <f t="shared" si="5"/>
        <v>0.11219999999999999</v>
      </c>
      <c r="I31" s="77">
        <f t="shared" si="5"/>
        <v>4.2500000000000003E-2</v>
      </c>
      <c r="J31" s="77">
        <f t="shared" si="5"/>
        <v>8.5000000000000006E-4</v>
      </c>
      <c r="K31" s="77">
        <f t="shared" si="5"/>
        <v>4.2500000000000003E-3</v>
      </c>
      <c r="L31" s="77">
        <f t="shared" si="5"/>
        <v>1.7000000000000001E-2</v>
      </c>
      <c r="M31" s="77">
        <f t="shared" si="5"/>
        <v>2.5499999999999998E-2</v>
      </c>
      <c r="N31" s="77">
        <f t="shared" si="5"/>
        <v>0</v>
      </c>
      <c r="O31" s="77">
        <f t="shared" si="5"/>
        <v>0</v>
      </c>
      <c r="P31" s="77">
        <f t="shared" si="5"/>
        <v>28.815000000000001</v>
      </c>
      <c r="Q31" s="77">
        <f>(IF(Q$27="%w/w SAR",((Q$28*10)*$B31),IF(Q$27="%w/w DM",(((Q$28*10)*($B$28/100))*$B31),IF(Q$27="kg/t SAR",(Q$28*$B31),IF(Q$27="kg/t DM",((Q$28*($B$28/100))*$B31),IF(Q$27="mg/kg SAR",((Q$28*0.001)*$B31),IF(Q$27="mg/kg DM",(((Q$28*0.001)*($B$28/100))*$B31),0)))))))*2.5</f>
        <v>31.45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7849</v>
      </c>
      <c r="B32" s="15">
        <v>85</v>
      </c>
      <c r="C32" s="77">
        <f t="shared" ref="C32:C50" si="6">IF(C$27="%w/w SAR",((C$28*10)*$B32),IF(C$27="%w/w DM",(((C$28*10)*($B$28/100))*$B32),IF(C$27="kg/t SAR",(C$28*$B32),IF(C$27="kg/t DM",((C$28*($B$28/100))*$B32),IF(C$27="mg/kg SAR",((C$28*0.001)*$B32),IF(C$27="mg/kg DM",(((C$28*0.001)*($B$28/100))*$B32),0))))))</f>
        <v>161.5</v>
      </c>
      <c r="D32" s="77">
        <f t="shared" ref="D32:D50" si="7">(IF(D$27="%w/w SAR",((D$28*10)*$B32),IF(D$27="%w/w DM",(((D$28*10)*($B$28/100))*$B32),IF(D$27="kg/t SAR",(D$28*$B32),IF(D$27="kg/t DM",((D$28*($B$28/100))*$B32),IF(D$27="mg/kg SAR",((D$28*0.001)*$B32),IF(D$27="mg/kg DM",(((D$28*0.001)*($B$28/100))*$B32),"0")))))))*2.291</f>
        <v>80.036085</v>
      </c>
      <c r="E32" s="77">
        <f t="shared" ref="E32:E50" si="8">(IF(E$27="%w/w SAR",((E$28*10)*$B32),IF(E$27="%w/w DM",(((E$28*10)*($B$28/100))*$B32),IF(E$27="kg/t SAR",(E$28*$B32),IF(E$27="kg/t DM",((E$28*($B$28/100))*$B32),IF(E$27="mg/kg SAR",((E$28*0.001)*$B32),IF(E$27="mg/kg DM",(((E$28*0.001)*($B$28/100))*$B32),"0")))))))*1.205</f>
        <v>22.943200000000001</v>
      </c>
      <c r="F32" s="77">
        <f t="shared" ref="F32:F50" si="9">(IF(F$27="%w/w SAR",((F$28*10)*$B32),IF(F$27="%w/w DM",(((F$28*10)*($B$28/100))*$B32),IF(F$27="kg/t SAR",(F$28*$B32),IF(F$27="kg/t DM",((F$28*($B$28/100))*$B32),IF(F$27="mg/kg SAR",((F$28*0.001)*$B32),IF(F$27="mg/kg DM",(((F$28*0.001)*($B$28/100))*$B32),"0")))))))*1.658</f>
        <v>5.7640369999999992</v>
      </c>
      <c r="G32" s="77">
        <f t="shared" ref="G32:P50" si="10">IF(G$27="%w/w SAR",((G$28*10)*$B32),IF(G$27="%w/w DM",(((G$28*10)*($B$28/100))*$B32),IF(G$27="kg/t SAR",(G$28*$B32),IF(G$27="kg/t DM",((G$28*($B$28/100))*$B32),IF(G$27="mg/kg SAR",((G$28*0.001)*$B32),IF(G$27="mg/kg DM",(((G$28*0.001)*($B$28/100))*$B32),0))))))</f>
        <v>1.7000000000000001E-2</v>
      </c>
      <c r="H32" s="77">
        <f t="shared" si="10"/>
        <v>0.11219999999999999</v>
      </c>
      <c r="I32" s="77">
        <f t="shared" si="10"/>
        <v>4.2500000000000003E-2</v>
      </c>
      <c r="J32" s="77">
        <f t="shared" si="10"/>
        <v>8.5000000000000006E-4</v>
      </c>
      <c r="K32" s="77">
        <f t="shared" si="10"/>
        <v>4.2500000000000003E-3</v>
      </c>
      <c r="L32" s="77">
        <f t="shared" si="10"/>
        <v>1.7000000000000001E-2</v>
      </c>
      <c r="M32" s="77">
        <f t="shared" si="10"/>
        <v>2.5499999999999998E-2</v>
      </c>
      <c r="N32" s="77">
        <f t="shared" si="10"/>
        <v>0</v>
      </c>
      <c r="O32" s="77">
        <f t="shared" si="10"/>
        <v>0</v>
      </c>
      <c r="P32" s="77">
        <f t="shared" si="10"/>
        <v>28.815000000000001</v>
      </c>
      <c r="Q32" s="77">
        <f t="shared" ref="Q32:Q50" si="11">(IF(Q$27="%w/w SAR",((Q$28*10)*$B32),IF(Q$27="%w/w DM",(((Q$28*10)*($B$28/100))*$B32),IF(Q$27="kg/t SAR",(Q$28*$B32),IF(Q$27="kg/t DM",((Q$28*($B$28/100))*$B32),IF(Q$27="mg/kg SAR",((Q$28*0.001)*$B32),IF(Q$27="mg/kg DM",(((Q$28*0.001)*($B$28/100))*$B32),0)))))))*2.5</f>
        <v>31.45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3">
      <c r="A33" s="13">
        <f>E8</f>
        <v>252</v>
      </c>
      <c r="B33" s="15">
        <v>58</v>
      </c>
      <c r="C33" s="77">
        <f t="shared" si="6"/>
        <v>110.19999999999999</v>
      </c>
      <c r="D33" s="77">
        <f t="shared" si="7"/>
        <v>54.612858000000003</v>
      </c>
      <c r="E33" s="77">
        <f t="shared" si="8"/>
        <v>15.655360000000002</v>
      </c>
      <c r="F33" s="77">
        <f t="shared" si="9"/>
        <v>3.9331075999999996</v>
      </c>
      <c r="G33" s="77">
        <f t="shared" si="10"/>
        <v>1.1600000000000001E-2</v>
      </c>
      <c r="H33" s="77">
        <f t="shared" si="10"/>
        <v>7.6560000000000003E-2</v>
      </c>
      <c r="I33" s="77">
        <f t="shared" si="10"/>
        <v>2.9000000000000001E-2</v>
      </c>
      <c r="J33" s="77">
        <f t="shared" si="10"/>
        <v>5.8E-4</v>
      </c>
      <c r="K33" s="77">
        <f t="shared" si="10"/>
        <v>2.9000000000000002E-3</v>
      </c>
      <c r="L33" s="77">
        <f t="shared" si="10"/>
        <v>1.1600000000000001E-2</v>
      </c>
      <c r="M33" s="77">
        <f t="shared" si="10"/>
        <v>1.7399999999999999E-2</v>
      </c>
      <c r="N33" s="77">
        <f t="shared" si="10"/>
        <v>0</v>
      </c>
      <c r="O33" s="77">
        <f t="shared" si="10"/>
        <v>0</v>
      </c>
      <c r="P33" s="77">
        <f t="shared" si="10"/>
        <v>19.662000000000003</v>
      </c>
      <c r="Q33" s="77">
        <f t="shared" si="11"/>
        <v>21.46</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3">
      <c r="A34" s="13">
        <f>F8</f>
        <v>876</v>
      </c>
      <c r="B34" s="15">
        <v>69</v>
      </c>
      <c r="C34" s="77">
        <f t="shared" si="6"/>
        <v>131.1</v>
      </c>
      <c r="D34" s="77">
        <f t="shared" si="7"/>
        <v>64.970469000000008</v>
      </c>
      <c r="E34" s="77">
        <f t="shared" si="8"/>
        <v>18.624480000000002</v>
      </c>
      <c r="F34" s="77">
        <f t="shared" si="9"/>
        <v>4.6790417999999994</v>
      </c>
      <c r="G34" s="77">
        <f t="shared" si="10"/>
        <v>1.3800000000000002E-2</v>
      </c>
      <c r="H34" s="77">
        <f t="shared" si="10"/>
        <v>9.1079999999999994E-2</v>
      </c>
      <c r="I34" s="77">
        <f t="shared" si="10"/>
        <v>3.4500000000000003E-2</v>
      </c>
      <c r="J34" s="77">
        <f t="shared" si="10"/>
        <v>6.9000000000000008E-4</v>
      </c>
      <c r="K34" s="77">
        <f t="shared" si="10"/>
        <v>3.4500000000000004E-3</v>
      </c>
      <c r="L34" s="77">
        <f t="shared" si="10"/>
        <v>1.3800000000000002E-2</v>
      </c>
      <c r="M34" s="77">
        <f t="shared" si="10"/>
        <v>2.07E-2</v>
      </c>
      <c r="N34" s="77">
        <f t="shared" si="10"/>
        <v>0</v>
      </c>
      <c r="O34" s="77">
        <f t="shared" si="10"/>
        <v>0</v>
      </c>
      <c r="P34" s="77">
        <f t="shared" si="10"/>
        <v>23.391000000000002</v>
      </c>
      <c r="Q34" s="77">
        <f t="shared" si="11"/>
        <v>25.53</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3">
      <c r="A35" s="13">
        <f>G8</f>
        <v>1561</v>
      </c>
      <c r="B35" s="15">
        <v>85</v>
      </c>
      <c r="C35" s="77">
        <f t="shared" si="6"/>
        <v>161.5</v>
      </c>
      <c r="D35" s="77">
        <f t="shared" si="7"/>
        <v>80.036085</v>
      </c>
      <c r="E35" s="77">
        <f t="shared" si="8"/>
        <v>22.943200000000001</v>
      </c>
      <c r="F35" s="77">
        <f t="shared" si="9"/>
        <v>5.7640369999999992</v>
      </c>
      <c r="G35" s="77">
        <f t="shared" si="10"/>
        <v>1.7000000000000001E-2</v>
      </c>
      <c r="H35" s="77">
        <f t="shared" si="10"/>
        <v>0.11219999999999999</v>
      </c>
      <c r="I35" s="77">
        <f t="shared" si="10"/>
        <v>4.2500000000000003E-2</v>
      </c>
      <c r="J35" s="77">
        <f t="shared" si="10"/>
        <v>8.5000000000000006E-4</v>
      </c>
      <c r="K35" s="77">
        <f t="shared" si="10"/>
        <v>4.2500000000000003E-3</v>
      </c>
      <c r="L35" s="77">
        <f t="shared" si="10"/>
        <v>1.7000000000000001E-2</v>
      </c>
      <c r="M35" s="77">
        <f t="shared" si="10"/>
        <v>2.5499999999999998E-2</v>
      </c>
      <c r="N35" s="77">
        <f t="shared" si="10"/>
        <v>0</v>
      </c>
      <c r="O35" s="77">
        <f t="shared" si="10"/>
        <v>0</v>
      </c>
      <c r="P35" s="77">
        <f t="shared" si="10"/>
        <v>28.815000000000001</v>
      </c>
      <c r="Q35" s="77">
        <f t="shared" si="11"/>
        <v>31.45</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3">
      <c r="A36" s="13">
        <f>H8</f>
        <v>4165</v>
      </c>
      <c r="B36" s="15">
        <v>66</v>
      </c>
      <c r="C36" s="77">
        <f t="shared" si="6"/>
        <v>125.39999999999999</v>
      </c>
      <c r="D36" s="77">
        <f t="shared" si="7"/>
        <v>62.145665999999999</v>
      </c>
      <c r="E36" s="77">
        <f t="shared" si="8"/>
        <v>17.814720000000001</v>
      </c>
      <c r="F36" s="77">
        <f t="shared" si="9"/>
        <v>4.4756051999999995</v>
      </c>
      <c r="G36" s="77">
        <f t="shared" si="10"/>
        <v>1.32E-2</v>
      </c>
      <c r="H36" s="77">
        <f t="shared" si="10"/>
        <v>8.7120000000000003E-2</v>
      </c>
      <c r="I36" s="77">
        <f t="shared" si="10"/>
        <v>3.3000000000000002E-2</v>
      </c>
      <c r="J36" s="77">
        <f t="shared" si="10"/>
        <v>6.600000000000001E-4</v>
      </c>
      <c r="K36" s="77">
        <f t="shared" si="10"/>
        <v>3.3E-3</v>
      </c>
      <c r="L36" s="77">
        <f t="shared" si="10"/>
        <v>1.32E-2</v>
      </c>
      <c r="M36" s="77">
        <f t="shared" si="10"/>
        <v>1.9799999999999998E-2</v>
      </c>
      <c r="N36" s="77">
        <f t="shared" si="10"/>
        <v>0</v>
      </c>
      <c r="O36" s="77">
        <f t="shared" si="10"/>
        <v>0</v>
      </c>
      <c r="P36" s="77">
        <f t="shared" si="10"/>
        <v>22.374000000000002</v>
      </c>
      <c r="Q36" s="77">
        <f t="shared" si="11"/>
        <v>24.419999999999998</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3">
      <c r="A37" s="13">
        <f>I8</f>
        <v>5565</v>
      </c>
      <c r="B37" s="15">
        <v>58</v>
      </c>
      <c r="C37" s="77">
        <f t="shared" si="6"/>
        <v>110.19999999999999</v>
      </c>
      <c r="D37" s="77">
        <f t="shared" si="7"/>
        <v>54.612858000000003</v>
      </c>
      <c r="E37" s="77">
        <f t="shared" si="8"/>
        <v>15.655360000000002</v>
      </c>
      <c r="F37" s="77">
        <f t="shared" si="9"/>
        <v>3.9331075999999996</v>
      </c>
      <c r="G37" s="77">
        <f t="shared" si="10"/>
        <v>1.1600000000000001E-2</v>
      </c>
      <c r="H37" s="77">
        <f t="shared" si="10"/>
        <v>7.6560000000000003E-2</v>
      </c>
      <c r="I37" s="77">
        <f t="shared" si="10"/>
        <v>2.9000000000000001E-2</v>
      </c>
      <c r="J37" s="77">
        <f t="shared" si="10"/>
        <v>5.8E-4</v>
      </c>
      <c r="K37" s="77">
        <f t="shared" si="10"/>
        <v>2.9000000000000002E-3</v>
      </c>
      <c r="L37" s="77">
        <f t="shared" si="10"/>
        <v>1.1600000000000001E-2</v>
      </c>
      <c r="M37" s="77">
        <f t="shared" si="10"/>
        <v>1.7399999999999999E-2</v>
      </c>
      <c r="N37" s="77">
        <f t="shared" si="10"/>
        <v>0</v>
      </c>
      <c r="O37" s="77">
        <f t="shared" si="10"/>
        <v>0</v>
      </c>
      <c r="P37" s="77">
        <f t="shared" si="10"/>
        <v>19.662000000000003</v>
      </c>
      <c r="Q37" s="77">
        <f t="shared" si="11"/>
        <v>21.46</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3">
      <c r="A38" s="13">
        <f>J8</f>
        <v>1</v>
      </c>
      <c r="B38" s="15">
        <v>41</v>
      </c>
      <c r="C38" s="77">
        <f t="shared" si="6"/>
        <v>77.899999999999991</v>
      </c>
      <c r="D38" s="77">
        <f t="shared" si="7"/>
        <v>38.605641000000006</v>
      </c>
      <c r="E38" s="77">
        <f t="shared" si="8"/>
        <v>11.066720000000002</v>
      </c>
      <c r="F38" s="77">
        <f t="shared" si="9"/>
        <v>2.7803002000000001</v>
      </c>
      <c r="G38" s="77">
        <f t="shared" si="10"/>
        <v>8.2000000000000007E-3</v>
      </c>
      <c r="H38" s="77">
        <f t="shared" si="10"/>
        <v>5.4120000000000001E-2</v>
      </c>
      <c r="I38" s="77">
        <f t="shared" si="10"/>
        <v>2.0500000000000001E-2</v>
      </c>
      <c r="J38" s="77">
        <f t="shared" si="10"/>
        <v>4.1000000000000005E-4</v>
      </c>
      <c r="K38" s="77">
        <f t="shared" si="10"/>
        <v>2.0500000000000002E-3</v>
      </c>
      <c r="L38" s="77">
        <f t="shared" si="10"/>
        <v>8.2000000000000007E-3</v>
      </c>
      <c r="M38" s="77">
        <f t="shared" si="10"/>
        <v>1.2299999999999998E-2</v>
      </c>
      <c r="N38" s="77">
        <f t="shared" si="10"/>
        <v>0</v>
      </c>
      <c r="O38" s="77">
        <f t="shared" si="10"/>
        <v>0</v>
      </c>
      <c r="P38" s="77">
        <f t="shared" si="10"/>
        <v>13.899000000000001</v>
      </c>
      <c r="Q38" s="77">
        <f t="shared" si="11"/>
        <v>15.169999999999998</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3">
      <c r="A39" s="13">
        <f>K8</f>
        <v>4993</v>
      </c>
      <c r="B39" s="15">
        <v>85</v>
      </c>
      <c r="C39" s="77">
        <f t="shared" si="6"/>
        <v>161.5</v>
      </c>
      <c r="D39" s="77">
        <f t="shared" si="7"/>
        <v>80.036085</v>
      </c>
      <c r="E39" s="77">
        <f t="shared" si="8"/>
        <v>22.943200000000001</v>
      </c>
      <c r="F39" s="77">
        <f t="shared" si="9"/>
        <v>5.7640369999999992</v>
      </c>
      <c r="G39" s="77">
        <f t="shared" si="10"/>
        <v>1.7000000000000001E-2</v>
      </c>
      <c r="H39" s="77">
        <f t="shared" si="10"/>
        <v>0.11219999999999999</v>
      </c>
      <c r="I39" s="77">
        <f t="shared" si="10"/>
        <v>4.2500000000000003E-2</v>
      </c>
      <c r="J39" s="77">
        <f t="shared" si="10"/>
        <v>8.5000000000000006E-4</v>
      </c>
      <c r="K39" s="77">
        <f t="shared" si="10"/>
        <v>4.2500000000000003E-3</v>
      </c>
      <c r="L39" s="77">
        <f t="shared" si="10"/>
        <v>1.7000000000000001E-2</v>
      </c>
      <c r="M39" s="77">
        <f t="shared" si="10"/>
        <v>2.5499999999999998E-2</v>
      </c>
      <c r="N39" s="77">
        <f t="shared" si="10"/>
        <v>0</v>
      </c>
      <c r="O39" s="77">
        <f t="shared" si="10"/>
        <v>0</v>
      </c>
      <c r="P39" s="77">
        <f t="shared" si="10"/>
        <v>28.815000000000001</v>
      </c>
      <c r="Q39" s="77">
        <f t="shared" si="11"/>
        <v>31.45</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3">
      <c r="A40" s="13">
        <f>L8</f>
        <v>8065</v>
      </c>
      <c r="B40" s="15">
        <v>58</v>
      </c>
      <c r="C40" s="77">
        <f t="shared" si="6"/>
        <v>110.19999999999999</v>
      </c>
      <c r="D40" s="77">
        <f t="shared" si="7"/>
        <v>54.612858000000003</v>
      </c>
      <c r="E40" s="77">
        <f t="shared" si="8"/>
        <v>15.655360000000002</v>
      </c>
      <c r="F40" s="77">
        <f t="shared" si="9"/>
        <v>3.9331075999999996</v>
      </c>
      <c r="G40" s="77">
        <f t="shared" si="10"/>
        <v>1.1600000000000001E-2</v>
      </c>
      <c r="H40" s="77">
        <f t="shared" si="10"/>
        <v>7.6560000000000003E-2</v>
      </c>
      <c r="I40" s="77">
        <f t="shared" si="10"/>
        <v>2.9000000000000001E-2</v>
      </c>
      <c r="J40" s="77">
        <f t="shared" si="10"/>
        <v>5.8E-4</v>
      </c>
      <c r="K40" s="77">
        <f t="shared" si="10"/>
        <v>2.9000000000000002E-3</v>
      </c>
      <c r="L40" s="77">
        <f t="shared" si="10"/>
        <v>1.1600000000000001E-2</v>
      </c>
      <c r="M40" s="77">
        <f t="shared" si="10"/>
        <v>1.7399999999999999E-2</v>
      </c>
      <c r="N40" s="77">
        <f t="shared" si="10"/>
        <v>0</v>
      </c>
      <c r="O40" s="77">
        <f t="shared" si="10"/>
        <v>0</v>
      </c>
      <c r="P40" s="77">
        <f t="shared" si="10"/>
        <v>19.662000000000003</v>
      </c>
      <c r="Q40" s="77">
        <f t="shared" si="11"/>
        <v>21.46</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t="str">
        <f>M8</f>
        <v>H3</v>
      </c>
      <c r="B41" s="15">
        <v>41</v>
      </c>
      <c r="C41" s="77">
        <f t="shared" si="6"/>
        <v>77.899999999999991</v>
      </c>
      <c r="D41" s="77">
        <f t="shared" si="7"/>
        <v>38.605641000000006</v>
      </c>
      <c r="E41" s="77">
        <f t="shared" si="8"/>
        <v>11.066720000000002</v>
      </c>
      <c r="F41" s="77">
        <f t="shared" si="9"/>
        <v>2.7803002000000001</v>
      </c>
      <c r="G41" s="77">
        <f t="shared" si="10"/>
        <v>8.2000000000000007E-3</v>
      </c>
      <c r="H41" s="77">
        <f t="shared" si="10"/>
        <v>5.4120000000000001E-2</v>
      </c>
      <c r="I41" s="77">
        <f t="shared" si="10"/>
        <v>2.0500000000000001E-2</v>
      </c>
      <c r="J41" s="77">
        <f t="shared" si="10"/>
        <v>4.1000000000000005E-4</v>
      </c>
      <c r="K41" s="77">
        <f t="shared" si="10"/>
        <v>2.0500000000000002E-3</v>
      </c>
      <c r="L41" s="77">
        <f t="shared" si="10"/>
        <v>8.2000000000000007E-3</v>
      </c>
      <c r="M41" s="77">
        <f t="shared" si="10"/>
        <v>1.2299999999999998E-2</v>
      </c>
      <c r="N41" s="77">
        <f t="shared" si="10"/>
        <v>0</v>
      </c>
      <c r="O41" s="77">
        <f t="shared" si="10"/>
        <v>0</v>
      </c>
      <c r="P41" s="77">
        <f t="shared" si="10"/>
        <v>13.899000000000001</v>
      </c>
      <c r="Q41" s="77">
        <f t="shared" si="11"/>
        <v>15.169999999999998</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3">
      <c r="A42" s="13" t="str">
        <f>N8</f>
        <v>H6</v>
      </c>
      <c r="B42" s="15">
        <v>41</v>
      </c>
      <c r="C42" s="77">
        <f t="shared" si="6"/>
        <v>77.899999999999991</v>
      </c>
      <c r="D42" s="77">
        <f t="shared" si="7"/>
        <v>38.605641000000006</v>
      </c>
      <c r="E42" s="77">
        <f t="shared" si="8"/>
        <v>11.066720000000002</v>
      </c>
      <c r="F42" s="77">
        <f t="shared" si="9"/>
        <v>2.7803002000000001</v>
      </c>
      <c r="G42" s="77">
        <f t="shared" si="10"/>
        <v>8.2000000000000007E-3</v>
      </c>
      <c r="H42" s="77">
        <f t="shared" si="10"/>
        <v>5.4120000000000001E-2</v>
      </c>
      <c r="I42" s="77">
        <f t="shared" si="10"/>
        <v>2.0500000000000001E-2</v>
      </c>
      <c r="J42" s="77">
        <f t="shared" si="10"/>
        <v>4.1000000000000005E-4</v>
      </c>
      <c r="K42" s="77">
        <f t="shared" si="10"/>
        <v>2.0500000000000002E-3</v>
      </c>
      <c r="L42" s="77">
        <f t="shared" si="10"/>
        <v>8.2000000000000007E-3</v>
      </c>
      <c r="M42" s="77">
        <f t="shared" si="10"/>
        <v>1.2299999999999998E-2</v>
      </c>
      <c r="N42" s="77">
        <f t="shared" si="10"/>
        <v>0</v>
      </c>
      <c r="O42" s="77">
        <f t="shared" si="10"/>
        <v>0</v>
      </c>
      <c r="P42" s="77">
        <f t="shared" si="10"/>
        <v>13.899000000000001</v>
      </c>
      <c r="Q42" s="77">
        <f t="shared" si="11"/>
        <v>15.169999999999998</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t="str">
        <f>O8</f>
        <v>H7</v>
      </c>
      <c r="B43" s="15">
        <v>41</v>
      </c>
      <c r="C43" s="77">
        <f t="shared" si="6"/>
        <v>77.899999999999991</v>
      </c>
      <c r="D43" s="77">
        <f t="shared" si="7"/>
        <v>38.605641000000006</v>
      </c>
      <c r="E43" s="77">
        <f t="shared" si="8"/>
        <v>11.066720000000002</v>
      </c>
      <c r="F43" s="77">
        <f t="shared" si="9"/>
        <v>2.7803002000000001</v>
      </c>
      <c r="G43" s="77">
        <f t="shared" si="10"/>
        <v>8.2000000000000007E-3</v>
      </c>
      <c r="H43" s="77">
        <f t="shared" si="10"/>
        <v>5.4120000000000001E-2</v>
      </c>
      <c r="I43" s="77">
        <f t="shared" si="10"/>
        <v>2.0500000000000001E-2</v>
      </c>
      <c r="J43" s="77">
        <f t="shared" si="10"/>
        <v>4.1000000000000005E-4</v>
      </c>
      <c r="K43" s="77">
        <f t="shared" si="10"/>
        <v>2.0500000000000002E-3</v>
      </c>
      <c r="L43" s="77">
        <f t="shared" si="10"/>
        <v>8.2000000000000007E-3</v>
      </c>
      <c r="M43" s="77">
        <f t="shared" si="10"/>
        <v>1.2299999999999998E-2</v>
      </c>
      <c r="N43" s="77">
        <f t="shared" si="10"/>
        <v>0</v>
      </c>
      <c r="O43" s="77">
        <f t="shared" si="10"/>
        <v>0</v>
      </c>
      <c r="P43" s="77">
        <f t="shared" si="10"/>
        <v>13.899000000000001</v>
      </c>
      <c r="Q43" s="77">
        <f t="shared" si="11"/>
        <v>15.169999999999998</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t="str">
        <f>P8</f>
        <v>H9</v>
      </c>
      <c r="B44" s="15">
        <v>41</v>
      </c>
      <c r="C44" s="77">
        <f t="shared" si="6"/>
        <v>77.899999999999991</v>
      </c>
      <c r="D44" s="77">
        <f t="shared" si="7"/>
        <v>38.605641000000006</v>
      </c>
      <c r="E44" s="77">
        <f t="shared" si="8"/>
        <v>11.066720000000002</v>
      </c>
      <c r="F44" s="77">
        <f t="shared" si="9"/>
        <v>2.7803002000000001</v>
      </c>
      <c r="G44" s="77">
        <f t="shared" si="10"/>
        <v>8.2000000000000007E-3</v>
      </c>
      <c r="H44" s="77">
        <f t="shared" si="10"/>
        <v>5.4120000000000001E-2</v>
      </c>
      <c r="I44" s="77">
        <f t="shared" si="10"/>
        <v>2.0500000000000001E-2</v>
      </c>
      <c r="J44" s="77">
        <f t="shared" si="10"/>
        <v>4.1000000000000005E-4</v>
      </c>
      <c r="K44" s="77">
        <f t="shared" si="10"/>
        <v>2.0500000000000002E-3</v>
      </c>
      <c r="L44" s="77">
        <f t="shared" si="10"/>
        <v>8.2000000000000007E-3</v>
      </c>
      <c r="M44" s="77">
        <f t="shared" si="10"/>
        <v>1.2299999999999998E-2</v>
      </c>
      <c r="N44" s="77">
        <f t="shared" si="10"/>
        <v>0</v>
      </c>
      <c r="O44" s="77">
        <f t="shared" si="10"/>
        <v>0</v>
      </c>
      <c r="P44" s="77">
        <f t="shared" si="10"/>
        <v>13.899000000000001</v>
      </c>
      <c r="Q44" s="77">
        <f t="shared" si="11"/>
        <v>15.169999999999998</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4993</v>
      </c>
      <c r="K57" s="8">
        <f t="shared" si="13"/>
        <v>8065</v>
      </c>
      <c r="L57" s="8" t="str">
        <f t="shared" si="13"/>
        <v>H3</v>
      </c>
      <c r="M57" s="8" t="str">
        <f t="shared" si="13"/>
        <v>H6</v>
      </c>
      <c r="N57" s="8" t="str">
        <f t="shared" si="13"/>
        <v>H7</v>
      </c>
      <c r="O57" s="8" t="str">
        <f t="shared" si="13"/>
        <v>H9</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Arable</v>
      </c>
      <c r="C58" s="13" t="str">
        <f>D16&amp;" I "&amp;(VLOOKUP(D14,Table24[],6,FALSE))</f>
        <v>Medium/Clay I Grass</v>
      </c>
      <c r="D58" s="13" t="str">
        <f>E16&amp;" I "&amp;(VLOOKUP(E14,Table24[],6,FALSE))</f>
        <v>Medium/Clay I Arable</v>
      </c>
      <c r="E58" s="13" t="str">
        <f>F16&amp;" I "&amp;(VLOOKUP(F14,Table24[],6,FALSE))</f>
        <v>Medium/Clay I Grass</v>
      </c>
      <c r="F58" s="13" t="str">
        <f>G16&amp;" I "&amp;(VLOOKUP(G14,Table24[],6,FALSE))</f>
        <v>Medium/Clay I Grass</v>
      </c>
      <c r="G58" s="13" t="str">
        <f>H16&amp;" I "&amp;(VLOOKUP(H14,Table24[],6,FALSE))</f>
        <v>Medium/Clay I Arable</v>
      </c>
      <c r="H58" s="13" t="str">
        <f>I16&amp;" I "&amp;(VLOOKUP(I14,Table24[],6,FALSE))</f>
        <v>Medium/Clay I Arable</v>
      </c>
      <c r="I58" s="13" t="str">
        <f>J16&amp;" I "&amp;(VLOOKUP(J14,Table24[],6,FALSE))</f>
        <v>Medium/Clay I Grass</v>
      </c>
      <c r="J58" s="13" t="str">
        <f>K16&amp;" I "&amp;(VLOOKUP(K14,Table24[],6,FALSE))</f>
        <v>Medium/Clay I Grass</v>
      </c>
      <c r="K58" s="13" t="str">
        <f>L16&amp;" I "&amp;(VLOOKUP(L14,Table24[],6,FALSE))</f>
        <v>Medium/Clay I Arable</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6.7</v>
      </c>
      <c r="C59" s="76">
        <f>VLOOKUP(D$14,Table24[],5,FALSE)</f>
        <v>6.2</v>
      </c>
      <c r="D59" s="76">
        <f>VLOOKUP(E$14,Table24[],5,FALSE)</f>
        <v>6.7</v>
      </c>
      <c r="E59" s="76">
        <f>VLOOKUP(F$14,Table24[],5,FALSE)</f>
        <v>6.2</v>
      </c>
      <c r="F59" s="76">
        <f>VLOOKUP(G$14,Table24[],5,FALSE)</f>
        <v>6.2</v>
      </c>
      <c r="G59" s="76">
        <f>VLOOKUP(H$14,Table24[],5,FALSE)</f>
        <v>6.7</v>
      </c>
      <c r="H59" s="76">
        <f>VLOOKUP(I$14,Table24[],5,FALSE)</f>
        <v>6.7</v>
      </c>
      <c r="I59" s="76">
        <f>VLOOKUP(J$14,Table24[],5,FALSE)</f>
        <v>6.2</v>
      </c>
      <c r="J59" s="76">
        <f>VLOOKUP(K$14,Table24[],5,FALSE)</f>
        <v>6.2</v>
      </c>
      <c r="K59" s="76">
        <f>VLOOKUP(L$14,Table24[],5,FALSE)</f>
        <v>6.7</v>
      </c>
      <c r="L59" s="76">
        <f>VLOOKUP(M$14,Table24[],5,FALSE)</f>
        <v>6.2</v>
      </c>
      <c r="M59" s="76">
        <f>VLOOKUP(N$14,Table24[],5,FALSE)</f>
        <v>6.2</v>
      </c>
      <c r="N59" s="76">
        <f>VLOOKUP(O$14,Table24[],5,FALSE)</f>
        <v>6.2</v>
      </c>
      <c r="O59" s="76">
        <f>VLOOKUP(P$14,Table24[],5,FALSE)</f>
        <v>6.2</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5.9</v>
      </c>
      <c r="C60" s="76">
        <f t="shared" ref="C60:U60" si="14">D10</f>
        <v>6.4</v>
      </c>
      <c r="D60" s="76">
        <f t="shared" si="14"/>
        <v>6.8</v>
      </c>
      <c r="E60" s="76">
        <f t="shared" si="14"/>
        <v>5.5</v>
      </c>
      <c r="F60" s="76">
        <f t="shared" si="14"/>
        <v>6.1</v>
      </c>
      <c r="G60" s="76">
        <f t="shared" si="14"/>
        <v>5.9</v>
      </c>
      <c r="H60" s="76">
        <f t="shared" si="14"/>
        <v>6.7</v>
      </c>
      <c r="I60" s="76">
        <f t="shared" si="14"/>
        <v>6</v>
      </c>
      <c r="J60" s="76">
        <f t="shared" si="14"/>
        <v>5.6</v>
      </c>
      <c r="K60" s="76">
        <f t="shared" si="14"/>
        <v>6.9</v>
      </c>
      <c r="L60" s="76">
        <f t="shared" si="14"/>
        <v>5.8</v>
      </c>
      <c r="M60" s="76">
        <f t="shared" si="14"/>
        <v>5.8</v>
      </c>
      <c r="N60" s="76">
        <f t="shared" si="14"/>
        <v>6.4</v>
      </c>
      <c r="O60" s="76">
        <f t="shared" si="14"/>
        <v>6.6</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6</v>
      </c>
      <c r="F61" s="76">
        <f t="shared" si="15"/>
        <v>6</v>
      </c>
      <c r="G61" s="76">
        <f t="shared" si="15"/>
        <v>8</v>
      </c>
      <c r="H61" s="76">
        <f t="shared" si="15"/>
        <v>8</v>
      </c>
      <c r="I61" s="76">
        <f t="shared" si="15"/>
        <v>6</v>
      </c>
      <c r="J61" s="76">
        <f t="shared" si="15"/>
        <v>6</v>
      </c>
      <c r="K61" s="76">
        <f t="shared" si="15"/>
        <v>8</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85</v>
      </c>
      <c r="C62" s="77">
        <f>B32</f>
        <v>85</v>
      </c>
      <c r="D62" s="77">
        <f>B33</f>
        <v>58</v>
      </c>
      <c r="E62" s="77">
        <f>B34</f>
        <v>69</v>
      </c>
      <c r="F62" s="77">
        <f>B35</f>
        <v>85</v>
      </c>
      <c r="G62" s="77">
        <f>B36</f>
        <v>66</v>
      </c>
      <c r="H62" s="77">
        <f>B37</f>
        <v>58</v>
      </c>
      <c r="I62" s="77">
        <f>B38</f>
        <v>41</v>
      </c>
      <c r="J62" s="77">
        <f>B39</f>
        <v>85</v>
      </c>
      <c r="K62" s="77">
        <f>B40</f>
        <v>58</v>
      </c>
      <c r="L62" s="77">
        <f>B41</f>
        <v>41</v>
      </c>
      <c r="M62" s="77">
        <f>B42</f>
        <v>41</v>
      </c>
      <c r="N62" s="77">
        <f>B43</f>
        <v>41</v>
      </c>
      <c r="O62" s="77">
        <f>B44</f>
        <v>41</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6.3999999999999986</v>
      </c>
      <c r="C64" s="77">
        <f t="shared" ref="C64:U64" si="17">(C59-C60)*C61</f>
        <v>-1.2000000000000011</v>
      </c>
      <c r="D64" s="77">
        <f t="shared" si="17"/>
        <v>-0.79999999999999716</v>
      </c>
      <c r="E64" s="77">
        <f t="shared" si="17"/>
        <v>4.2000000000000011</v>
      </c>
      <c r="F64" s="77">
        <f t="shared" si="17"/>
        <v>0.6000000000000032</v>
      </c>
      <c r="G64" s="77">
        <f t="shared" si="17"/>
        <v>6.3999999999999986</v>
      </c>
      <c r="H64" s="77">
        <f t="shared" si="17"/>
        <v>0</v>
      </c>
      <c r="I64" s="77">
        <f t="shared" si="17"/>
        <v>1.2000000000000011</v>
      </c>
      <c r="J64" s="77">
        <f t="shared" si="17"/>
        <v>3.6000000000000032</v>
      </c>
      <c r="K64" s="77">
        <f t="shared" si="17"/>
        <v>-1.6000000000000014</v>
      </c>
      <c r="L64" s="77">
        <f t="shared" si="17"/>
        <v>2.4000000000000021</v>
      </c>
      <c r="M64" s="77">
        <f t="shared" si="17"/>
        <v>2.4000000000000021</v>
      </c>
      <c r="N64" s="77">
        <f t="shared" si="17"/>
        <v>-1.2000000000000011</v>
      </c>
      <c r="O64" s="77">
        <f t="shared" si="17"/>
        <v>-2.3999999999999968</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-6.3999999999999986</v>
      </c>
      <c r="C65" s="77">
        <f t="shared" ref="C65:U65" si="18">C63-C64</f>
        <v>1.2000000000000011</v>
      </c>
      <c r="D65" s="77">
        <f t="shared" si="18"/>
        <v>0.79999999999999716</v>
      </c>
      <c r="E65" s="77">
        <f t="shared" si="18"/>
        <v>-4.2000000000000011</v>
      </c>
      <c r="F65" s="77">
        <f t="shared" si="18"/>
        <v>-0.6000000000000032</v>
      </c>
      <c r="G65" s="77">
        <f t="shared" si="18"/>
        <v>-6.3999999999999986</v>
      </c>
      <c r="H65" s="77">
        <f t="shared" si="18"/>
        <v>0</v>
      </c>
      <c r="I65" s="77">
        <f t="shared" si="18"/>
        <v>-1.2000000000000011</v>
      </c>
      <c r="J65" s="77">
        <f t="shared" si="18"/>
        <v>-3.6000000000000032</v>
      </c>
      <c r="K65" s="77">
        <f t="shared" si="18"/>
        <v>1.6000000000000014</v>
      </c>
      <c r="L65" s="77">
        <f t="shared" si="18"/>
        <v>-2.4000000000000021</v>
      </c>
      <c r="M65" s="77">
        <f t="shared" si="18"/>
        <v>-2.4000000000000021</v>
      </c>
      <c r="N65" s="77">
        <f t="shared" si="18"/>
        <v>1.2000000000000011</v>
      </c>
      <c r="O65" s="77">
        <f t="shared" si="18"/>
        <v>2.3999999999999968</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UNDER</v>
      </c>
      <c r="K66" s="78" t="str">
        <f t="shared" si="19"/>
        <v>OVER</v>
      </c>
      <c r="L66" s="78" t="str">
        <f t="shared" si="19"/>
        <v>UNDER</v>
      </c>
      <c r="M66" s="78" t="str">
        <f t="shared" si="19"/>
        <v>UNDER</v>
      </c>
      <c r="N66" s="78" t="str">
        <f t="shared" si="19"/>
        <v>OVER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7" zoomScale="90" zoomScaleNormal="90" workbookViewId="0">
      <selection activeCell="B46" sqref="B46"/>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9" t="s">
        <v>41</v>
      </c>
      <c r="B1" s="129"/>
      <c r="C1" s="143" t="str">
        <f>'Dairy Partners'!C1:D1</f>
        <v xml:space="preserve">PAN-023140 </v>
      </c>
      <c r="D1" s="144"/>
      <c r="E1" s="93" t="s">
        <v>45</v>
      </c>
      <c r="F1" s="39">
        <f>'Dairy Partners'!F1</f>
        <v>48.6</v>
      </c>
      <c r="G1" s="125" t="s">
        <v>43</v>
      </c>
      <c r="H1" s="126"/>
      <c r="I1" s="118">
        <v>5.84</v>
      </c>
      <c r="J1" s="129" t="s">
        <v>153</v>
      </c>
      <c r="K1" s="129"/>
      <c r="L1" s="97">
        <v>173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9" t="s">
        <v>87</v>
      </c>
      <c r="B2" s="129"/>
      <c r="C2" s="145" t="str">
        <f>'Dairy Partners'!C2:D2</f>
        <v>EPR/AB3891CX</v>
      </c>
      <c r="D2" s="146"/>
      <c r="E2" s="93" t="s">
        <v>109</v>
      </c>
      <c r="F2" s="119" t="s">
        <v>165</v>
      </c>
      <c r="G2" s="127" t="s">
        <v>110</v>
      </c>
      <c r="H2" s="128"/>
      <c r="I2" s="118">
        <v>3322</v>
      </c>
      <c r="J2" s="129" t="s">
        <v>158</v>
      </c>
      <c r="K2" s="129"/>
      <c r="L2" s="97">
        <v>0.11</v>
      </c>
      <c r="AB2" s="30" t="s">
        <v>56</v>
      </c>
      <c r="AC2" s="17"/>
      <c r="AD2" s="30" t="s">
        <v>70</v>
      </c>
      <c r="AE2" s="17"/>
      <c r="AF2" s="17"/>
      <c r="AG2" s="44" t="s">
        <v>76</v>
      </c>
      <c r="AH2" s="18"/>
      <c r="AI2" s="45" t="s">
        <v>126</v>
      </c>
      <c r="AJ2" s="46">
        <v>0</v>
      </c>
      <c r="AK2" s="47">
        <v>0</v>
      </c>
      <c r="AL2" s="10">
        <v>0</v>
      </c>
      <c r="AM2" s="11">
        <v>0</v>
      </c>
      <c r="AN2" s="11">
        <v>0</v>
      </c>
    </row>
    <row r="3" spans="1:41" x14ac:dyDescent="0.25">
      <c r="A3" s="125" t="s">
        <v>42</v>
      </c>
      <c r="B3" s="126"/>
      <c r="C3" s="145" t="str">
        <f>'Dairy Partners'!C3:D3</f>
        <v>Mr Daniel James &amp; Mrs Carys James</v>
      </c>
      <c r="D3" s="146"/>
      <c r="E3" s="93" t="s">
        <v>108</v>
      </c>
      <c r="F3" s="31" t="s">
        <v>77</v>
      </c>
      <c r="G3" s="129" t="s">
        <v>159</v>
      </c>
      <c r="H3" s="129"/>
      <c r="I3" s="118">
        <v>636</v>
      </c>
      <c r="J3" s="125" t="s">
        <v>154</v>
      </c>
      <c r="K3" s="126"/>
      <c r="L3" s="97">
        <f>(L1/(L2*10000))*100</f>
        <v>15.727272727272728</v>
      </c>
      <c r="AB3" s="30" t="s">
        <v>57</v>
      </c>
      <c r="AC3" s="17"/>
      <c r="AD3" s="30" t="s">
        <v>71</v>
      </c>
      <c r="AE3" s="17"/>
      <c r="AF3" s="17"/>
      <c r="AG3" s="44" t="s">
        <v>77</v>
      </c>
      <c r="AH3" s="18"/>
      <c r="AI3" s="48" t="s">
        <v>113</v>
      </c>
      <c r="AJ3" s="49">
        <v>1.7</v>
      </c>
      <c r="AK3" s="50">
        <v>6</v>
      </c>
      <c r="AL3" s="51">
        <v>1</v>
      </c>
      <c r="AM3" s="11">
        <v>6.2</v>
      </c>
      <c r="AN3" s="11" t="s">
        <v>112</v>
      </c>
    </row>
    <row r="4" spans="1:41" ht="26.4" x14ac:dyDescent="0.25">
      <c r="A4" s="129" t="s">
        <v>0</v>
      </c>
      <c r="B4" s="129"/>
      <c r="C4" s="143" t="str">
        <f>'Dairy Partners'!C4:D4</f>
        <v>Login Farm, Ferwig, Cardigan, Ceredigion,
 SA43 1RU</v>
      </c>
      <c r="D4" s="144"/>
      <c r="E4" s="94" t="s">
        <v>1</v>
      </c>
      <c r="F4" s="120" t="s">
        <v>166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9" t="s">
        <v>47</v>
      </c>
      <c r="B5" s="129"/>
      <c r="C5" s="143" t="str">
        <f>'Dairy Partners'!C5:D5</f>
        <v>Owen Clee</v>
      </c>
      <c r="D5" s="144"/>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5" t="s">
        <v>63</v>
      </c>
      <c r="B7" s="13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9" t="s">
        <v>2</v>
      </c>
      <c r="B8" s="129"/>
      <c r="C8" s="60">
        <f>'Dairy Partners'!C8</f>
        <v>6240</v>
      </c>
      <c r="D8" s="60">
        <f>'Dairy Partners'!D8</f>
        <v>7849</v>
      </c>
      <c r="E8" s="60">
        <f>'Dairy Partners'!E8</f>
        <v>252</v>
      </c>
      <c r="F8" s="60">
        <f>'Dairy Partners'!F8</f>
        <v>876</v>
      </c>
      <c r="G8" s="60">
        <f>'Dairy Partners'!G8</f>
        <v>1561</v>
      </c>
      <c r="H8" s="60">
        <f>'Dairy Partners'!H8</f>
        <v>4165</v>
      </c>
      <c r="I8" s="60">
        <f>'Dairy Partners'!I8</f>
        <v>5565</v>
      </c>
      <c r="J8" s="60">
        <f>'Dairy Partners'!J8</f>
        <v>1</v>
      </c>
      <c r="K8" s="60">
        <f>'Dairy Partners'!K8</f>
        <v>4993</v>
      </c>
      <c r="L8" s="60">
        <f>'Dairy Partners'!L8</f>
        <v>8065</v>
      </c>
      <c r="M8" s="60" t="str">
        <f>'Dairy Partners'!M8</f>
        <v>H3</v>
      </c>
      <c r="N8" s="60" t="str">
        <f>'Dairy Partners'!N8</f>
        <v>H6</v>
      </c>
      <c r="O8" s="60" t="str">
        <f>'Dairy Partners'!O8</f>
        <v>H7</v>
      </c>
      <c r="P8" s="60" t="str">
        <f>'Dairy Partners'!P8</f>
        <v>H9</v>
      </c>
      <c r="Q8" s="60">
        <f>'Dairy Partners'!Q8</f>
        <v>0</v>
      </c>
      <c r="R8" s="60">
        <f>'Dairy Partners'!R8</f>
        <v>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9" t="s">
        <v>3</v>
      </c>
      <c r="B9" s="129"/>
      <c r="C9" s="60">
        <f>'Dairy Partners'!C9</f>
        <v>1</v>
      </c>
      <c r="D9" s="60" t="str">
        <f>'Dairy Partners'!D9</f>
        <v>Moderate</v>
      </c>
      <c r="E9" s="60">
        <f>'Dairy Partners'!E9</f>
        <v>1</v>
      </c>
      <c r="F9" s="60" t="str">
        <f>'Dairy Partners'!F9</f>
        <v>Moderate</v>
      </c>
      <c r="G9" s="60" t="str">
        <f>'Dairy Partners'!G9</f>
        <v>Moderate</v>
      </c>
      <c r="H9" s="60">
        <f>'Dairy Partners'!H9</f>
        <v>1</v>
      </c>
      <c r="I9" s="60">
        <f>'Dairy Partners'!I9</f>
        <v>1</v>
      </c>
      <c r="J9" s="60" t="str">
        <f>'Dairy Partners'!J9</f>
        <v>Moderate</v>
      </c>
      <c r="K9" s="60" t="str">
        <f>'Dairy Partners'!K9</f>
        <v>Moderate</v>
      </c>
      <c r="L9" s="60">
        <f>'Dairy Partners'!L9</f>
        <v>1</v>
      </c>
      <c r="M9" s="60" t="str">
        <f>'Dairy Partners'!M9</f>
        <v>Moderate</v>
      </c>
      <c r="N9" s="60" t="str">
        <f>'Dairy Partners'!N9</f>
        <v>Moderate</v>
      </c>
      <c r="O9" s="60" t="str">
        <f>'Dairy Partners'!O9</f>
        <v>Moderate</v>
      </c>
      <c r="P9" s="60" t="str">
        <f>'Dairy Partners'!P9</f>
        <v>Moderate</v>
      </c>
      <c r="Q9" s="60">
        <f>'Dairy Partners'!Q9</f>
        <v>0</v>
      </c>
      <c r="R9" s="60">
        <f>'Dairy Partners'!R9</f>
        <v>0</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x14ac:dyDescent="0.25">
      <c r="A10" s="129" t="s">
        <v>4</v>
      </c>
      <c r="B10" s="129"/>
      <c r="C10" s="60">
        <f>'Dairy Partners'!C10</f>
        <v>5.9</v>
      </c>
      <c r="D10" s="60">
        <f>'Dairy Partners'!D10</f>
        <v>6.4</v>
      </c>
      <c r="E10" s="60">
        <f>'Dairy Partners'!E10</f>
        <v>6.8</v>
      </c>
      <c r="F10" s="60">
        <f>'Dairy Partners'!F10</f>
        <v>5.5</v>
      </c>
      <c r="G10" s="60">
        <f>'Dairy Partners'!G10</f>
        <v>6.1</v>
      </c>
      <c r="H10" s="60">
        <f>'Dairy Partners'!H10</f>
        <v>5.9</v>
      </c>
      <c r="I10" s="60">
        <f>'Dairy Partners'!I10</f>
        <v>6.7</v>
      </c>
      <c r="J10" s="60">
        <f>'Dairy Partners'!J10</f>
        <v>6</v>
      </c>
      <c r="K10" s="60">
        <f>'Dairy Partners'!K10</f>
        <v>5.6</v>
      </c>
      <c r="L10" s="60">
        <f>'Dairy Partners'!L10</f>
        <v>6.9</v>
      </c>
      <c r="M10" s="60">
        <f>'Dairy Partners'!M10</f>
        <v>5.8</v>
      </c>
      <c r="N10" s="60">
        <f>'Dairy Partners'!N10</f>
        <v>5.8</v>
      </c>
      <c r="O10" s="60">
        <f>'Dairy Partners'!O10</f>
        <v>6.4</v>
      </c>
      <c r="P10" s="60">
        <f>'Dairy Partners'!P10</f>
        <v>6.6</v>
      </c>
      <c r="Q10" s="60">
        <f>'Dairy Partners'!Q10</f>
        <v>0</v>
      </c>
      <c r="R10" s="60">
        <f>'Dairy Partners'!R10</f>
        <v>0</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9" t="s">
        <v>5</v>
      </c>
      <c r="B11" s="129"/>
      <c r="C11" s="60">
        <f>'Dairy Partners'!C11</f>
        <v>3</v>
      </c>
      <c r="D11" s="60">
        <f>'Dairy Partners'!D11</f>
        <v>3</v>
      </c>
      <c r="E11" s="60">
        <f>'Dairy Partners'!E11</f>
        <v>2</v>
      </c>
      <c r="F11" s="60">
        <f>'Dairy Partners'!F11</f>
        <v>2</v>
      </c>
      <c r="G11" s="60">
        <f>'Dairy Partners'!G11</f>
        <v>3</v>
      </c>
      <c r="H11" s="60">
        <f>'Dairy Partners'!H11</f>
        <v>2</v>
      </c>
      <c r="I11" s="60">
        <f>'Dairy Partners'!I11</f>
        <v>3</v>
      </c>
      <c r="J11" s="60">
        <f>'Dairy Partners'!J11</f>
        <v>2</v>
      </c>
      <c r="K11" s="60">
        <f>'Dairy Partners'!K11</f>
        <v>3</v>
      </c>
      <c r="L11" s="60">
        <f>'Dairy Partners'!L11</f>
        <v>3</v>
      </c>
      <c r="M11" s="60">
        <f>'Dairy Partners'!M11</f>
        <v>2</v>
      </c>
      <c r="N11" s="60">
        <f>'Dairy Partners'!N11</f>
        <v>2</v>
      </c>
      <c r="O11" s="60">
        <f>'Dairy Partners'!O11</f>
        <v>2</v>
      </c>
      <c r="P11" s="60">
        <f>'Dairy Partners'!P11</f>
        <v>3</v>
      </c>
      <c r="Q11" s="60">
        <f>'Dairy Partners'!Q11</f>
        <v>0</v>
      </c>
      <c r="R11" s="60">
        <f>'Dairy Partners'!R11</f>
        <v>0</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9" t="s">
        <v>6</v>
      </c>
      <c r="B12" s="129"/>
      <c r="C12" s="60">
        <f>'Dairy Partners'!C12</f>
        <v>3</v>
      </c>
      <c r="D12" s="60">
        <f>'Dairy Partners'!D12</f>
        <v>3</v>
      </c>
      <c r="E12" s="60">
        <f>'Dairy Partners'!E12</f>
        <v>2</v>
      </c>
      <c r="F12" s="60">
        <f>'Dairy Partners'!F12</f>
        <v>0</v>
      </c>
      <c r="G12" s="60">
        <f>'Dairy Partners'!G12</f>
        <v>1</v>
      </c>
      <c r="H12" s="60">
        <f>'Dairy Partners'!H12</f>
        <v>1</v>
      </c>
      <c r="I12" s="60">
        <f>'Dairy Partners'!I12</f>
        <v>3</v>
      </c>
      <c r="J12" s="60">
        <f>'Dairy Partners'!J12</f>
        <v>1</v>
      </c>
      <c r="K12" s="60">
        <f>'Dairy Partners'!K12</f>
        <v>1</v>
      </c>
      <c r="L12" s="60">
        <f>'Dairy Partners'!L12</f>
        <v>3</v>
      </c>
      <c r="M12" s="60">
        <f>'Dairy Partners'!M12</f>
        <v>2</v>
      </c>
      <c r="N12" s="60">
        <f>'Dairy Partners'!N12</f>
        <v>2</v>
      </c>
      <c r="O12" s="60">
        <f>'Dairy Partners'!O12</f>
        <v>2</v>
      </c>
      <c r="P12" s="60">
        <f>'Dairy Partners'!P12</f>
        <v>2</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9" t="s">
        <v>7</v>
      </c>
      <c r="B13" s="129"/>
      <c r="C13" s="60">
        <f>'Dairy Partners'!C13</f>
        <v>2</v>
      </c>
      <c r="D13" s="60">
        <f>'Dairy Partners'!D13</f>
        <v>1</v>
      </c>
      <c r="E13" s="60">
        <f>'Dairy Partners'!E13</f>
        <v>1</v>
      </c>
      <c r="F13" s="60">
        <f>'Dairy Partners'!F13</f>
        <v>1</v>
      </c>
      <c r="G13" s="60">
        <f>'Dairy Partners'!G13</f>
        <v>2</v>
      </c>
      <c r="H13" s="60">
        <f>'Dairy Partners'!H13</f>
        <v>2</v>
      </c>
      <c r="I13" s="60">
        <f>'Dairy Partners'!I13</f>
        <v>2</v>
      </c>
      <c r="J13" s="60">
        <f>'Dairy Partners'!J13</f>
        <v>2</v>
      </c>
      <c r="K13" s="60">
        <f>'Dairy Partners'!K13</f>
        <v>2</v>
      </c>
      <c r="L13" s="60">
        <f>'Dairy Partners'!L13</f>
        <v>2</v>
      </c>
      <c r="M13" s="60">
        <f>'Dairy Partners'!M13</f>
        <v>3</v>
      </c>
      <c r="N13" s="60">
        <f>'Dairy Partners'!N13</f>
        <v>2</v>
      </c>
      <c r="O13" s="60">
        <f>'Dairy Partners'!O13</f>
        <v>3</v>
      </c>
      <c r="P13" s="60">
        <f>'Dairy Partners'!P13</f>
        <v>2</v>
      </c>
      <c r="Q13" s="60">
        <f>'Dairy Partners'!Q13</f>
        <v>0</v>
      </c>
      <c r="R13" s="60">
        <f>'Dairy Partners'!R13</f>
        <v>0</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9" t="s">
        <v>8</v>
      </c>
      <c r="B14" s="139"/>
      <c r="C14" s="102" t="str">
        <f>'Dairy Partners'!C14</f>
        <v>Spring wheat/barley</v>
      </c>
      <c r="D14" s="102" t="str">
        <f>'Dairy Partners'!D14</f>
        <v xml:space="preserve">Grass Silage (25% DM) </v>
      </c>
      <c r="E14" s="102" t="str">
        <f>'Dairy Partners'!E14</f>
        <v>Spring wheat/barley</v>
      </c>
      <c r="F14" s="102" t="str">
        <f>'Dairy Partners'!F14</f>
        <v xml:space="preserve">Grass Silage (25% DM) </v>
      </c>
      <c r="G14" s="102" t="str">
        <f>'Dairy Partners'!G14</f>
        <v xml:space="preserve">Grass Silage (25% DM) </v>
      </c>
      <c r="H14" s="102" t="str">
        <f>'Dairy Partners'!H14</f>
        <v>Winter wheat- grain &amp; straw</v>
      </c>
      <c r="I14" s="102" t="str">
        <f>'Dairy Partners'!I14</f>
        <v>Spring wheat/barley</v>
      </c>
      <c r="J14" s="102" t="str">
        <f>'Dairy Partners'!J14</f>
        <v xml:space="preserve">Grass Silage (25% DM) </v>
      </c>
      <c r="K14" s="102" t="str">
        <f>'Dairy Partners'!K14</f>
        <v xml:space="preserve">Grass Silage (25% DM) </v>
      </c>
      <c r="L14" s="102" t="str">
        <f>'Dairy Partners'!L14</f>
        <v>Spring wheat/barley</v>
      </c>
      <c r="M14" s="102" t="str">
        <f>'Dairy Partners'!M14</f>
        <v xml:space="preserve">Grass Silage (25% DM) </v>
      </c>
      <c r="N14" s="102" t="str">
        <f>'Dairy Partners'!N14</f>
        <v xml:space="preserve">Grass Silage (25% DM) </v>
      </c>
      <c r="O14" s="102" t="str">
        <f>'Dairy Partners'!O14</f>
        <v xml:space="preserve">Grass Silage (25% DM) </v>
      </c>
      <c r="P14" s="102" t="str">
        <f>'Dairy Partners'!P14</f>
        <v xml:space="preserve">Grass Silage (25% DM) </v>
      </c>
      <c r="Q14" s="102">
        <f>'Dairy Partners'!Q14</f>
        <v>0</v>
      </c>
      <c r="R14" s="102">
        <f>'Dairy Partners'!R14</f>
        <v>0</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x14ac:dyDescent="0.25">
      <c r="A15" s="138" t="s">
        <v>9</v>
      </c>
      <c r="B15" s="138"/>
      <c r="C15" s="60">
        <f>'Dairy Partners'!C15</f>
        <v>6.5</v>
      </c>
      <c r="D15" s="60">
        <f>'Dairy Partners'!D15</f>
        <v>47</v>
      </c>
      <c r="E15" s="60">
        <f>'Dairy Partners'!E15</f>
        <v>6.5</v>
      </c>
      <c r="F15" s="60">
        <f>'Dairy Partners'!F15</f>
        <v>38</v>
      </c>
      <c r="G15" s="60">
        <f>'Dairy Partners'!G15</f>
        <v>47</v>
      </c>
      <c r="H15" s="60">
        <f>'Dairy Partners'!H15</f>
        <v>9</v>
      </c>
      <c r="I15" s="60">
        <f>'Dairy Partners'!I15</f>
        <v>6.5</v>
      </c>
      <c r="J15" s="60">
        <f>'Dairy Partners'!J15</f>
        <v>23</v>
      </c>
      <c r="K15" s="60">
        <f>'Dairy Partners'!K15</f>
        <v>47</v>
      </c>
      <c r="L15" s="60">
        <f>'Dairy Partners'!L15</f>
        <v>6.5</v>
      </c>
      <c r="M15" s="60">
        <f>'Dairy Partners'!M15</f>
        <v>23</v>
      </c>
      <c r="N15" s="60">
        <f>'Dairy Partners'!N15</f>
        <v>23</v>
      </c>
      <c r="O15" s="60">
        <f>'Dairy Partners'!O15</f>
        <v>23</v>
      </c>
      <c r="P15" s="60">
        <f>'Dairy Partners'!P15</f>
        <v>23</v>
      </c>
      <c r="Q15" s="60">
        <f>'Dairy Partners'!Q15</f>
        <v>0</v>
      </c>
      <c r="R15" s="60">
        <f>'Dairy Partners'!R15</f>
        <v>0</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8" thickBot="1" x14ac:dyDescent="0.3">
      <c r="A16" s="140" t="s">
        <v>44</v>
      </c>
      <c r="B16" s="140"/>
      <c r="C16" s="103" t="str">
        <f>'Dairy Partners'!C16</f>
        <v>Medium/Clay</v>
      </c>
      <c r="D16" s="103" t="str">
        <f>'Dairy Partners'!D16</f>
        <v>Medium/Clay</v>
      </c>
      <c r="E16" s="103" t="str">
        <f>'Dairy Partners'!E16</f>
        <v>Medium/Clay</v>
      </c>
      <c r="F16" s="103" t="str">
        <f>'Dairy Partners'!F16</f>
        <v>Medium/Clay</v>
      </c>
      <c r="G16" s="103" t="str">
        <f>'Dairy Partners'!G16</f>
        <v>Medium/Clay</v>
      </c>
      <c r="H16" s="103" t="str">
        <f>'Dairy Partners'!H16</f>
        <v>Medium/Clay</v>
      </c>
      <c r="I16" s="103" t="str">
        <f>'Dairy Partners'!I16</f>
        <v>Medium/Clay</v>
      </c>
      <c r="J16" s="103" t="str">
        <f>'Dairy Partners'!J16</f>
        <v>Medium/Clay</v>
      </c>
      <c r="K16" s="103" t="str">
        <f>'Dairy Partners'!K16</f>
        <v>Medium/Clay</v>
      </c>
      <c r="L16" s="103" t="str">
        <f>'Dairy Partners'!L16</f>
        <v>Medium/Clay</v>
      </c>
      <c r="M16" s="103" t="str">
        <f>'Dairy Partners'!M16</f>
        <v>Medium/Clay</v>
      </c>
      <c r="N16" s="103" t="str">
        <f>'Dairy Partners'!N16</f>
        <v>Medium/Clay</v>
      </c>
      <c r="O16" s="103" t="str">
        <f>'Dairy Partners'!O16</f>
        <v>Medium/Clay</v>
      </c>
      <c r="P16" s="103" t="str">
        <f>'Dairy Partners'!P16</f>
        <v>Medium/Clay</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x14ac:dyDescent="0.25">
      <c r="A17" s="136" t="s">
        <v>69</v>
      </c>
      <c r="B17" s="137"/>
      <c r="C17" s="28">
        <f>(VLOOKUP(C$14,$AI2:$AK26,2,FALSE))*C$15</f>
        <v>55.25</v>
      </c>
      <c r="D17" s="28">
        <f t="shared" ref="D17:V17" si="0">(VLOOKUP(D$14,$AI2:$AK26,2,FALSE))*D$15</f>
        <v>79.899999999999991</v>
      </c>
      <c r="E17" s="28">
        <f t="shared" si="0"/>
        <v>55.25</v>
      </c>
      <c r="F17" s="28">
        <f t="shared" si="0"/>
        <v>64.599999999999994</v>
      </c>
      <c r="G17" s="28">
        <f t="shared" si="0"/>
        <v>79.899999999999991</v>
      </c>
      <c r="H17" s="28">
        <f t="shared" si="0"/>
        <v>63</v>
      </c>
      <c r="I17" s="28">
        <f t="shared" si="0"/>
        <v>55.25</v>
      </c>
      <c r="J17" s="28">
        <f t="shared" si="0"/>
        <v>39.1</v>
      </c>
      <c r="K17" s="28">
        <f t="shared" si="0"/>
        <v>79.899999999999991</v>
      </c>
      <c r="L17" s="28">
        <f t="shared" si="0"/>
        <v>55.25</v>
      </c>
      <c r="M17" s="28">
        <f t="shared" si="0"/>
        <v>39.1</v>
      </c>
      <c r="N17" s="28">
        <f t="shared" si="0"/>
        <v>39.1</v>
      </c>
      <c r="O17" s="28">
        <f t="shared" si="0"/>
        <v>39.1</v>
      </c>
      <c r="P17" s="28">
        <f t="shared" si="0"/>
        <v>39.1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4" t="s">
        <v>23</v>
      </c>
      <c r="B18" s="135"/>
      <c r="C18" s="16">
        <f>$D31</f>
        <v>54.186731999999999</v>
      </c>
      <c r="D18" s="16">
        <f>$D32</f>
        <v>78.269723999999997</v>
      </c>
      <c r="E18" s="16">
        <f>$D33</f>
        <v>54.186731999999999</v>
      </c>
      <c r="F18" s="16">
        <f>$D34</f>
        <v>64.221311999999998</v>
      </c>
      <c r="G18" s="16">
        <f>$D35</f>
        <v>78.269723999999997</v>
      </c>
      <c r="H18" s="16">
        <f>$D36</f>
        <v>62.214395999999994</v>
      </c>
      <c r="I18" s="16">
        <f>$D37</f>
        <v>54.186731999999999</v>
      </c>
      <c r="J18" s="16">
        <f>$D38</f>
        <v>38.131403999999996</v>
      </c>
      <c r="K18" s="16">
        <f>$D39</f>
        <v>78.269723999999997</v>
      </c>
      <c r="L18" s="16">
        <f>$D40</f>
        <v>54.186731999999999</v>
      </c>
      <c r="M18" s="16">
        <f>$D41</f>
        <v>38.131403999999996</v>
      </c>
      <c r="N18" s="16">
        <f>$D42</f>
        <v>38.131403999999996</v>
      </c>
      <c r="O18" s="16">
        <f>$D43</f>
        <v>38.131403999999996</v>
      </c>
      <c r="P18" s="16">
        <f>$D44</f>
        <v>38.131403999999996</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4" t="s">
        <v>90</v>
      </c>
      <c r="B19" s="135"/>
      <c r="C19" s="16">
        <f>C18-C17</f>
        <v>-1.0632680000000008</v>
      </c>
      <c r="D19" s="16">
        <f t="shared" ref="D19:V19" si="1">D18-D17</f>
        <v>-1.630275999999995</v>
      </c>
      <c r="E19" s="16">
        <f t="shared" si="1"/>
        <v>-1.0632680000000008</v>
      </c>
      <c r="F19" s="16">
        <f t="shared" si="1"/>
        <v>-0.3786879999999968</v>
      </c>
      <c r="G19" s="16">
        <f t="shared" si="1"/>
        <v>-1.630275999999995</v>
      </c>
      <c r="H19" s="16">
        <f t="shared" si="1"/>
        <v>-0.78560400000000641</v>
      </c>
      <c r="I19" s="16">
        <f t="shared" si="1"/>
        <v>-1.0632680000000008</v>
      </c>
      <c r="J19" s="16">
        <f t="shared" si="1"/>
        <v>-0.96859600000000512</v>
      </c>
      <c r="K19" s="16">
        <f t="shared" si="1"/>
        <v>-1.630275999999995</v>
      </c>
      <c r="L19" s="16">
        <f t="shared" si="1"/>
        <v>-1.0632680000000008</v>
      </c>
      <c r="M19" s="16">
        <f t="shared" si="1"/>
        <v>-0.96859600000000512</v>
      </c>
      <c r="N19" s="16">
        <f t="shared" si="1"/>
        <v>-0.96859600000000512</v>
      </c>
      <c r="O19" s="16">
        <f t="shared" si="1"/>
        <v>-0.96859600000000512</v>
      </c>
      <c r="P19" s="16">
        <f t="shared" si="1"/>
        <v>-0.96859600000000512</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2" t="s">
        <v>91</v>
      </c>
      <c r="B20" s="133"/>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6" t="s">
        <v>88</v>
      </c>
      <c r="B21" s="137"/>
      <c r="C21" s="28">
        <f>(VLOOKUP(C$14,$AI2:$AK26,3,FALSE))*C$15</f>
        <v>78</v>
      </c>
      <c r="D21" s="28">
        <f t="shared" ref="D21:V21" si="2">(VLOOKUP(D$14,$AI2:$AK26,3,FALSE))*D$15</f>
        <v>282</v>
      </c>
      <c r="E21" s="28">
        <f t="shared" si="2"/>
        <v>78</v>
      </c>
      <c r="F21" s="28">
        <f t="shared" si="2"/>
        <v>228</v>
      </c>
      <c r="G21" s="28">
        <f t="shared" si="2"/>
        <v>282</v>
      </c>
      <c r="H21" s="28">
        <f t="shared" si="2"/>
        <v>94.5</v>
      </c>
      <c r="I21" s="28">
        <f t="shared" si="2"/>
        <v>78</v>
      </c>
      <c r="J21" s="28">
        <f t="shared" si="2"/>
        <v>138</v>
      </c>
      <c r="K21" s="28">
        <f t="shared" si="2"/>
        <v>282</v>
      </c>
      <c r="L21" s="28">
        <f t="shared" si="2"/>
        <v>78</v>
      </c>
      <c r="M21" s="28">
        <f t="shared" si="2"/>
        <v>138</v>
      </c>
      <c r="N21" s="28">
        <f t="shared" si="2"/>
        <v>138</v>
      </c>
      <c r="O21" s="28">
        <f t="shared" si="2"/>
        <v>138</v>
      </c>
      <c r="P21" s="28">
        <f t="shared" si="2"/>
        <v>138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4" t="s">
        <v>89</v>
      </c>
      <c r="B22" s="135"/>
      <c r="C22" s="16">
        <f>$E31</f>
        <v>15.714405000000001</v>
      </c>
      <c r="D22" s="16">
        <f>$E32</f>
        <v>22.698585000000001</v>
      </c>
      <c r="E22" s="16">
        <f>$E33</f>
        <v>15.714405000000001</v>
      </c>
      <c r="F22" s="16">
        <f>$E34</f>
        <v>18.624480000000002</v>
      </c>
      <c r="G22" s="16">
        <f>$E35</f>
        <v>22.698585000000001</v>
      </c>
      <c r="H22" s="16">
        <f>$E36</f>
        <v>18.042465</v>
      </c>
      <c r="I22" s="16">
        <f>$E37</f>
        <v>15.714405000000001</v>
      </c>
      <c r="J22" s="16">
        <f>$E38</f>
        <v>11.058285</v>
      </c>
      <c r="K22" s="16">
        <f>$E39</f>
        <v>22.698585000000001</v>
      </c>
      <c r="L22" s="16">
        <f>$E40</f>
        <v>15.714405000000001</v>
      </c>
      <c r="M22" s="16">
        <f>$E41</f>
        <v>11.058285</v>
      </c>
      <c r="N22" s="16">
        <f>$E42</f>
        <v>11.058285</v>
      </c>
      <c r="O22" s="16">
        <f>$E43</f>
        <v>11.058285</v>
      </c>
      <c r="P22" s="16">
        <f>$E44</f>
        <v>11.058285</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4" t="s">
        <v>92</v>
      </c>
      <c r="B23" s="135"/>
      <c r="C23" s="16">
        <f>C22-C21</f>
        <v>-62.285595000000001</v>
      </c>
      <c r="D23" s="16">
        <f t="shared" ref="D23:V23" si="3">D22-D21</f>
        <v>-259.30141500000002</v>
      </c>
      <c r="E23" s="16">
        <f t="shared" si="3"/>
        <v>-62.285595000000001</v>
      </c>
      <c r="F23" s="16">
        <f t="shared" si="3"/>
        <v>-209.37551999999999</v>
      </c>
      <c r="G23" s="16">
        <f t="shared" si="3"/>
        <v>-259.30141500000002</v>
      </c>
      <c r="H23" s="16">
        <f t="shared" si="3"/>
        <v>-76.457535000000007</v>
      </c>
      <c r="I23" s="16">
        <f t="shared" si="3"/>
        <v>-62.285595000000001</v>
      </c>
      <c r="J23" s="16">
        <f t="shared" si="3"/>
        <v>-126.941715</v>
      </c>
      <c r="K23" s="16">
        <f t="shared" si="3"/>
        <v>-259.30141500000002</v>
      </c>
      <c r="L23" s="16">
        <f t="shared" si="3"/>
        <v>-62.285595000000001</v>
      </c>
      <c r="M23" s="16">
        <f t="shared" si="3"/>
        <v>-126.941715</v>
      </c>
      <c r="N23" s="16">
        <f t="shared" si="3"/>
        <v>-126.941715</v>
      </c>
      <c r="O23" s="16">
        <f t="shared" si="3"/>
        <v>-126.941715</v>
      </c>
      <c r="P23" s="16">
        <f t="shared" si="3"/>
        <v>-126.941715</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2" t="s">
        <v>93</v>
      </c>
      <c r="B24" s="133"/>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8.8" x14ac:dyDescent="0.3">
      <c r="A29" s="14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6240</v>
      </c>
      <c r="B31" s="15">
        <v>27</v>
      </c>
      <c r="C31" s="77">
        <f>IF(C$27="%w/w SAR",((C$28*10)*$B31),IF(C$27="%w/w DM",(((C$28*10)*($B$28/100))*$B31),IF(C$27="kg/t SAR",(C$28*$B31),IF(C$27="kg/t DM",((C$28*($B$28/100))*$B31),IF(C$27="mg/kg SAR",((C$28*0.001)*$B31),IF(C$27="mg/kg DM",(((C$28*0.001)*($B$28/100))*$B31),0))))))</f>
        <v>29.700000000000003</v>
      </c>
      <c r="D31" s="77">
        <f>(IF(D$27="%w/w SAR",((D$28*10)*$B31),IF(D$27="%w/w DM",(((D$28*10)*($B$28/100))*$B31),IF(D$27="kg/t SAR",(D$28*$B31),IF(D$27="kg/t DM",((D$28*($B$28/100))*$B31),IF(D$27="mg/kg SAR",((D$28*0.001)*$B31),IF(D$27="mg/kg DM",(((D$28*0.001)*($B$28/100))*$B31),"0")))))))*2.291</f>
        <v>54.186731999999999</v>
      </c>
      <c r="E31" s="77">
        <f>(IF(E$27="%w/w SAR",((E$28*10)*$B31),IF(E$27="%w/w DM",(((E$28*10)*($B$28/100))*$B31),IF(E$27="kg/t SAR",(E$28*$B31),IF(E$27="kg/t DM",((E$28*($B$28/100))*$B31),IF(E$27="mg/kg SAR",((E$28*0.001)*$B31),IF(E$27="mg/kg DM",(((E$28*0.001)*($B$28/100))*$B31),"0")))))))*1.205</f>
        <v>15.714405000000001</v>
      </c>
      <c r="F31" s="77">
        <f>(IF(F$27="%w/w SAR",((F$28*10)*$B31),IF(F$27="%w/w DM",(((F$28*10)*($B$28/100))*$B31),IF(F$27="kg/t SAR",(F$28*$B31),IF(F$27="kg/t DM",((F$28*($B$28/100))*$B31),IF(F$27="mg/kg SAR",((F$28*0.001)*$B31),IF(F$27="mg/kg DM",(((F$28*0.001)*($B$28/100))*$B31),"0")))))))*1.658</f>
        <v>2.6053812000000001</v>
      </c>
      <c r="G31" s="77">
        <f t="shared" ref="G31:P46" si="5">IF(G$27="%w/w SAR",((G$28*10)*$B31),IF(G$27="%w/w DM",(((G$28*10)*($B$28/100))*$B31),IF(G$27="kg/t SAR",(G$28*$B31),IF(G$27="kg/t DM",((G$28*($B$28/100))*$B31),IF(G$27="mg/kg SAR",((G$28*0.001)*$B31),IF(G$27="mg/kg DM",(((G$28*0.001)*($B$28/100))*$B31),0))))))</f>
        <v>5.4000000000000003E-3</v>
      </c>
      <c r="H31" s="77">
        <f t="shared" si="5"/>
        <v>5.9940000000000007E-2</v>
      </c>
      <c r="I31" s="77">
        <f t="shared" si="5"/>
        <v>1.35E-2</v>
      </c>
      <c r="J31" s="77">
        <f t="shared" si="5"/>
        <v>2.7E-4</v>
      </c>
      <c r="K31" s="77">
        <f t="shared" si="5"/>
        <v>1.3500000000000001E-3</v>
      </c>
      <c r="L31" s="77">
        <f t="shared" si="5"/>
        <v>5.4000000000000003E-3</v>
      </c>
      <c r="M31" s="77">
        <f t="shared" si="5"/>
        <v>6.4800000000000005E-3</v>
      </c>
      <c r="N31" s="77">
        <f t="shared" si="5"/>
        <v>0</v>
      </c>
      <c r="O31" s="77">
        <f t="shared" si="5"/>
        <v>0</v>
      </c>
      <c r="P31" s="77">
        <f t="shared" si="5"/>
        <v>6.9390000000000001</v>
      </c>
      <c r="Q31" s="77">
        <f>(IF(Q$27="%w/w SAR",((Q$28*10)*$B31),IF(Q$27="%w/w DM",(((Q$28*10)*($B$28/100))*$B31),IF(Q$27="kg/t SAR",(Q$28*$B31),IF(Q$27="kg/t DM",((Q$28*($B$28/100))*$B31),IF(Q$27="mg/kg SAR",((Q$28*0.001)*$B31),IF(Q$27="mg/kg DM",(((Q$28*0.001)*($B$28/100))*$B31),0)))))))*2.5</f>
        <v>7.3574999999999999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7849</v>
      </c>
      <c r="B32" s="15">
        <v>39</v>
      </c>
      <c r="C32" s="77">
        <f t="shared" ref="C32:C50" si="6">IF(C$27="%w/w SAR",((C$28*10)*$B32),IF(C$27="%w/w DM",(((C$28*10)*($B$28/100))*$B32),IF(C$27="kg/t SAR",(C$28*$B32),IF(C$27="kg/t DM",((C$28*($B$28/100))*$B32),IF(C$27="mg/kg SAR",((C$28*0.001)*$B32),IF(C$27="mg/kg DM",(((C$28*0.001)*($B$28/100))*$B32),0))))))</f>
        <v>42.900000000000006</v>
      </c>
      <c r="D32" s="77">
        <f t="shared" ref="D32:D50" si="7">(IF(D$27="%w/w SAR",((D$28*10)*$B32),IF(D$27="%w/w DM",(((D$28*10)*($B$28/100))*$B32),IF(D$27="kg/t SAR",(D$28*$B32),IF(D$27="kg/t DM",((D$28*($B$28/100))*$B32),IF(D$27="mg/kg SAR",((D$28*0.001)*$B32),IF(D$27="mg/kg DM",(((D$28*0.001)*($B$28/100))*$B32),"0")))))))*2.291</f>
        <v>78.269723999999997</v>
      </c>
      <c r="E32" s="77">
        <f t="shared" ref="E32:E50" si="8">(IF(E$27="%w/w SAR",((E$28*10)*$B32),IF(E$27="%w/w DM",(((E$28*10)*($B$28/100))*$B32),IF(E$27="kg/t SAR",(E$28*$B32),IF(E$27="kg/t DM",((E$28*($B$28/100))*$B32),IF(E$27="mg/kg SAR",((E$28*0.001)*$B32),IF(E$27="mg/kg DM",(((E$28*0.001)*($B$28/100))*$B32),"0")))))))*1.205</f>
        <v>22.698585000000001</v>
      </c>
      <c r="F32" s="77">
        <f t="shared" ref="F32:F50" si="9">(IF(F$27="%w/w SAR",((F$28*10)*$B32),IF(F$27="%w/w DM",(((F$28*10)*($B$28/100))*$B32),IF(F$27="kg/t SAR",(F$28*$B32),IF(F$27="kg/t DM",((F$28*($B$28/100))*$B32),IF(F$27="mg/kg SAR",((F$28*0.001)*$B32),IF(F$27="mg/kg DM",(((F$28*0.001)*($B$28/100))*$B32),"0")))))))*1.658</f>
        <v>3.7633283999999998</v>
      </c>
      <c r="G32" s="77">
        <f t="shared" si="5"/>
        <v>7.8000000000000005E-3</v>
      </c>
      <c r="H32" s="77">
        <f t="shared" si="5"/>
        <v>8.6580000000000004E-2</v>
      </c>
      <c r="I32" s="77">
        <f t="shared" si="5"/>
        <v>1.95E-2</v>
      </c>
      <c r="J32" s="77">
        <f t="shared" si="5"/>
        <v>3.9000000000000005E-4</v>
      </c>
      <c r="K32" s="77">
        <f t="shared" si="5"/>
        <v>1.9500000000000001E-3</v>
      </c>
      <c r="L32" s="77">
        <f t="shared" si="5"/>
        <v>7.8000000000000005E-3</v>
      </c>
      <c r="M32" s="77">
        <f t="shared" si="5"/>
        <v>9.3600000000000003E-3</v>
      </c>
      <c r="N32" s="77">
        <f t="shared" si="5"/>
        <v>0</v>
      </c>
      <c r="O32" s="77">
        <f t="shared" si="5"/>
        <v>0</v>
      </c>
      <c r="P32" s="77">
        <f t="shared" si="5"/>
        <v>10.023</v>
      </c>
      <c r="Q32" s="77">
        <f t="shared" ref="Q32:Q50" si="10">(IF(Q$27="%w/w SAR",((Q$28*10)*$B32),IF(Q$27="%w/w DM",(((Q$28*10)*($B$28/100))*$B32),IF(Q$27="kg/t SAR",(Q$28*$B32),IF(Q$27="kg/t DM",((Q$28*($B$28/100))*$B32),IF(Q$27="mg/kg SAR",((Q$28*0.001)*$B32),IF(Q$27="mg/kg DM",(((Q$28*0.001)*($B$28/100))*$B32),0)))))))*2.5</f>
        <v>10.627500000000001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252</v>
      </c>
      <c r="B33" s="15">
        <v>27</v>
      </c>
      <c r="C33" s="77">
        <f t="shared" si="6"/>
        <v>29.700000000000003</v>
      </c>
      <c r="D33" s="77">
        <f t="shared" si="7"/>
        <v>54.186731999999999</v>
      </c>
      <c r="E33" s="77">
        <f t="shared" si="8"/>
        <v>15.714405000000001</v>
      </c>
      <c r="F33" s="77">
        <f t="shared" si="9"/>
        <v>2.6053812000000001</v>
      </c>
      <c r="G33" s="77">
        <f t="shared" si="5"/>
        <v>5.4000000000000003E-3</v>
      </c>
      <c r="H33" s="77">
        <f t="shared" si="5"/>
        <v>5.9940000000000007E-2</v>
      </c>
      <c r="I33" s="77">
        <f t="shared" si="5"/>
        <v>1.35E-2</v>
      </c>
      <c r="J33" s="77">
        <f t="shared" si="5"/>
        <v>2.7E-4</v>
      </c>
      <c r="K33" s="77">
        <f t="shared" si="5"/>
        <v>1.3500000000000001E-3</v>
      </c>
      <c r="L33" s="77">
        <f t="shared" si="5"/>
        <v>5.4000000000000003E-3</v>
      </c>
      <c r="M33" s="77">
        <f t="shared" si="5"/>
        <v>6.4800000000000005E-3</v>
      </c>
      <c r="N33" s="77">
        <f t="shared" si="5"/>
        <v>0</v>
      </c>
      <c r="O33" s="77">
        <f t="shared" si="5"/>
        <v>0</v>
      </c>
      <c r="P33" s="77">
        <f t="shared" si="5"/>
        <v>6.9390000000000001</v>
      </c>
      <c r="Q33" s="77">
        <f t="shared" si="10"/>
        <v>7.3574999999999999</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876</v>
      </c>
      <c r="B34" s="15">
        <v>32</v>
      </c>
      <c r="C34" s="77">
        <f t="shared" si="6"/>
        <v>35.200000000000003</v>
      </c>
      <c r="D34" s="77">
        <f t="shared" si="7"/>
        <v>64.221311999999998</v>
      </c>
      <c r="E34" s="77">
        <f t="shared" si="8"/>
        <v>18.624480000000002</v>
      </c>
      <c r="F34" s="77">
        <f t="shared" si="9"/>
        <v>3.0878592</v>
      </c>
      <c r="G34" s="77">
        <f t="shared" si="5"/>
        <v>6.4000000000000003E-3</v>
      </c>
      <c r="H34" s="77">
        <f t="shared" si="5"/>
        <v>7.1040000000000006E-2</v>
      </c>
      <c r="I34" s="77">
        <f t="shared" si="5"/>
        <v>1.6E-2</v>
      </c>
      <c r="J34" s="77">
        <f t="shared" si="5"/>
        <v>3.2000000000000003E-4</v>
      </c>
      <c r="K34" s="77">
        <f t="shared" si="5"/>
        <v>1.6000000000000001E-3</v>
      </c>
      <c r="L34" s="77">
        <f t="shared" si="5"/>
        <v>6.4000000000000003E-3</v>
      </c>
      <c r="M34" s="77">
        <f t="shared" si="5"/>
        <v>7.6800000000000002E-3</v>
      </c>
      <c r="N34" s="77">
        <f t="shared" si="5"/>
        <v>0</v>
      </c>
      <c r="O34" s="77">
        <f t="shared" si="5"/>
        <v>0</v>
      </c>
      <c r="P34" s="77">
        <f t="shared" si="5"/>
        <v>8.2240000000000002</v>
      </c>
      <c r="Q34" s="77">
        <f t="shared" si="10"/>
        <v>8.7200000000000006</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1561</v>
      </c>
      <c r="B35" s="15">
        <v>39</v>
      </c>
      <c r="C35" s="77">
        <f t="shared" si="6"/>
        <v>42.900000000000006</v>
      </c>
      <c r="D35" s="77">
        <f t="shared" si="7"/>
        <v>78.269723999999997</v>
      </c>
      <c r="E35" s="77">
        <f t="shared" si="8"/>
        <v>22.698585000000001</v>
      </c>
      <c r="F35" s="77">
        <f t="shared" si="9"/>
        <v>3.7633283999999998</v>
      </c>
      <c r="G35" s="77">
        <f t="shared" si="5"/>
        <v>7.8000000000000005E-3</v>
      </c>
      <c r="H35" s="77">
        <f t="shared" si="5"/>
        <v>8.6580000000000004E-2</v>
      </c>
      <c r="I35" s="77">
        <f t="shared" si="5"/>
        <v>1.95E-2</v>
      </c>
      <c r="J35" s="77">
        <f t="shared" si="5"/>
        <v>3.9000000000000005E-4</v>
      </c>
      <c r="K35" s="77">
        <f t="shared" si="5"/>
        <v>1.9500000000000001E-3</v>
      </c>
      <c r="L35" s="77">
        <f t="shared" si="5"/>
        <v>7.8000000000000005E-3</v>
      </c>
      <c r="M35" s="77">
        <f t="shared" si="5"/>
        <v>9.3600000000000003E-3</v>
      </c>
      <c r="N35" s="77">
        <f t="shared" si="5"/>
        <v>0</v>
      </c>
      <c r="O35" s="77">
        <f t="shared" si="5"/>
        <v>0</v>
      </c>
      <c r="P35" s="77">
        <f t="shared" si="5"/>
        <v>10.023</v>
      </c>
      <c r="Q35" s="77">
        <f t="shared" si="10"/>
        <v>10.627500000000001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4165</v>
      </c>
      <c r="B36" s="15">
        <v>31</v>
      </c>
      <c r="C36" s="77">
        <f t="shared" si="6"/>
        <v>34.1</v>
      </c>
      <c r="D36" s="77">
        <f t="shared" si="7"/>
        <v>62.214395999999994</v>
      </c>
      <c r="E36" s="77">
        <f t="shared" si="8"/>
        <v>18.042465</v>
      </c>
      <c r="F36" s="77">
        <f t="shared" si="9"/>
        <v>2.9913635999999997</v>
      </c>
      <c r="G36" s="77">
        <f t="shared" si="5"/>
        <v>6.2000000000000006E-3</v>
      </c>
      <c r="H36" s="77">
        <f t="shared" si="5"/>
        <v>6.8820000000000006E-2</v>
      </c>
      <c r="I36" s="77">
        <f t="shared" si="5"/>
        <v>1.55E-2</v>
      </c>
      <c r="J36" s="77">
        <f t="shared" si="5"/>
        <v>3.1E-4</v>
      </c>
      <c r="K36" s="77">
        <f t="shared" si="5"/>
        <v>1.5500000000000002E-3</v>
      </c>
      <c r="L36" s="77">
        <f t="shared" si="5"/>
        <v>6.2000000000000006E-3</v>
      </c>
      <c r="M36" s="77">
        <f t="shared" si="5"/>
        <v>7.4400000000000004E-3</v>
      </c>
      <c r="N36" s="77">
        <f t="shared" si="5"/>
        <v>0</v>
      </c>
      <c r="O36" s="77">
        <f t="shared" si="5"/>
        <v>0</v>
      </c>
      <c r="P36" s="77">
        <f t="shared" si="5"/>
        <v>7.9670000000000005</v>
      </c>
      <c r="Q36" s="77">
        <f t="shared" si="10"/>
        <v>8.4474999999999998</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5565</v>
      </c>
      <c r="B37" s="15">
        <v>27</v>
      </c>
      <c r="C37" s="77">
        <f t="shared" si="6"/>
        <v>29.700000000000003</v>
      </c>
      <c r="D37" s="77">
        <f t="shared" si="7"/>
        <v>54.186731999999999</v>
      </c>
      <c r="E37" s="77">
        <f t="shared" si="8"/>
        <v>15.714405000000001</v>
      </c>
      <c r="F37" s="77">
        <f t="shared" si="9"/>
        <v>2.6053812000000001</v>
      </c>
      <c r="G37" s="77">
        <f t="shared" si="5"/>
        <v>5.4000000000000003E-3</v>
      </c>
      <c r="H37" s="77">
        <f t="shared" si="5"/>
        <v>5.9940000000000007E-2</v>
      </c>
      <c r="I37" s="77">
        <f t="shared" si="5"/>
        <v>1.35E-2</v>
      </c>
      <c r="J37" s="77">
        <f t="shared" si="5"/>
        <v>2.7E-4</v>
      </c>
      <c r="K37" s="77">
        <f t="shared" si="5"/>
        <v>1.3500000000000001E-3</v>
      </c>
      <c r="L37" s="77">
        <f t="shared" si="5"/>
        <v>5.4000000000000003E-3</v>
      </c>
      <c r="M37" s="77">
        <f t="shared" si="5"/>
        <v>6.4800000000000005E-3</v>
      </c>
      <c r="N37" s="77">
        <f t="shared" si="5"/>
        <v>0</v>
      </c>
      <c r="O37" s="77">
        <f t="shared" si="5"/>
        <v>0</v>
      </c>
      <c r="P37" s="77">
        <f t="shared" si="5"/>
        <v>6.9390000000000001</v>
      </c>
      <c r="Q37" s="77">
        <f t="shared" si="10"/>
        <v>7.3574999999999999</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1</v>
      </c>
      <c r="B38" s="15">
        <v>19</v>
      </c>
      <c r="C38" s="77">
        <f t="shared" si="6"/>
        <v>20.900000000000002</v>
      </c>
      <c r="D38" s="77">
        <f t="shared" si="7"/>
        <v>38.131403999999996</v>
      </c>
      <c r="E38" s="77">
        <f t="shared" si="8"/>
        <v>11.058285</v>
      </c>
      <c r="F38" s="77">
        <f t="shared" si="9"/>
        <v>1.8334164000000002</v>
      </c>
      <c r="G38" s="77">
        <f t="shared" si="5"/>
        <v>3.8E-3</v>
      </c>
      <c r="H38" s="77">
        <f t="shared" si="5"/>
        <v>4.2180000000000002E-2</v>
      </c>
      <c r="I38" s="77">
        <f t="shared" si="5"/>
        <v>9.4999999999999998E-3</v>
      </c>
      <c r="J38" s="77">
        <f t="shared" si="5"/>
        <v>1.9000000000000001E-4</v>
      </c>
      <c r="K38" s="77">
        <f t="shared" si="5"/>
        <v>9.5E-4</v>
      </c>
      <c r="L38" s="77">
        <f t="shared" si="5"/>
        <v>3.8E-3</v>
      </c>
      <c r="M38" s="77">
        <f t="shared" si="5"/>
        <v>4.5599999999999998E-3</v>
      </c>
      <c r="N38" s="77">
        <f t="shared" si="5"/>
        <v>0</v>
      </c>
      <c r="O38" s="77">
        <f t="shared" si="5"/>
        <v>0</v>
      </c>
      <c r="P38" s="77">
        <f t="shared" si="5"/>
        <v>4.883</v>
      </c>
      <c r="Q38" s="77">
        <f t="shared" si="10"/>
        <v>5.1775000000000002</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4993</v>
      </c>
      <c r="B39" s="15">
        <v>39</v>
      </c>
      <c r="C39" s="77">
        <f t="shared" si="6"/>
        <v>42.900000000000006</v>
      </c>
      <c r="D39" s="77">
        <f t="shared" si="7"/>
        <v>78.269723999999997</v>
      </c>
      <c r="E39" s="77">
        <f t="shared" si="8"/>
        <v>22.698585000000001</v>
      </c>
      <c r="F39" s="77">
        <f t="shared" si="9"/>
        <v>3.7633283999999998</v>
      </c>
      <c r="G39" s="77">
        <f t="shared" si="5"/>
        <v>7.8000000000000005E-3</v>
      </c>
      <c r="H39" s="77">
        <f t="shared" si="5"/>
        <v>8.6580000000000004E-2</v>
      </c>
      <c r="I39" s="77">
        <f t="shared" si="5"/>
        <v>1.95E-2</v>
      </c>
      <c r="J39" s="77">
        <f t="shared" si="5"/>
        <v>3.9000000000000005E-4</v>
      </c>
      <c r="K39" s="77">
        <f t="shared" si="5"/>
        <v>1.9500000000000001E-3</v>
      </c>
      <c r="L39" s="77">
        <f t="shared" si="5"/>
        <v>7.8000000000000005E-3</v>
      </c>
      <c r="M39" s="77">
        <f t="shared" si="5"/>
        <v>9.3600000000000003E-3</v>
      </c>
      <c r="N39" s="77">
        <f t="shared" si="5"/>
        <v>0</v>
      </c>
      <c r="O39" s="77">
        <f t="shared" si="5"/>
        <v>0</v>
      </c>
      <c r="P39" s="77">
        <f t="shared" si="5"/>
        <v>10.023</v>
      </c>
      <c r="Q39" s="77">
        <f t="shared" si="10"/>
        <v>10.627500000000001</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8065</v>
      </c>
      <c r="B40" s="15">
        <v>27</v>
      </c>
      <c r="C40" s="77">
        <f t="shared" si="6"/>
        <v>29.700000000000003</v>
      </c>
      <c r="D40" s="77">
        <f t="shared" si="7"/>
        <v>54.186731999999999</v>
      </c>
      <c r="E40" s="77">
        <f t="shared" si="8"/>
        <v>15.714405000000001</v>
      </c>
      <c r="F40" s="77">
        <f t="shared" si="9"/>
        <v>2.6053812000000001</v>
      </c>
      <c r="G40" s="77">
        <f t="shared" si="5"/>
        <v>5.4000000000000003E-3</v>
      </c>
      <c r="H40" s="77">
        <f t="shared" si="5"/>
        <v>5.9940000000000007E-2</v>
      </c>
      <c r="I40" s="77">
        <f t="shared" si="5"/>
        <v>1.35E-2</v>
      </c>
      <c r="J40" s="77">
        <f t="shared" si="5"/>
        <v>2.7E-4</v>
      </c>
      <c r="K40" s="77">
        <f t="shared" si="5"/>
        <v>1.3500000000000001E-3</v>
      </c>
      <c r="L40" s="77">
        <f t="shared" si="5"/>
        <v>5.4000000000000003E-3</v>
      </c>
      <c r="M40" s="77">
        <f t="shared" si="5"/>
        <v>6.4800000000000005E-3</v>
      </c>
      <c r="N40" s="77">
        <f t="shared" si="5"/>
        <v>0</v>
      </c>
      <c r="O40" s="77">
        <f t="shared" si="5"/>
        <v>0</v>
      </c>
      <c r="P40" s="77">
        <f t="shared" si="5"/>
        <v>6.9390000000000001</v>
      </c>
      <c r="Q40" s="77">
        <f t="shared" si="10"/>
        <v>7.3574999999999999</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t="str">
        <f>M8</f>
        <v>H3</v>
      </c>
      <c r="B41" s="15">
        <v>19</v>
      </c>
      <c r="C41" s="77">
        <f t="shared" si="6"/>
        <v>20.900000000000002</v>
      </c>
      <c r="D41" s="77">
        <f t="shared" si="7"/>
        <v>38.131403999999996</v>
      </c>
      <c r="E41" s="77">
        <f t="shared" si="8"/>
        <v>11.058285</v>
      </c>
      <c r="F41" s="77">
        <f t="shared" si="9"/>
        <v>1.8334164000000002</v>
      </c>
      <c r="G41" s="77">
        <f t="shared" si="5"/>
        <v>3.8E-3</v>
      </c>
      <c r="H41" s="77">
        <f t="shared" si="5"/>
        <v>4.2180000000000002E-2</v>
      </c>
      <c r="I41" s="77">
        <f t="shared" si="5"/>
        <v>9.4999999999999998E-3</v>
      </c>
      <c r="J41" s="77">
        <f t="shared" si="5"/>
        <v>1.9000000000000001E-4</v>
      </c>
      <c r="K41" s="77">
        <f t="shared" si="5"/>
        <v>9.5E-4</v>
      </c>
      <c r="L41" s="77">
        <f t="shared" si="5"/>
        <v>3.8E-3</v>
      </c>
      <c r="M41" s="77">
        <f t="shared" si="5"/>
        <v>4.5599999999999998E-3</v>
      </c>
      <c r="N41" s="77">
        <f t="shared" si="5"/>
        <v>0</v>
      </c>
      <c r="O41" s="77">
        <f t="shared" si="5"/>
        <v>0</v>
      </c>
      <c r="P41" s="77">
        <f t="shared" si="5"/>
        <v>4.883</v>
      </c>
      <c r="Q41" s="77">
        <f t="shared" si="10"/>
        <v>5.1775000000000002</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t="str">
        <f>N8</f>
        <v>H6</v>
      </c>
      <c r="B42" s="15">
        <v>19</v>
      </c>
      <c r="C42" s="77">
        <f t="shared" si="6"/>
        <v>20.900000000000002</v>
      </c>
      <c r="D42" s="77">
        <f t="shared" si="7"/>
        <v>38.131403999999996</v>
      </c>
      <c r="E42" s="77">
        <f t="shared" si="8"/>
        <v>11.058285</v>
      </c>
      <c r="F42" s="77">
        <f t="shared" si="9"/>
        <v>1.8334164000000002</v>
      </c>
      <c r="G42" s="77">
        <f t="shared" si="5"/>
        <v>3.8E-3</v>
      </c>
      <c r="H42" s="77">
        <f t="shared" si="5"/>
        <v>4.2180000000000002E-2</v>
      </c>
      <c r="I42" s="77">
        <f t="shared" si="5"/>
        <v>9.4999999999999998E-3</v>
      </c>
      <c r="J42" s="77">
        <f t="shared" si="5"/>
        <v>1.9000000000000001E-4</v>
      </c>
      <c r="K42" s="77">
        <f t="shared" si="5"/>
        <v>9.5E-4</v>
      </c>
      <c r="L42" s="77">
        <f t="shared" si="5"/>
        <v>3.8E-3</v>
      </c>
      <c r="M42" s="77">
        <f t="shared" si="5"/>
        <v>4.5599999999999998E-3</v>
      </c>
      <c r="N42" s="77">
        <f t="shared" si="5"/>
        <v>0</v>
      </c>
      <c r="O42" s="77">
        <f t="shared" si="5"/>
        <v>0</v>
      </c>
      <c r="P42" s="77">
        <f t="shared" si="5"/>
        <v>4.883</v>
      </c>
      <c r="Q42" s="77">
        <f t="shared" si="10"/>
        <v>5.1775000000000002</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t="str">
        <f>O8</f>
        <v>H7</v>
      </c>
      <c r="B43" s="15">
        <v>19</v>
      </c>
      <c r="C43" s="77">
        <f t="shared" si="6"/>
        <v>20.900000000000002</v>
      </c>
      <c r="D43" s="77">
        <f t="shared" si="7"/>
        <v>38.131403999999996</v>
      </c>
      <c r="E43" s="77">
        <f t="shared" si="8"/>
        <v>11.058285</v>
      </c>
      <c r="F43" s="77">
        <f t="shared" si="9"/>
        <v>1.8334164000000002</v>
      </c>
      <c r="G43" s="77">
        <f t="shared" si="5"/>
        <v>3.8E-3</v>
      </c>
      <c r="H43" s="77">
        <f t="shared" si="5"/>
        <v>4.2180000000000002E-2</v>
      </c>
      <c r="I43" s="77">
        <f t="shared" si="5"/>
        <v>9.4999999999999998E-3</v>
      </c>
      <c r="J43" s="77">
        <f t="shared" si="5"/>
        <v>1.9000000000000001E-4</v>
      </c>
      <c r="K43" s="77">
        <f t="shared" si="5"/>
        <v>9.5E-4</v>
      </c>
      <c r="L43" s="77">
        <f t="shared" si="5"/>
        <v>3.8E-3</v>
      </c>
      <c r="M43" s="77">
        <f t="shared" si="5"/>
        <v>4.5599999999999998E-3</v>
      </c>
      <c r="N43" s="77">
        <f t="shared" si="5"/>
        <v>0</v>
      </c>
      <c r="O43" s="77">
        <f t="shared" si="5"/>
        <v>0</v>
      </c>
      <c r="P43" s="77">
        <f t="shared" si="5"/>
        <v>4.883</v>
      </c>
      <c r="Q43" s="77">
        <f t="shared" si="10"/>
        <v>5.1775000000000002</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t="str">
        <f>P8</f>
        <v>H9</v>
      </c>
      <c r="B44" s="15">
        <v>19</v>
      </c>
      <c r="C44" s="77">
        <f t="shared" si="6"/>
        <v>20.900000000000002</v>
      </c>
      <c r="D44" s="77">
        <f t="shared" si="7"/>
        <v>38.131403999999996</v>
      </c>
      <c r="E44" s="77">
        <f t="shared" si="8"/>
        <v>11.058285</v>
      </c>
      <c r="F44" s="77">
        <f t="shared" si="9"/>
        <v>1.8334164000000002</v>
      </c>
      <c r="G44" s="77">
        <f t="shared" si="5"/>
        <v>3.8E-3</v>
      </c>
      <c r="H44" s="77">
        <f t="shared" si="5"/>
        <v>4.2180000000000002E-2</v>
      </c>
      <c r="I44" s="77">
        <f t="shared" si="5"/>
        <v>9.4999999999999998E-3</v>
      </c>
      <c r="J44" s="77">
        <f t="shared" si="5"/>
        <v>1.9000000000000001E-4</v>
      </c>
      <c r="K44" s="77">
        <f t="shared" si="5"/>
        <v>9.5E-4</v>
      </c>
      <c r="L44" s="77">
        <f t="shared" si="5"/>
        <v>3.8E-3</v>
      </c>
      <c r="M44" s="77">
        <f t="shared" si="5"/>
        <v>4.5599999999999998E-3</v>
      </c>
      <c r="N44" s="77">
        <f t="shared" si="5"/>
        <v>0</v>
      </c>
      <c r="O44" s="77">
        <f t="shared" si="5"/>
        <v>0</v>
      </c>
      <c r="P44" s="77">
        <f t="shared" si="5"/>
        <v>4.883</v>
      </c>
      <c r="Q44" s="77">
        <f t="shared" si="10"/>
        <v>5.1775000000000002</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4993</v>
      </c>
      <c r="K57" s="8">
        <f t="shared" si="13"/>
        <v>8065</v>
      </c>
      <c r="L57" s="8" t="str">
        <f t="shared" si="13"/>
        <v>H3</v>
      </c>
      <c r="M57" s="8" t="str">
        <f t="shared" si="13"/>
        <v>H6</v>
      </c>
      <c r="N57" s="8" t="str">
        <f t="shared" si="13"/>
        <v>H7</v>
      </c>
      <c r="O57" s="8" t="str">
        <f t="shared" si="13"/>
        <v>H9</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Arable</v>
      </c>
      <c r="C58" s="13" t="str">
        <f>D16&amp;" I "&amp;(VLOOKUP(D14,Table245[],6,FALSE))</f>
        <v>Medium/Clay I Grass</v>
      </c>
      <c r="D58" s="13" t="str">
        <f>E16&amp;" I "&amp;(VLOOKUP(E14,Table245[],6,FALSE))</f>
        <v>Medium/Clay I Arable</v>
      </c>
      <c r="E58" s="13" t="str">
        <f>F16&amp;" I "&amp;(VLOOKUP(F14,Table245[],6,FALSE))</f>
        <v>Medium/Clay I Grass</v>
      </c>
      <c r="F58" s="13" t="str">
        <f>G16&amp;" I "&amp;(VLOOKUP(G14,Table245[],6,FALSE))</f>
        <v>Medium/Clay I Grass</v>
      </c>
      <c r="G58" s="13" t="str">
        <f>H16&amp;" I "&amp;(VLOOKUP(H14,Table245[],6,FALSE))</f>
        <v>Medium/Clay I Arable</v>
      </c>
      <c r="H58" s="13" t="str">
        <f>I16&amp;" I "&amp;(VLOOKUP(I14,Table245[],6,FALSE))</f>
        <v>Medium/Clay I Arable</v>
      </c>
      <c r="I58" s="13" t="str">
        <f>J16&amp;" I "&amp;(VLOOKUP(J14,Table245[],6,FALSE))</f>
        <v>Medium/Clay I Grass</v>
      </c>
      <c r="J58" s="13" t="str">
        <f>K16&amp;" I "&amp;(VLOOKUP(K14,Table245[],6,FALSE))</f>
        <v>Medium/Clay I Grass</v>
      </c>
      <c r="K58" s="13" t="str">
        <f>L16&amp;" I "&amp;(VLOOKUP(L14,Table245[],6,FALSE))</f>
        <v>Medium/Clay I Arable</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6.7</v>
      </c>
      <c r="C59" s="76">
        <f>VLOOKUP(D$14,Table245[],5,FALSE)</f>
        <v>6.2</v>
      </c>
      <c r="D59" s="76">
        <f>VLOOKUP(E$14,Table245[],5,FALSE)</f>
        <v>6.7</v>
      </c>
      <c r="E59" s="76">
        <f>VLOOKUP(F$14,Table245[],5,FALSE)</f>
        <v>6.2</v>
      </c>
      <c r="F59" s="76">
        <f>VLOOKUP(G$14,Table245[],5,FALSE)</f>
        <v>6.2</v>
      </c>
      <c r="G59" s="76">
        <f>VLOOKUP(H$14,Table245[],5,FALSE)</f>
        <v>6.7</v>
      </c>
      <c r="H59" s="76">
        <f>VLOOKUP(I$14,Table245[],5,FALSE)</f>
        <v>6.7</v>
      </c>
      <c r="I59" s="76">
        <f>VLOOKUP(J$14,Table245[],5,FALSE)</f>
        <v>6.2</v>
      </c>
      <c r="J59" s="76">
        <f>VLOOKUP(K$14,Table245[],5,FALSE)</f>
        <v>6.2</v>
      </c>
      <c r="K59" s="76">
        <f>VLOOKUP(L$14,Table245[],5,FALSE)</f>
        <v>6.7</v>
      </c>
      <c r="L59" s="76">
        <f>VLOOKUP(M$14,Table245[],5,FALSE)</f>
        <v>6.2</v>
      </c>
      <c r="M59" s="76">
        <f>VLOOKUP(N$14,Table245[],5,FALSE)</f>
        <v>6.2</v>
      </c>
      <c r="N59" s="76">
        <f>VLOOKUP(O$14,Table245[],5,FALSE)</f>
        <v>6.2</v>
      </c>
      <c r="O59" s="76">
        <f>VLOOKUP(P$14,Table245[],5,FALSE)</f>
        <v>6.2</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5.9</v>
      </c>
      <c r="C60" s="76">
        <f t="shared" ref="C60:U60" si="14">D10</f>
        <v>6.4</v>
      </c>
      <c r="D60" s="76">
        <f t="shared" si="14"/>
        <v>6.8</v>
      </c>
      <c r="E60" s="76">
        <f t="shared" si="14"/>
        <v>5.5</v>
      </c>
      <c r="F60" s="76">
        <f t="shared" si="14"/>
        <v>6.1</v>
      </c>
      <c r="G60" s="76">
        <f t="shared" si="14"/>
        <v>5.9</v>
      </c>
      <c r="H60" s="76">
        <f t="shared" si="14"/>
        <v>6.7</v>
      </c>
      <c r="I60" s="76">
        <f t="shared" si="14"/>
        <v>6</v>
      </c>
      <c r="J60" s="76">
        <f t="shared" si="14"/>
        <v>5.6</v>
      </c>
      <c r="K60" s="76">
        <f t="shared" si="14"/>
        <v>6.9</v>
      </c>
      <c r="L60" s="76">
        <f t="shared" si="14"/>
        <v>5.8</v>
      </c>
      <c r="M60" s="76">
        <f t="shared" si="14"/>
        <v>5.8</v>
      </c>
      <c r="N60" s="76">
        <f t="shared" si="14"/>
        <v>6.4</v>
      </c>
      <c r="O60" s="76">
        <f t="shared" si="14"/>
        <v>6.6</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6</v>
      </c>
      <c r="F61" s="76">
        <f t="shared" si="15"/>
        <v>6</v>
      </c>
      <c r="G61" s="76">
        <f t="shared" si="15"/>
        <v>8</v>
      </c>
      <c r="H61" s="76">
        <f t="shared" si="15"/>
        <v>8</v>
      </c>
      <c r="I61" s="76">
        <f t="shared" si="15"/>
        <v>6</v>
      </c>
      <c r="J61" s="76">
        <f t="shared" si="15"/>
        <v>6</v>
      </c>
      <c r="K61" s="76">
        <f t="shared" si="15"/>
        <v>8</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27</v>
      </c>
      <c r="C62" s="77">
        <f>B32</f>
        <v>39</v>
      </c>
      <c r="D62" s="77">
        <f>B33</f>
        <v>27</v>
      </c>
      <c r="E62" s="77">
        <f>B34</f>
        <v>32</v>
      </c>
      <c r="F62" s="77">
        <f>B35</f>
        <v>39</v>
      </c>
      <c r="G62" s="77">
        <f>B36</f>
        <v>31</v>
      </c>
      <c r="H62" s="77">
        <f>B37</f>
        <v>27</v>
      </c>
      <c r="I62" s="77">
        <f>B38</f>
        <v>19</v>
      </c>
      <c r="J62" s="77">
        <f>B39</f>
        <v>39</v>
      </c>
      <c r="K62" s="77">
        <f>B40</f>
        <v>27</v>
      </c>
      <c r="L62" s="77">
        <f>B41</f>
        <v>19</v>
      </c>
      <c r="M62" s="77">
        <f>B42</f>
        <v>19</v>
      </c>
      <c r="N62" s="77">
        <f>B43</f>
        <v>19</v>
      </c>
      <c r="O62" s="77">
        <f>B44</f>
        <v>19</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6.3999999999999986</v>
      </c>
      <c r="C64" s="77">
        <f t="shared" ref="C64:U64" si="17">(C59-C60)*C61</f>
        <v>-1.2000000000000011</v>
      </c>
      <c r="D64" s="77">
        <f t="shared" si="17"/>
        <v>-0.79999999999999716</v>
      </c>
      <c r="E64" s="77">
        <f t="shared" si="17"/>
        <v>4.2000000000000011</v>
      </c>
      <c r="F64" s="77">
        <f t="shared" si="17"/>
        <v>0.6000000000000032</v>
      </c>
      <c r="G64" s="77">
        <f t="shared" si="17"/>
        <v>6.3999999999999986</v>
      </c>
      <c r="H64" s="77">
        <f t="shared" si="17"/>
        <v>0</v>
      </c>
      <c r="I64" s="77">
        <f t="shared" si="17"/>
        <v>1.2000000000000011</v>
      </c>
      <c r="J64" s="77">
        <f t="shared" si="17"/>
        <v>3.6000000000000032</v>
      </c>
      <c r="K64" s="77">
        <f t="shared" si="17"/>
        <v>-1.6000000000000014</v>
      </c>
      <c r="L64" s="77">
        <f t="shared" si="17"/>
        <v>2.4000000000000021</v>
      </c>
      <c r="M64" s="77">
        <f t="shared" si="17"/>
        <v>2.4000000000000021</v>
      </c>
      <c r="N64" s="77">
        <f t="shared" si="17"/>
        <v>-1.2000000000000011</v>
      </c>
      <c r="O64" s="77">
        <f t="shared" si="17"/>
        <v>-2.3999999999999968</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-6.3999999999999986</v>
      </c>
      <c r="C65" s="77">
        <f t="shared" ref="C65:U65" si="18">C63-C64</f>
        <v>1.2000000000000011</v>
      </c>
      <c r="D65" s="77">
        <f t="shared" si="18"/>
        <v>0.79999999999999716</v>
      </c>
      <c r="E65" s="77">
        <f t="shared" si="18"/>
        <v>-4.2000000000000011</v>
      </c>
      <c r="F65" s="77">
        <f t="shared" si="18"/>
        <v>-0.6000000000000032</v>
      </c>
      <c r="G65" s="77">
        <f t="shared" si="18"/>
        <v>-6.3999999999999986</v>
      </c>
      <c r="H65" s="77">
        <f t="shared" si="18"/>
        <v>0</v>
      </c>
      <c r="I65" s="77">
        <f t="shared" si="18"/>
        <v>-1.2000000000000011</v>
      </c>
      <c r="J65" s="77">
        <f t="shared" si="18"/>
        <v>-3.6000000000000032</v>
      </c>
      <c r="K65" s="77">
        <f t="shared" si="18"/>
        <v>1.6000000000000014</v>
      </c>
      <c r="L65" s="77">
        <f t="shared" si="18"/>
        <v>-2.4000000000000021</v>
      </c>
      <c r="M65" s="77">
        <f t="shared" si="18"/>
        <v>-2.4000000000000021</v>
      </c>
      <c r="N65" s="77">
        <f t="shared" si="18"/>
        <v>1.2000000000000011</v>
      </c>
      <c r="O65" s="77">
        <f t="shared" si="18"/>
        <v>2.3999999999999968</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UNDER</v>
      </c>
      <c r="K66" s="78" t="str">
        <f t="shared" si="19"/>
        <v>OVER</v>
      </c>
      <c r="L66" s="78" t="str">
        <f t="shared" si="19"/>
        <v>UNDER</v>
      </c>
      <c r="M66" s="78" t="str">
        <f t="shared" si="19"/>
        <v>UNDER</v>
      </c>
      <c r="N66" s="78" t="str">
        <f t="shared" si="19"/>
        <v>OVER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B46" sqref="B46"/>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9" t="s">
        <v>41</v>
      </c>
      <c r="B1" s="129"/>
      <c r="C1" s="143" t="str">
        <f>'Dairy Partners'!C1:D1</f>
        <v xml:space="preserve">PAN-023140 </v>
      </c>
      <c r="D1" s="144"/>
      <c r="E1" s="93" t="s">
        <v>45</v>
      </c>
      <c r="F1" s="39">
        <f>'Dairy Partners'!F1</f>
        <v>48.6</v>
      </c>
      <c r="G1" s="125" t="s">
        <v>43</v>
      </c>
      <c r="H1" s="126"/>
      <c r="I1" s="118">
        <v>5.54</v>
      </c>
      <c r="J1" s="129" t="s">
        <v>153</v>
      </c>
      <c r="K1" s="129"/>
      <c r="L1" s="97">
        <v>329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9" t="s">
        <v>87</v>
      </c>
      <c r="B2" s="129"/>
      <c r="C2" s="145" t="str">
        <f>'Dairy Partners'!C2:D2</f>
        <v>EPR/AB3891CX</v>
      </c>
      <c r="D2" s="146"/>
      <c r="E2" s="93" t="s">
        <v>109</v>
      </c>
      <c r="F2" s="119" t="s">
        <v>165</v>
      </c>
      <c r="G2" s="127" t="s">
        <v>110</v>
      </c>
      <c r="H2" s="128"/>
      <c r="I2" s="118">
        <v>1349</v>
      </c>
      <c r="J2" s="129" t="s">
        <v>158</v>
      </c>
      <c r="K2" s="129"/>
      <c r="L2" s="97">
        <v>0.25</v>
      </c>
      <c r="AB2" s="30" t="s">
        <v>56</v>
      </c>
      <c r="AC2" s="17"/>
      <c r="AD2" s="30" t="s">
        <v>70</v>
      </c>
      <c r="AE2" s="17"/>
      <c r="AF2" s="17"/>
      <c r="AG2" s="44" t="s">
        <v>76</v>
      </c>
      <c r="AH2" s="18"/>
      <c r="AI2" s="45" t="s">
        <v>126</v>
      </c>
      <c r="AJ2" s="46">
        <v>0</v>
      </c>
      <c r="AK2" s="47">
        <v>0</v>
      </c>
      <c r="AL2" s="10">
        <v>0</v>
      </c>
      <c r="AM2" s="11">
        <v>0</v>
      </c>
      <c r="AN2" s="11">
        <v>0</v>
      </c>
    </row>
    <row r="3" spans="1:41" x14ac:dyDescent="0.25">
      <c r="A3" s="125" t="s">
        <v>42</v>
      </c>
      <c r="B3" s="126"/>
      <c r="C3" s="145" t="str">
        <f>'Dairy Partners'!C3:D3</f>
        <v>Mr Daniel James &amp; Mrs Carys James</v>
      </c>
      <c r="D3" s="146"/>
      <c r="E3" s="93" t="s">
        <v>108</v>
      </c>
      <c r="F3" s="31" t="s">
        <v>77</v>
      </c>
      <c r="G3" s="129" t="s">
        <v>159</v>
      </c>
      <c r="H3" s="129"/>
      <c r="I3" s="118">
        <v>3460</v>
      </c>
      <c r="J3" s="125" t="s">
        <v>154</v>
      </c>
      <c r="K3" s="126"/>
      <c r="L3" s="97">
        <f>(L1/(L2*10000))*100</f>
        <v>13.16</v>
      </c>
      <c r="AB3" s="30" t="s">
        <v>57</v>
      </c>
      <c r="AC3" s="17"/>
      <c r="AD3" s="30" t="s">
        <v>71</v>
      </c>
      <c r="AE3" s="17"/>
      <c r="AF3" s="17"/>
      <c r="AG3" s="44" t="s">
        <v>77</v>
      </c>
      <c r="AH3" s="18"/>
      <c r="AI3" s="48" t="s">
        <v>113</v>
      </c>
      <c r="AJ3" s="49">
        <v>1.7</v>
      </c>
      <c r="AK3" s="50">
        <v>6</v>
      </c>
      <c r="AL3" s="51">
        <v>1</v>
      </c>
      <c r="AM3" s="11">
        <v>6.2</v>
      </c>
      <c r="AN3" s="11" t="s">
        <v>112</v>
      </c>
    </row>
    <row r="4" spans="1:41" ht="26.4" x14ac:dyDescent="0.25">
      <c r="A4" s="129" t="s">
        <v>0</v>
      </c>
      <c r="B4" s="129"/>
      <c r="C4" s="143" t="str">
        <f>'Dairy Partners'!C4:D4</f>
        <v>Login Farm, Ferwig, Cardigan, Ceredigion,
 SA43 1RU</v>
      </c>
      <c r="D4" s="144"/>
      <c r="E4" s="94" t="s">
        <v>1</v>
      </c>
      <c r="F4" s="120" t="s">
        <v>166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9" t="s">
        <v>47</v>
      </c>
      <c r="B5" s="129"/>
      <c r="C5" s="143" t="str">
        <f>'Dairy Partners'!C5:D5</f>
        <v>Owen Clee</v>
      </c>
      <c r="D5" s="144"/>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35" t="s">
        <v>63</v>
      </c>
      <c r="B7" s="13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9" t="s">
        <v>2</v>
      </c>
      <c r="B8" s="129"/>
      <c r="C8" s="60">
        <f>'Dairy Partners'!C8</f>
        <v>6240</v>
      </c>
      <c r="D8" s="60">
        <f>'Dairy Partners'!D8</f>
        <v>7849</v>
      </c>
      <c r="E8" s="60">
        <f>'Dairy Partners'!E8</f>
        <v>252</v>
      </c>
      <c r="F8" s="60">
        <f>'Dairy Partners'!F8</f>
        <v>876</v>
      </c>
      <c r="G8" s="60">
        <f>'Dairy Partners'!G8</f>
        <v>1561</v>
      </c>
      <c r="H8" s="60">
        <f>'Dairy Partners'!H8</f>
        <v>4165</v>
      </c>
      <c r="I8" s="60">
        <f>'Dairy Partners'!I8</f>
        <v>5565</v>
      </c>
      <c r="J8" s="60">
        <f>'Dairy Partners'!J8</f>
        <v>1</v>
      </c>
      <c r="K8" s="60">
        <f>'Dairy Partners'!K8</f>
        <v>4993</v>
      </c>
      <c r="L8" s="60">
        <f>'Dairy Partners'!L8</f>
        <v>8065</v>
      </c>
      <c r="M8" s="60" t="str">
        <f>'Dairy Partners'!M8</f>
        <v>H3</v>
      </c>
      <c r="N8" s="60" t="str">
        <f>'Dairy Partners'!N8</f>
        <v>H6</v>
      </c>
      <c r="O8" s="60" t="str">
        <f>'Dairy Partners'!O8</f>
        <v>H7</v>
      </c>
      <c r="P8" s="60" t="str">
        <f>'Dairy Partners'!P8</f>
        <v>H9</v>
      </c>
      <c r="Q8" s="60">
        <f>'Dairy Partners'!Q8</f>
        <v>0</v>
      </c>
      <c r="R8" s="60">
        <f>'Dairy Partners'!R8</f>
        <v>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9" t="s">
        <v>3</v>
      </c>
      <c r="B9" s="129"/>
      <c r="C9" s="60">
        <f>'Dairy Partners'!C9</f>
        <v>1</v>
      </c>
      <c r="D9" s="60" t="str">
        <f>'Dairy Partners'!D9</f>
        <v>Moderate</v>
      </c>
      <c r="E9" s="60">
        <f>'Dairy Partners'!E9</f>
        <v>1</v>
      </c>
      <c r="F9" s="60" t="str">
        <f>'Dairy Partners'!F9</f>
        <v>Moderate</v>
      </c>
      <c r="G9" s="60" t="str">
        <f>'Dairy Partners'!G9</f>
        <v>Moderate</v>
      </c>
      <c r="H9" s="60">
        <f>'Dairy Partners'!H9</f>
        <v>1</v>
      </c>
      <c r="I9" s="60">
        <f>'Dairy Partners'!I9</f>
        <v>1</v>
      </c>
      <c r="J9" s="60" t="str">
        <f>'Dairy Partners'!J9</f>
        <v>Moderate</v>
      </c>
      <c r="K9" s="60" t="str">
        <f>'Dairy Partners'!K9</f>
        <v>Moderate</v>
      </c>
      <c r="L9" s="60">
        <f>'Dairy Partners'!L9</f>
        <v>1</v>
      </c>
      <c r="M9" s="60" t="str">
        <f>'Dairy Partners'!M9</f>
        <v>Moderate</v>
      </c>
      <c r="N9" s="60" t="str">
        <f>'Dairy Partners'!N9</f>
        <v>Moderate</v>
      </c>
      <c r="O9" s="60" t="str">
        <f>'Dairy Partners'!O9</f>
        <v>Moderate</v>
      </c>
      <c r="P9" s="60" t="str">
        <f>'Dairy Partners'!P9</f>
        <v>Moderate</v>
      </c>
      <c r="Q9" s="60">
        <f>'Dairy Partners'!Q9</f>
        <v>0</v>
      </c>
      <c r="R9" s="60">
        <f>'Dairy Partners'!R9</f>
        <v>0</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x14ac:dyDescent="0.25">
      <c r="A10" s="129" t="s">
        <v>4</v>
      </c>
      <c r="B10" s="129"/>
      <c r="C10" s="60">
        <f>'Dairy Partners'!C10</f>
        <v>5.9</v>
      </c>
      <c r="D10" s="60">
        <f>'Dairy Partners'!D10</f>
        <v>6.4</v>
      </c>
      <c r="E10" s="60">
        <f>'Dairy Partners'!E10</f>
        <v>6.8</v>
      </c>
      <c r="F10" s="60">
        <f>'Dairy Partners'!F10</f>
        <v>5.5</v>
      </c>
      <c r="G10" s="60">
        <f>'Dairy Partners'!G10</f>
        <v>6.1</v>
      </c>
      <c r="H10" s="60">
        <f>'Dairy Partners'!H10</f>
        <v>5.9</v>
      </c>
      <c r="I10" s="60">
        <f>'Dairy Partners'!I10</f>
        <v>6.7</v>
      </c>
      <c r="J10" s="60">
        <f>'Dairy Partners'!J10</f>
        <v>6</v>
      </c>
      <c r="K10" s="60">
        <f>'Dairy Partners'!K10</f>
        <v>5.6</v>
      </c>
      <c r="L10" s="60">
        <f>'Dairy Partners'!L10</f>
        <v>6.9</v>
      </c>
      <c r="M10" s="60">
        <f>'Dairy Partners'!M10</f>
        <v>5.8</v>
      </c>
      <c r="N10" s="60">
        <f>'Dairy Partners'!N10</f>
        <v>5.8</v>
      </c>
      <c r="O10" s="60">
        <f>'Dairy Partners'!O10</f>
        <v>6.4</v>
      </c>
      <c r="P10" s="60">
        <f>'Dairy Partners'!P10</f>
        <v>6.6</v>
      </c>
      <c r="Q10" s="60">
        <f>'Dairy Partners'!Q10</f>
        <v>0</v>
      </c>
      <c r="R10" s="60">
        <f>'Dairy Partners'!R10</f>
        <v>0</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9" t="s">
        <v>5</v>
      </c>
      <c r="B11" s="129"/>
      <c r="C11" s="60">
        <f>'Dairy Partners'!C11</f>
        <v>3</v>
      </c>
      <c r="D11" s="60">
        <f>'Dairy Partners'!D11</f>
        <v>3</v>
      </c>
      <c r="E11" s="60">
        <f>'Dairy Partners'!E11</f>
        <v>2</v>
      </c>
      <c r="F11" s="60">
        <f>'Dairy Partners'!F11</f>
        <v>2</v>
      </c>
      <c r="G11" s="60">
        <f>'Dairy Partners'!G11</f>
        <v>3</v>
      </c>
      <c r="H11" s="60">
        <f>'Dairy Partners'!H11</f>
        <v>2</v>
      </c>
      <c r="I11" s="60">
        <f>'Dairy Partners'!I11</f>
        <v>3</v>
      </c>
      <c r="J11" s="60">
        <f>'Dairy Partners'!J11</f>
        <v>2</v>
      </c>
      <c r="K11" s="60">
        <f>'Dairy Partners'!K11</f>
        <v>3</v>
      </c>
      <c r="L11" s="60">
        <f>'Dairy Partners'!L11</f>
        <v>3</v>
      </c>
      <c r="M11" s="60">
        <f>'Dairy Partners'!M11</f>
        <v>2</v>
      </c>
      <c r="N11" s="60">
        <f>'Dairy Partners'!N11</f>
        <v>2</v>
      </c>
      <c r="O11" s="60">
        <f>'Dairy Partners'!O11</f>
        <v>2</v>
      </c>
      <c r="P11" s="60">
        <f>'Dairy Partners'!P11</f>
        <v>3</v>
      </c>
      <c r="Q11" s="60">
        <f>'Dairy Partners'!Q11</f>
        <v>0</v>
      </c>
      <c r="R11" s="60">
        <f>'Dairy Partners'!R11</f>
        <v>0</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9" t="s">
        <v>6</v>
      </c>
      <c r="B12" s="129"/>
      <c r="C12" s="60">
        <f>'Dairy Partners'!C12</f>
        <v>3</v>
      </c>
      <c r="D12" s="60">
        <f>'Dairy Partners'!D12</f>
        <v>3</v>
      </c>
      <c r="E12" s="60">
        <f>'Dairy Partners'!E12</f>
        <v>2</v>
      </c>
      <c r="F12" s="60">
        <f>'Dairy Partners'!F12</f>
        <v>0</v>
      </c>
      <c r="G12" s="60">
        <f>'Dairy Partners'!G12</f>
        <v>1</v>
      </c>
      <c r="H12" s="60">
        <f>'Dairy Partners'!H12</f>
        <v>1</v>
      </c>
      <c r="I12" s="60">
        <f>'Dairy Partners'!I12</f>
        <v>3</v>
      </c>
      <c r="J12" s="60">
        <f>'Dairy Partners'!J12</f>
        <v>1</v>
      </c>
      <c r="K12" s="60">
        <f>'Dairy Partners'!K12</f>
        <v>1</v>
      </c>
      <c r="L12" s="60">
        <f>'Dairy Partners'!L12</f>
        <v>3</v>
      </c>
      <c r="M12" s="60">
        <f>'Dairy Partners'!M12</f>
        <v>2</v>
      </c>
      <c r="N12" s="60">
        <f>'Dairy Partners'!N12</f>
        <v>2</v>
      </c>
      <c r="O12" s="60">
        <f>'Dairy Partners'!O12</f>
        <v>2</v>
      </c>
      <c r="P12" s="60">
        <f>'Dairy Partners'!P12</f>
        <v>2</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9" t="s">
        <v>7</v>
      </c>
      <c r="B13" s="129"/>
      <c r="C13" s="60">
        <f>'Dairy Partners'!C13</f>
        <v>2</v>
      </c>
      <c r="D13" s="60">
        <f>'Dairy Partners'!D13</f>
        <v>1</v>
      </c>
      <c r="E13" s="60">
        <f>'Dairy Partners'!E13</f>
        <v>1</v>
      </c>
      <c r="F13" s="60">
        <f>'Dairy Partners'!F13</f>
        <v>1</v>
      </c>
      <c r="G13" s="60">
        <f>'Dairy Partners'!G13</f>
        <v>2</v>
      </c>
      <c r="H13" s="60">
        <f>'Dairy Partners'!H13</f>
        <v>2</v>
      </c>
      <c r="I13" s="60">
        <f>'Dairy Partners'!I13</f>
        <v>2</v>
      </c>
      <c r="J13" s="60">
        <f>'Dairy Partners'!J13</f>
        <v>2</v>
      </c>
      <c r="K13" s="60">
        <f>'Dairy Partners'!K13</f>
        <v>2</v>
      </c>
      <c r="L13" s="60">
        <f>'Dairy Partners'!L13</f>
        <v>2</v>
      </c>
      <c r="M13" s="60">
        <f>'Dairy Partners'!M13</f>
        <v>3</v>
      </c>
      <c r="N13" s="60">
        <f>'Dairy Partners'!N13</f>
        <v>2</v>
      </c>
      <c r="O13" s="60">
        <f>'Dairy Partners'!O13</f>
        <v>3</v>
      </c>
      <c r="P13" s="60">
        <f>'Dairy Partners'!P13</f>
        <v>2</v>
      </c>
      <c r="Q13" s="60">
        <f>'Dairy Partners'!Q13</f>
        <v>0</v>
      </c>
      <c r="R13" s="60">
        <f>'Dairy Partners'!R13</f>
        <v>0</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9" t="s">
        <v>8</v>
      </c>
      <c r="B14" s="139"/>
      <c r="C14" s="102" t="str">
        <f>'Dairy Partners'!C14</f>
        <v>Spring wheat/barley</v>
      </c>
      <c r="D14" s="102" t="str">
        <f>'Dairy Partners'!D14</f>
        <v xml:space="preserve">Grass Silage (25% DM) </v>
      </c>
      <c r="E14" s="102" t="str">
        <f>'Dairy Partners'!E14</f>
        <v>Spring wheat/barley</v>
      </c>
      <c r="F14" s="102" t="str">
        <f>'Dairy Partners'!F14</f>
        <v xml:space="preserve">Grass Silage (25% DM) </v>
      </c>
      <c r="G14" s="102" t="str">
        <f>'Dairy Partners'!G14</f>
        <v xml:space="preserve">Grass Silage (25% DM) </v>
      </c>
      <c r="H14" s="102" t="str">
        <f>'Dairy Partners'!H14</f>
        <v>Winter wheat- grain &amp; straw</v>
      </c>
      <c r="I14" s="102" t="str">
        <f>'Dairy Partners'!I14</f>
        <v>Spring wheat/barley</v>
      </c>
      <c r="J14" s="102" t="str">
        <f>'Dairy Partners'!J14</f>
        <v xml:space="preserve">Grass Silage (25% DM) </v>
      </c>
      <c r="K14" s="102" t="str">
        <f>'Dairy Partners'!K14</f>
        <v xml:space="preserve">Grass Silage (25% DM) </v>
      </c>
      <c r="L14" s="102" t="str">
        <f>'Dairy Partners'!L14</f>
        <v>Spring wheat/barley</v>
      </c>
      <c r="M14" s="102" t="str">
        <f>'Dairy Partners'!M14</f>
        <v xml:space="preserve">Grass Silage (25% DM) </v>
      </c>
      <c r="N14" s="102" t="str">
        <f>'Dairy Partners'!N14</f>
        <v xml:space="preserve">Grass Silage (25% DM) </v>
      </c>
      <c r="O14" s="102" t="str">
        <f>'Dairy Partners'!O14</f>
        <v xml:space="preserve">Grass Silage (25% DM) </v>
      </c>
      <c r="P14" s="102" t="str">
        <f>'Dairy Partners'!P14</f>
        <v xml:space="preserve">Grass Silage (25% DM) </v>
      </c>
      <c r="Q14" s="102">
        <f>'Dairy Partners'!Q14</f>
        <v>0</v>
      </c>
      <c r="R14" s="102">
        <f>'Dairy Partners'!R14</f>
        <v>0</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x14ac:dyDescent="0.25">
      <c r="A15" s="138" t="s">
        <v>9</v>
      </c>
      <c r="B15" s="138"/>
      <c r="C15" s="60">
        <f>'Dairy Partners'!C15</f>
        <v>6.5</v>
      </c>
      <c r="D15" s="60">
        <f>'Dairy Partners'!D15</f>
        <v>47</v>
      </c>
      <c r="E15" s="60">
        <f>'Dairy Partners'!E15</f>
        <v>6.5</v>
      </c>
      <c r="F15" s="60">
        <f>'Dairy Partners'!F15</f>
        <v>38</v>
      </c>
      <c r="G15" s="60">
        <f>'Dairy Partners'!G15</f>
        <v>47</v>
      </c>
      <c r="H15" s="60">
        <f>'Dairy Partners'!H15</f>
        <v>9</v>
      </c>
      <c r="I15" s="60">
        <f>'Dairy Partners'!I15</f>
        <v>6.5</v>
      </c>
      <c r="J15" s="60">
        <f>'Dairy Partners'!J15</f>
        <v>23</v>
      </c>
      <c r="K15" s="60">
        <f>'Dairy Partners'!K15</f>
        <v>47</v>
      </c>
      <c r="L15" s="60">
        <f>'Dairy Partners'!L15</f>
        <v>6.5</v>
      </c>
      <c r="M15" s="60">
        <f>'Dairy Partners'!M15</f>
        <v>23</v>
      </c>
      <c r="N15" s="60">
        <f>'Dairy Partners'!N15</f>
        <v>23</v>
      </c>
      <c r="O15" s="60">
        <f>'Dairy Partners'!O15</f>
        <v>23</v>
      </c>
      <c r="P15" s="60">
        <f>'Dairy Partners'!P15</f>
        <v>23</v>
      </c>
      <c r="Q15" s="60">
        <f>'Dairy Partners'!Q15</f>
        <v>0</v>
      </c>
      <c r="R15" s="60">
        <f>'Dairy Partners'!R15</f>
        <v>0</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8" thickBot="1" x14ac:dyDescent="0.3">
      <c r="A16" s="140" t="s">
        <v>44</v>
      </c>
      <c r="B16" s="140"/>
      <c r="C16" s="103" t="str">
        <f>'Dairy Partners'!C16</f>
        <v>Medium/Clay</v>
      </c>
      <c r="D16" s="103" t="str">
        <f>'Dairy Partners'!D16</f>
        <v>Medium/Clay</v>
      </c>
      <c r="E16" s="103" t="str">
        <f>'Dairy Partners'!E16</f>
        <v>Medium/Clay</v>
      </c>
      <c r="F16" s="103" t="str">
        <f>'Dairy Partners'!F16</f>
        <v>Medium/Clay</v>
      </c>
      <c r="G16" s="103" t="str">
        <f>'Dairy Partners'!G16</f>
        <v>Medium/Clay</v>
      </c>
      <c r="H16" s="103" t="str">
        <f>'Dairy Partners'!H16</f>
        <v>Medium/Clay</v>
      </c>
      <c r="I16" s="103" t="str">
        <f>'Dairy Partners'!I16</f>
        <v>Medium/Clay</v>
      </c>
      <c r="J16" s="103" t="str">
        <f>'Dairy Partners'!J16</f>
        <v>Medium/Clay</v>
      </c>
      <c r="K16" s="103" t="str">
        <f>'Dairy Partners'!K16</f>
        <v>Medium/Clay</v>
      </c>
      <c r="L16" s="103" t="str">
        <f>'Dairy Partners'!L16</f>
        <v>Medium/Clay</v>
      </c>
      <c r="M16" s="103" t="str">
        <f>'Dairy Partners'!M16</f>
        <v>Medium/Clay</v>
      </c>
      <c r="N16" s="103" t="str">
        <f>'Dairy Partners'!N16</f>
        <v>Medium/Clay</v>
      </c>
      <c r="O16" s="103" t="str">
        <f>'Dairy Partners'!O16</f>
        <v>Medium/Clay</v>
      </c>
      <c r="P16" s="103" t="str">
        <f>'Dairy Partners'!P16</f>
        <v>Medium/Clay</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x14ac:dyDescent="0.25">
      <c r="A17" s="136" t="s">
        <v>69</v>
      </c>
      <c r="B17" s="137"/>
      <c r="C17" s="28">
        <f>(VLOOKUP(C$14,$AI2:$AK26,2,FALSE))*C$15</f>
        <v>55.25</v>
      </c>
      <c r="D17" s="28">
        <f t="shared" ref="D17:V17" si="0">(VLOOKUP(D$14,$AI2:$AK26,2,FALSE))*D$15</f>
        <v>79.899999999999991</v>
      </c>
      <c r="E17" s="28">
        <f t="shared" si="0"/>
        <v>55.25</v>
      </c>
      <c r="F17" s="28">
        <f t="shared" si="0"/>
        <v>64.599999999999994</v>
      </c>
      <c r="G17" s="28">
        <f t="shared" si="0"/>
        <v>79.899999999999991</v>
      </c>
      <c r="H17" s="28">
        <f t="shared" si="0"/>
        <v>63</v>
      </c>
      <c r="I17" s="28">
        <f t="shared" si="0"/>
        <v>55.25</v>
      </c>
      <c r="J17" s="28">
        <f t="shared" si="0"/>
        <v>39.1</v>
      </c>
      <c r="K17" s="28">
        <f t="shared" si="0"/>
        <v>79.899999999999991</v>
      </c>
      <c r="L17" s="28">
        <f t="shared" si="0"/>
        <v>55.25</v>
      </c>
      <c r="M17" s="28">
        <f t="shared" si="0"/>
        <v>39.1</v>
      </c>
      <c r="N17" s="28">
        <f t="shared" si="0"/>
        <v>39.1</v>
      </c>
      <c r="O17" s="28">
        <f t="shared" si="0"/>
        <v>39.1</v>
      </c>
      <c r="P17" s="28">
        <f t="shared" si="0"/>
        <v>39.1</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34" t="s">
        <v>23</v>
      </c>
      <c r="B18" s="135"/>
      <c r="C18" s="16">
        <f>$D31</f>
        <v>54.408958999999996</v>
      </c>
      <c r="D18" s="16">
        <f>$D32</f>
        <v>80.01317499999999</v>
      </c>
      <c r="E18" s="16">
        <f>$D33</f>
        <v>54.408958999999996</v>
      </c>
      <c r="F18" s="16">
        <f>$D34</f>
        <v>64.010540000000006</v>
      </c>
      <c r="G18" s="16">
        <f>$D35</f>
        <v>80.01317499999999</v>
      </c>
      <c r="H18" s="16">
        <f>$D36</f>
        <v>60.810012999999998</v>
      </c>
      <c r="I18" s="16">
        <f>$D37</f>
        <v>54.408958999999996</v>
      </c>
      <c r="J18" s="16">
        <f>$D38</f>
        <v>38.406323999999998</v>
      </c>
      <c r="K18" s="16">
        <f>$D39</f>
        <v>80.01317499999999</v>
      </c>
      <c r="L18" s="16">
        <f>$D40</f>
        <v>54.408958999999996</v>
      </c>
      <c r="M18" s="16">
        <f>$D41</f>
        <v>38.406323999999998</v>
      </c>
      <c r="N18" s="16">
        <f>$D42</f>
        <v>38.406323999999998</v>
      </c>
      <c r="O18" s="16">
        <f>$D43</f>
        <v>38.406323999999998</v>
      </c>
      <c r="P18" s="16">
        <f>$D44</f>
        <v>38.406323999999998</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34" t="s">
        <v>90</v>
      </c>
      <c r="B19" s="135"/>
      <c r="C19" s="16">
        <f>C18-C17</f>
        <v>-0.84104100000000415</v>
      </c>
      <c r="D19" s="16">
        <f t="shared" ref="D19:V19" si="1">D18-D17</f>
        <v>0.11317499999999825</v>
      </c>
      <c r="E19" s="16">
        <f t="shared" si="1"/>
        <v>-0.84104100000000415</v>
      </c>
      <c r="F19" s="16">
        <f t="shared" si="1"/>
        <v>-0.58945999999998833</v>
      </c>
      <c r="G19" s="16">
        <f t="shared" si="1"/>
        <v>0.11317499999999825</v>
      </c>
      <c r="H19" s="16">
        <f t="shared" si="1"/>
        <v>-2.1899870000000021</v>
      </c>
      <c r="I19" s="16">
        <f t="shared" si="1"/>
        <v>-0.84104100000000415</v>
      </c>
      <c r="J19" s="16">
        <f t="shared" si="1"/>
        <v>-0.69367600000000351</v>
      </c>
      <c r="K19" s="16">
        <f t="shared" si="1"/>
        <v>0.11317499999999825</v>
      </c>
      <c r="L19" s="16">
        <f t="shared" si="1"/>
        <v>-0.84104100000000415</v>
      </c>
      <c r="M19" s="16">
        <f t="shared" si="1"/>
        <v>-0.69367600000000351</v>
      </c>
      <c r="N19" s="16">
        <f t="shared" si="1"/>
        <v>-0.69367600000000351</v>
      </c>
      <c r="O19" s="16">
        <f t="shared" si="1"/>
        <v>-0.69367600000000351</v>
      </c>
      <c r="P19" s="16">
        <f t="shared" si="1"/>
        <v>-0.69367600000000351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32" t="s">
        <v>91</v>
      </c>
      <c r="B20" s="133"/>
      <c r="C20" s="26" t="str">
        <f>IF($B31="","",IF(C$19&gt;=0,"INCREASE","DECREASE"))</f>
        <v>DECREASE</v>
      </c>
      <c r="D20" s="26" t="str">
        <f>IF($B32="","",IF(D$19&gt;=0,"INCREASE","DECREASE"))</f>
        <v>INCREASE</v>
      </c>
      <c r="E20" s="26" t="str">
        <f>IF($B33="","",IF(E$19&gt;=0,"INCREASE","DECREASE"))</f>
        <v>DECREASE</v>
      </c>
      <c r="F20" s="26" t="str">
        <f>IF($B34="","",IF(F$19&gt;=0,"INCREASE","DECREASE"))</f>
        <v>DECREASE</v>
      </c>
      <c r="G20" s="26" t="str">
        <f>IF($B35="","",IF(G$19&gt;=0,"INCREASE","DECREASE"))</f>
        <v>INCREASE</v>
      </c>
      <c r="H20" s="26" t="str">
        <f>IF($B36="","",IF(H$19&gt;=0,"INCREASE","DECREASE"))</f>
        <v>DECREASE</v>
      </c>
      <c r="I20" s="26" t="str">
        <f>IF($B37="","",IF(I$19&gt;=0,"INCREASE","DECREASE"))</f>
        <v>DECREASE</v>
      </c>
      <c r="J20" s="26" t="str">
        <f>IF($B38="","",IF(J$19&gt;=0,"INCREASE","DECREASE"))</f>
        <v>DECREASE</v>
      </c>
      <c r="K20" s="26" t="str">
        <f>IF($B39="","",IF(K$19&gt;=0,"INCREASE","DECREASE"))</f>
        <v>INCREASE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36" t="s">
        <v>88</v>
      </c>
      <c r="B21" s="137"/>
      <c r="C21" s="28">
        <f>(VLOOKUP(C$14,$AI2:$AK26,3,FALSE))*C$15</f>
        <v>78</v>
      </c>
      <c r="D21" s="28">
        <f t="shared" ref="D21:V21" si="2">(VLOOKUP(D$14,$AI2:$AK24,3,FALSE))*D$15</f>
        <v>282</v>
      </c>
      <c r="E21" s="28">
        <f t="shared" si="2"/>
        <v>78</v>
      </c>
      <c r="F21" s="28">
        <f t="shared" si="2"/>
        <v>228</v>
      </c>
      <c r="G21" s="28">
        <f t="shared" si="2"/>
        <v>282</v>
      </c>
      <c r="H21" s="28">
        <f t="shared" si="2"/>
        <v>94.5</v>
      </c>
      <c r="I21" s="28">
        <f t="shared" si="2"/>
        <v>78</v>
      </c>
      <c r="J21" s="28">
        <f t="shared" si="2"/>
        <v>138</v>
      </c>
      <c r="K21" s="28">
        <f t="shared" si="2"/>
        <v>282</v>
      </c>
      <c r="L21" s="28">
        <f t="shared" si="2"/>
        <v>78</v>
      </c>
      <c r="M21" s="28">
        <f t="shared" si="2"/>
        <v>138</v>
      </c>
      <c r="N21" s="28">
        <f t="shared" si="2"/>
        <v>138</v>
      </c>
      <c r="O21" s="28">
        <f t="shared" si="2"/>
        <v>138</v>
      </c>
      <c r="P21" s="28">
        <f t="shared" si="2"/>
        <v>138</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34" t="s">
        <v>89</v>
      </c>
      <c r="B22" s="135"/>
      <c r="C22" s="16">
        <f>$E31</f>
        <v>9.5664949999999997</v>
      </c>
      <c r="D22" s="16">
        <f>$E32</f>
        <v>14.068375000000001</v>
      </c>
      <c r="E22" s="16">
        <f>$E33</f>
        <v>9.5664949999999997</v>
      </c>
      <c r="F22" s="16">
        <f>$E34</f>
        <v>11.2547</v>
      </c>
      <c r="G22" s="16">
        <f>$E35</f>
        <v>14.068375000000001</v>
      </c>
      <c r="H22" s="16">
        <f>$E36</f>
        <v>10.691965000000001</v>
      </c>
      <c r="I22" s="16">
        <f>$E37</f>
        <v>9.5664949999999997</v>
      </c>
      <c r="J22" s="16">
        <f>$E38</f>
        <v>6.7528200000000007</v>
      </c>
      <c r="K22" s="16">
        <f>$E39</f>
        <v>14.068375000000001</v>
      </c>
      <c r="L22" s="16">
        <f>$E40</f>
        <v>9.5664949999999997</v>
      </c>
      <c r="M22" s="16">
        <f>$E41</f>
        <v>6.7528200000000007</v>
      </c>
      <c r="N22" s="16">
        <f>$E42</f>
        <v>6.7528200000000007</v>
      </c>
      <c r="O22" s="16">
        <f>$E43</f>
        <v>6.7528200000000007</v>
      </c>
      <c r="P22" s="16">
        <f>$E44</f>
        <v>6.7528200000000007</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34" t="s">
        <v>92</v>
      </c>
      <c r="B23" s="135"/>
      <c r="C23" s="16">
        <f>C22-C21</f>
        <v>-68.433504999999997</v>
      </c>
      <c r="D23" s="16">
        <f t="shared" ref="D23:V23" si="3">D22-D21</f>
        <v>-267.931625</v>
      </c>
      <c r="E23" s="16">
        <f t="shared" si="3"/>
        <v>-68.433504999999997</v>
      </c>
      <c r="F23" s="16">
        <f t="shared" si="3"/>
        <v>-216.74529999999999</v>
      </c>
      <c r="G23" s="16">
        <f t="shared" si="3"/>
        <v>-267.931625</v>
      </c>
      <c r="H23" s="16">
        <f t="shared" si="3"/>
        <v>-83.808035000000004</v>
      </c>
      <c r="I23" s="16">
        <f t="shared" si="3"/>
        <v>-68.433504999999997</v>
      </c>
      <c r="J23" s="16">
        <f t="shared" si="3"/>
        <v>-131.24717999999999</v>
      </c>
      <c r="K23" s="16">
        <f t="shared" si="3"/>
        <v>-267.931625</v>
      </c>
      <c r="L23" s="16">
        <f t="shared" si="3"/>
        <v>-68.433504999999997</v>
      </c>
      <c r="M23" s="16">
        <f t="shared" si="3"/>
        <v>-131.24717999999999</v>
      </c>
      <c r="N23" s="16">
        <f t="shared" si="3"/>
        <v>-131.24717999999999</v>
      </c>
      <c r="O23" s="16">
        <f t="shared" si="3"/>
        <v>-131.24717999999999</v>
      </c>
      <c r="P23" s="16">
        <f t="shared" si="3"/>
        <v>-131.24717999999999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32" t="s">
        <v>93</v>
      </c>
      <c r="B24" s="133"/>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5.78</v>
      </c>
      <c r="C28" s="15">
        <v>0.25</v>
      </c>
      <c r="D28" s="15">
        <v>1397</v>
      </c>
      <c r="E28" s="15">
        <v>467</v>
      </c>
      <c r="F28" s="15">
        <v>57.9</v>
      </c>
      <c r="G28" s="15">
        <v>0.23200000000000001</v>
      </c>
      <c r="H28" s="15">
        <v>3.17</v>
      </c>
      <c r="I28" s="15">
        <v>0.5</v>
      </c>
      <c r="J28" s="15">
        <v>0.01</v>
      </c>
      <c r="K28" s="23">
        <v>0.05</v>
      </c>
      <c r="L28" s="15">
        <v>0.2</v>
      </c>
      <c r="M28" s="15">
        <v>0.31900000000000001</v>
      </c>
      <c r="N28" s="15"/>
      <c r="O28" s="15"/>
      <c r="P28" s="15">
        <v>1133</v>
      </c>
      <c r="Q28" s="15">
        <v>165</v>
      </c>
      <c r="R28" s="15"/>
      <c r="S28" s="15"/>
      <c r="T28" s="15"/>
      <c r="U28" s="15"/>
    </row>
    <row r="29" spans="1:40" s="7" customFormat="1" ht="28.8" x14ac:dyDescent="0.3">
      <c r="A29" s="14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4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6240</v>
      </c>
      <c r="B31" s="15">
        <v>17</v>
      </c>
      <c r="C31" s="77">
        <f>IF(C$27="%w/w SAR",((C$28*10)*$B31),IF(C$27="%w/w DM",(((C$28*10)*($B$28/100))*$B31),IF(C$27="kg/t SAR",(C$28*$B31),IF(C$27="kg/t DM",((C$28*($B$28/100))*$B31),IF(C$27="mg/kg SAR",((C$28*0.001)*$B31),IF(C$27="mg/kg DM",(((C$28*0.001)*($B$28/100))*$B31),0))))))</f>
        <v>42.5</v>
      </c>
      <c r="D31" s="77">
        <f>(IF(D$27="%w/w SAR",((D$28*10)*$B31),IF(D$27="%w/w DM",(((D$28*10)*($B$28/100))*$B31),IF(D$27="kg/t SAR",(D$28*$B31),IF(D$27="kg/t DM",((D$28*($B$28/100))*$B31),IF(D$27="mg/kg SAR",((D$28*0.001)*$B31),IF(D$27="mg/kg DM",(((D$28*0.001)*($B$28/100))*$B31),"0")))))))*2.291</f>
        <v>54.408958999999996</v>
      </c>
      <c r="E31" s="77">
        <f>(IF(E$27="%w/w SAR",((E$28*10)*$B31),IF(E$27="%w/w DM",(((E$28*10)*($B$28/100))*$B31),IF(E$27="kg/t SAR",(E$28*$B31),IF(E$27="kg/t DM",((E$28*($B$28/100))*$B31),IF(E$27="mg/kg SAR",((E$28*0.001)*$B31),IF(E$27="mg/kg DM",(((E$28*0.001)*($B$28/100))*$B31),"0")))))))*1.205</f>
        <v>9.5664949999999997</v>
      </c>
      <c r="F31" s="77">
        <f>(IF(F$27="%w/w SAR",((F$28*10)*$B31),IF(F$27="%w/w DM",(((F$28*10)*($B$28/100))*$B31),IF(F$27="kg/t SAR",(F$28*$B31),IF(F$27="kg/t DM",((F$28*($B$28/100))*$B31),IF(F$27="mg/kg SAR",((F$28*0.001)*$B31),IF(F$27="mg/kg DM",(((F$28*0.001)*($B$28/100))*$B31),"0")))))))*1.658</f>
        <v>1.6319693999999998</v>
      </c>
      <c r="G31" s="77">
        <f t="shared" ref="G31:P46" si="5">IF(G$27="%w/w SAR",((G$28*10)*$B31),IF(G$27="%w/w DM",(((G$28*10)*($B$28/100))*$B31),IF(G$27="kg/t SAR",(G$28*$B31),IF(G$27="kg/t DM",((G$28*($B$28/100))*$B31),IF(G$27="mg/kg SAR",((G$28*0.001)*$B31),IF(G$27="mg/kg DM",(((G$28*0.001)*($B$28/100))*$B31),0))))))</f>
        <v>3.9440000000000005E-3</v>
      </c>
      <c r="H31" s="77">
        <f t="shared" si="5"/>
        <v>5.389E-2</v>
      </c>
      <c r="I31" s="77">
        <f t="shared" si="5"/>
        <v>8.5000000000000006E-3</v>
      </c>
      <c r="J31" s="77">
        <f t="shared" si="5"/>
        <v>1.7000000000000001E-4</v>
      </c>
      <c r="K31" s="77">
        <f t="shared" si="5"/>
        <v>8.5000000000000006E-4</v>
      </c>
      <c r="L31" s="77">
        <f t="shared" si="5"/>
        <v>3.4000000000000002E-3</v>
      </c>
      <c r="M31" s="77">
        <f t="shared" si="5"/>
        <v>5.4229999999999999E-3</v>
      </c>
      <c r="N31" s="77">
        <f t="shared" si="5"/>
        <v>0</v>
      </c>
      <c r="O31" s="77">
        <f t="shared" si="5"/>
        <v>0</v>
      </c>
      <c r="P31" s="77">
        <f t="shared" si="5"/>
        <v>19.260999999999999</v>
      </c>
      <c r="Q31" s="77">
        <f>(IF(Q$27="%w/w SAR",((Q$28*10)*$B31),IF(Q$27="%w/w DM",(((Q$28*10)*($B$28/100))*$B31),IF(Q$27="kg/t SAR",(Q$28*$B31),IF(Q$27="kg/t DM",((Q$28*($B$28/100))*$B31),IF(Q$27="mg/kg SAR",((Q$28*0.001)*$B31),IF(Q$27="mg/kg DM",(((Q$28*0.001)*($B$28/100))*$B31),0)))))))*2.5</f>
        <v>7.0125000000000002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7849</v>
      </c>
      <c r="B32" s="15">
        <v>25</v>
      </c>
      <c r="C32" s="77">
        <f t="shared" ref="C32:C50" si="6">IF(C$27="%w/w SAR",((C$28*10)*$B32),IF(C$27="%w/w DM",(((C$28*10)*($B$28/100))*$B32),IF(C$27="kg/t SAR",(C$28*$B32),IF(C$27="kg/t DM",((C$28*($B$28/100))*$B32),IF(C$27="mg/kg SAR",((C$28*0.001)*$B32),IF(C$27="mg/kg DM",(((C$28*0.001)*($B$28/100))*$B32),0))))))</f>
        <v>62.5</v>
      </c>
      <c r="D32" s="77">
        <f t="shared" ref="D32:D50" si="7">(IF(D$27="%w/w SAR",((D$28*10)*$B32),IF(D$27="%w/w DM",(((D$28*10)*($B$28/100))*$B32),IF(D$27="kg/t SAR",(D$28*$B32),IF(D$27="kg/t DM",((D$28*($B$28/100))*$B32),IF(D$27="mg/kg SAR",((D$28*0.001)*$B32),IF(D$27="mg/kg DM",(((D$28*0.001)*($B$28/100))*$B32),"0")))))))*2.291</f>
        <v>80.01317499999999</v>
      </c>
      <c r="E32" s="77">
        <f t="shared" ref="E32:E50" si="8">(IF(E$27="%w/w SAR",((E$28*10)*$B32),IF(E$27="%w/w DM",(((E$28*10)*($B$28/100))*$B32),IF(E$27="kg/t SAR",(E$28*$B32),IF(E$27="kg/t DM",((E$28*($B$28/100))*$B32),IF(E$27="mg/kg SAR",((E$28*0.001)*$B32),IF(E$27="mg/kg DM",(((E$28*0.001)*($B$28/100))*$B32),"0")))))))*1.205</f>
        <v>14.068375000000001</v>
      </c>
      <c r="F32" s="77">
        <f t="shared" ref="F32:F50" si="9">(IF(F$27="%w/w SAR",((F$28*10)*$B32),IF(F$27="%w/w DM",(((F$28*10)*($B$28/100))*$B32),IF(F$27="kg/t SAR",(F$28*$B32),IF(F$27="kg/t DM",((F$28*($B$28/100))*$B32),IF(F$27="mg/kg SAR",((F$28*0.001)*$B32),IF(F$27="mg/kg DM",(((F$28*0.001)*($B$28/100))*$B32),"0")))))))*1.658</f>
        <v>2.3999549999999998</v>
      </c>
      <c r="G32" s="77">
        <f t="shared" si="5"/>
        <v>5.8000000000000005E-3</v>
      </c>
      <c r="H32" s="77">
        <f t="shared" si="5"/>
        <v>7.9250000000000001E-2</v>
      </c>
      <c r="I32" s="77">
        <f t="shared" si="5"/>
        <v>1.2500000000000001E-2</v>
      </c>
      <c r="J32" s="77">
        <f t="shared" si="5"/>
        <v>2.5000000000000001E-4</v>
      </c>
      <c r="K32" s="77">
        <f t="shared" si="5"/>
        <v>1.25E-3</v>
      </c>
      <c r="L32" s="77">
        <f t="shared" si="5"/>
        <v>5.0000000000000001E-3</v>
      </c>
      <c r="M32" s="77">
        <f t="shared" si="5"/>
        <v>7.9749999999999995E-3</v>
      </c>
      <c r="N32" s="77">
        <f t="shared" si="5"/>
        <v>0</v>
      </c>
      <c r="O32" s="77">
        <f t="shared" si="5"/>
        <v>0</v>
      </c>
      <c r="P32" s="77">
        <f t="shared" si="5"/>
        <v>28.324999999999999</v>
      </c>
      <c r="Q32" s="77">
        <f t="shared" ref="Q32:Q50" si="10">(IF(Q$27="%w/w SAR",((Q$28*10)*$B32),IF(Q$27="%w/w DM",(((Q$28*10)*($B$28/100))*$B32),IF(Q$27="kg/t SAR",(Q$28*$B32),IF(Q$27="kg/t DM",((Q$28*($B$28/100))*$B32),IF(Q$27="mg/kg SAR",((Q$28*0.001)*$B32),IF(Q$27="mg/kg DM",(((Q$28*0.001)*($B$28/100))*$B32),0)))))))*2.5</f>
        <v>10.3125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252</v>
      </c>
      <c r="B33" s="15">
        <v>17</v>
      </c>
      <c r="C33" s="77">
        <f t="shared" si="6"/>
        <v>42.5</v>
      </c>
      <c r="D33" s="77">
        <f t="shared" si="7"/>
        <v>54.408958999999996</v>
      </c>
      <c r="E33" s="77">
        <f t="shared" si="8"/>
        <v>9.5664949999999997</v>
      </c>
      <c r="F33" s="77">
        <f t="shared" si="9"/>
        <v>1.6319693999999998</v>
      </c>
      <c r="G33" s="77">
        <f t="shared" si="5"/>
        <v>3.9440000000000005E-3</v>
      </c>
      <c r="H33" s="77">
        <f t="shared" si="5"/>
        <v>5.389E-2</v>
      </c>
      <c r="I33" s="77">
        <f t="shared" si="5"/>
        <v>8.5000000000000006E-3</v>
      </c>
      <c r="J33" s="77">
        <f t="shared" si="5"/>
        <v>1.7000000000000001E-4</v>
      </c>
      <c r="K33" s="77">
        <f t="shared" si="5"/>
        <v>8.5000000000000006E-4</v>
      </c>
      <c r="L33" s="77">
        <f t="shared" si="5"/>
        <v>3.4000000000000002E-3</v>
      </c>
      <c r="M33" s="77">
        <f t="shared" si="5"/>
        <v>5.4229999999999999E-3</v>
      </c>
      <c r="N33" s="77">
        <f t="shared" si="5"/>
        <v>0</v>
      </c>
      <c r="O33" s="77">
        <f t="shared" si="5"/>
        <v>0</v>
      </c>
      <c r="P33" s="77">
        <f t="shared" si="5"/>
        <v>19.260999999999999</v>
      </c>
      <c r="Q33" s="77">
        <f t="shared" si="10"/>
        <v>7.0125000000000002</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876</v>
      </c>
      <c r="B34" s="15">
        <v>20</v>
      </c>
      <c r="C34" s="77">
        <f t="shared" si="6"/>
        <v>50</v>
      </c>
      <c r="D34" s="77">
        <f t="shared" si="7"/>
        <v>64.010540000000006</v>
      </c>
      <c r="E34" s="77">
        <f t="shared" si="8"/>
        <v>11.2547</v>
      </c>
      <c r="F34" s="77">
        <f t="shared" si="9"/>
        <v>1.9199639999999998</v>
      </c>
      <c r="G34" s="77">
        <f t="shared" si="5"/>
        <v>4.6400000000000009E-3</v>
      </c>
      <c r="H34" s="77">
        <f t="shared" si="5"/>
        <v>6.3399999999999998E-2</v>
      </c>
      <c r="I34" s="77">
        <f t="shared" si="5"/>
        <v>0.01</v>
      </c>
      <c r="J34" s="77">
        <f t="shared" si="5"/>
        <v>2.0000000000000001E-4</v>
      </c>
      <c r="K34" s="77">
        <f t="shared" si="5"/>
        <v>1E-3</v>
      </c>
      <c r="L34" s="77">
        <f t="shared" si="5"/>
        <v>4.0000000000000001E-3</v>
      </c>
      <c r="M34" s="77">
        <f t="shared" si="5"/>
        <v>6.3800000000000003E-3</v>
      </c>
      <c r="N34" s="77">
        <f t="shared" si="5"/>
        <v>0</v>
      </c>
      <c r="O34" s="77">
        <f t="shared" si="5"/>
        <v>0</v>
      </c>
      <c r="P34" s="77">
        <f t="shared" si="5"/>
        <v>22.66</v>
      </c>
      <c r="Q34" s="77">
        <f t="shared" si="10"/>
        <v>8.25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1561</v>
      </c>
      <c r="B35" s="15">
        <v>25</v>
      </c>
      <c r="C35" s="77">
        <f t="shared" si="6"/>
        <v>62.5</v>
      </c>
      <c r="D35" s="77">
        <f t="shared" si="7"/>
        <v>80.01317499999999</v>
      </c>
      <c r="E35" s="77">
        <f t="shared" si="8"/>
        <v>14.068375000000001</v>
      </c>
      <c r="F35" s="77">
        <f t="shared" si="9"/>
        <v>2.3999549999999998</v>
      </c>
      <c r="G35" s="77">
        <f t="shared" si="5"/>
        <v>5.8000000000000005E-3</v>
      </c>
      <c r="H35" s="77">
        <f t="shared" si="5"/>
        <v>7.9250000000000001E-2</v>
      </c>
      <c r="I35" s="77">
        <f t="shared" si="5"/>
        <v>1.2500000000000001E-2</v>
      </c>
      <c r="J35" s="77">
        <f t="shared" si="5"/>
        <v>2.5000000000000001E-4</v>
      </c>
      <c r="K35" s="77">
        <f t="shared" si="5"/>
        <v>1.25E-3</v>
      </c>
      <c r="L35" s="77">
        <f t="shared" si="5"/>
        <v>5.0000000000000001E-3</v>
      </c>
      <c r="M35" s="77">
        <f t="shared" si="5"/>
        <v>7.9749999999999995E-3</v>
      </c>
      <c r="N35" s="77">
        <f t="shared" si="5"/>
        <v>0</v>
      </c>
      <c r="O35" s="77">
        <f t="shared" si="5"/>
        <v>0</v>
      </c>
      <c r="P35" s="77">
        <f t="shared" si="5"/>
        <v>28.324999999999999</v>
      </c>
      <c r="Q35" s="77">
        <f t="shared" si="10"/>
        <v>10.3125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4165</v>
      </c>
      <c r="B36" s="15">
        <v>19</v>
      </c>
      <c r="C36" s="77">
        <f t="shared" si="6"/>
        <v>47.5</v>
      </c>
      <c r="D36" s="77">
        <f t="shared" si="7"/>
        <v>60.810012999999998</v>
      </c>
      <c r="E36" s="77">
        <f t="shared" si="8"/>
        <v>10.691965000000001</v>
      </c>
      <c r="F36" s="77">
        <f t="shared" si="9"/>
        <v>1.8239658000000001</v>
      </c>
      <c r="G36" s="77">
        <f t="shared" si="5"/>
        <v>4.4080000000000005E-3</v>
      </c>
      <c r="H36" s="77">
        <f t="shared" si="5"/>
        <v>6.0229999999999999E-2</v>
      </c>
      <c r="I36" s="77">
        <f t="shared" si="5"/>
        <v>9.4999999999999998E-3</v>
      </c>
      <c r="J36" s="77">
        <f t="shared" si="5"/>
        <v>1.9000000000000001E-4</v>
      </c>
      <c r="K36" s="77">
        <f t="shared" si="5"/>
        <v>9.5E-4</v>
      </c>
      <c r="L36" s="77">
        <f t="shared" si="5"/>
        <v>3.8E-3</v>
      </c>
      <c r="M36" s="77">
        <f t="shared" si="5"/>
        <v>6.0610000000000004E-3</v>
      </c>
      <c r="N36" s="77">
        <f t="shared" si="5"/>
        <v>0</v>
      </c>
      <c r="O36" s="77">
        <f t="shared" si="5"/>
        <v>0</v>
      </c>
      <c r="P36" s="77">
        <f t="shared" si="5"/>
        <v>21.527000000000001</v>
      </c>
      <c r="Q36" s="77">
        <f t="shared" si="10"/>
        <v>7.8375000000000004</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5565</v>
      </c>
      <c r="B37" s="15">
        <v>17</v>
      </c>
      <c r="C37" s="77">
        <f t="shared" si="6"/>
        <v>42.5</v>
      </c>
      <c r="D37" s="77">
        <f t="shared" si="7"/>
        <v>54.408958999999996</v>
      </c>
      <c r="E37" s="77">
        <f t="shared" si="8"/>
        <v>9.5664949999999997</v>
      </c>
      <c r="F37" s="77">
        <f t="shared" si="9"/>
        <v>1.6319693999999998</v>
      </c>
      <c r="G37" s="77">
        <f t="shared" si="5"/>
        <v>3.9440000000000005E-3</v>
      </c>
      <c r="H37" s="77">
        <f t="shared" si="5"/>
        <v>5.389E-2</v>
      </c>
      <c r="I37" s="77">
        <f t="shared" si="5"/>
        <v>8.5000000000000006E-3</v>
      </c>
      <c r="J37" s="77">
        <f t="shared" si="5"/>
        <v>1.7000000000000001E-4</v>
      </c>
      <c r="K37" s="77">
        <f t="shared" si="5"/>
        <v>8.5000000000000006E-4</v>
      </c>
      <c r="L37" s="77">
        <f t="shared" si="5"/>
        <v>3.4000000000000002E-3</v>
      </c>
      <c r="M37" s="77">
        <f t="shared" si="5"/>
        <v>5.4229999999999999E-3</v>
      </c>
      <c r="N37" s="77">
        <f t="shared" si="5"/>
        <v>0</v>
      </c>
      <c r="O37" s="77">
        <f t="shared" si="5"/>
        <v>0</v>
      </c>
      <c r="P37" s="77">
        <f t="shared" si="5"/>
        <v>19.260999999999999</v>
      </c>
      <c r="Q37" s="77">
        <f t="shared" si="10"/>
        <v>7.0125000000000002</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1</v>
      </c>
      <c r="B38" s="15">
        <v>12</v>
      </c>
      <c r="C38" s="77">
        <f t="shared" si="6"/>
        <v>30</v>
      </c>
      <c r="D38" s="77">
        <f t="shared" si="7"/>
        <v>38.406323999999998</v>
      </c>
      <c r="E38" s="77">
        <f t="shared" si="8"/>
        <v>6.7528200000000007</v>
      </c>
      <c r="F38" s="77">
        <f t="shared" si="9"/>
        <v>1.1519784</v>
      </c>
      <c r="G38" s="77">
        <f t="shared" si="5"/>
        <v>2.7840000000000005E-3</v>
      </c>
      <c r="H38" s="77">
        <f t="shared" si="5"/>
        <v>3.8040000000000004E-2</v>
      </c>
      <c r="I38" s="77">
        <f t="shared" si="5"/>
        <v>6.0000000000000001E-3</v>
      </c>
      <c r="J38" s="77">
        <f t="shared" si="5"/>
        <v>1.2000000000000002E-4</v>
      </c>
      <c r="K38" s="77">
        <f t="shared" si="5"/>
        <v>6.0000000000000006E-4</v>
      </c>
      <c r="L38" s="77">
        <f t="shared" si="5"/>
        <v>2.4000000000000002E-3</v>
      </c>
      <c r="M38" s="77">
        <f t="shared" si="5"/>
        <v>3.8279999999999998E-3</v>
      </c>
      <c r="N38" s="77">
        <f t="shared" si="5"/>
        <v>0</v>
      </c>
      <c r="O38" s="77">
        <f t="shared" si="5"/>
        <v>0</v>
      </c>
      <c r="P38" s="77">
        <f t="shared" si="5"/>
        <v>13.596</v>
      </c>
      <c r="Q38" s="77">
        <f t="shared" si="10"/>
        <v>4.95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4993</v>
      </c>
      <c r="B39" s="15">
        <v>25</v>
      </c>
      <c r="C39" s="77">
        <f t="shared" si="6"/>
        <v>62.5</v>
      </c>
      <c r="D39" s="77">
        <f t="shared" si="7"/>
        <v>80.01317499999999</v>
      </c>
      <c r="E39" s="77">
        <f t="shared" si="8"/>
        <v>14.068375000000001</v>
      </c>
      <c r="F39" s="77">
        <f t="shared" si="9"/>
        <v>2.3999549999999998</v>
      </c>
      <c r="G39" s="77">
        <f t="shared" si="5"/>
        <v>5.8000000000000005E-3</v>
      </c>
      <c r="H39" s="77">
        <f t="shared" si="5"/>
        <v>7.9250000000000001E-2</v>
      </c>
      <c r="I39" s="77">
        <f t="shared" si="5"/>
        <v>1.2500000000000001E-2</v>
      </c>
      <c r="J39" s="77">
        <f t="shared" si="5"/>
        <v>2.5000000000000001E-4</v>
      </c>
      <c r="K39" s="77">
        <f t="shared" si="5"/>
        <v>1.25E-3</v>
      </c>
      <c r="L39" s="77">
        <f t="shared" si="5"/>
        <v>5.0000000000000001E-3</v>
      </c>
      <c r="M39" s="77">
        <f t="shared" si="5"/>
        <v>7.9749999999999995E-3</v>
      </c>
      <c r="N39" s="77">
        <f t="shared" si="5"/>
        <v>0</v>
      </c>
      <c r="O39" s="77">
        <f t="shared" si="5"/>
        <v>0</v>
      </c>
      <c r="P39" s="77">
        <f t="shared" si="5"/>
        <v>28.324999999999999</v>
      </c>
      <c r="Q39" s="77">
        <f t="shared" si="10"/>
        <v>10.3125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8065</v>
      </c>
      <c r="B40" s="15">
        <v>17</v>
      </c>
      <c r="C40" s="77">
        <f t="shared" si="6"/>
        <v>42.5</v>
      </c>
      <c r="D40" s="77">
        <f t="shared" si="7"/>
        <v>54.408958999999996</v>
      </c>
      <c r="E40" s="77">
        <f t="shared" si="8"/>
        <v>9.5664949999999997</v>
      </c>
      <c r="F40" s="77">
        <f t="shared" si="9"/>
        <v>1.6319693999999998</v>
      </c>
      <c r="G40" s="77">
        <f t="shared" si="5"/>
        <v>3.9440000000000005E-3</v>
      </c>
      <c r="H40" s="77">
        <f t="shared" si="5"/>
        <v>5.389E-2</v>
      </c>
      <c r="I40" s="77">
        <f t="shared" si="5"/>
        <v>8.5000000000000006E-3</v>
      </c>
      <c r="J40" s="77">
        <f t="shared" si="5"/>
        <v>1.7000000000000001E-4</v>
      </c>
      <c r="K40" s="77">
        <f t="shared" si="5"/>
        <v>8.5000000000000006E-4</v>
      </c>
      <c r="L40" s="77">
        <f t="shared" si="5"/>
        <v>3.4000000000000002E-3</v>
      </c>
      <c r="M40" s="77">
        <f t="shared" si="5"/>
        <v>5.4229999999999999E-3</v>
      </c>
      <c r="N40" s="77">
        <f t="shared" si="5"/>
        <v>0</v>
      </c>
      <c r="O40" s="77">
        <f t="shared" si="5"/>
        <v>0</v>
      </c>
      <c r="P40" s="77">
        <f t="shared" si="5"/>
        <v>19.260999999999999</v>
      </c>
      <c r="Q40" s="77">
        <f t="shared" si="10"/>
        <v>7.0125000000000002</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t="str">
        <f>M8</f>
        <v>H3</v>
      </c>
      <c r="B41" s="15">
        <v>12</v>
      </c>
      <c r="C41" s="77">
        <f t="shared" si="6"/>
        <v>30</v>
      </c>
      <c r="D41" s="77">
        <f t="shared" si="7"/>
        <v>38.406323999999998</v>
      </c>
      <c r="E41" s="77">
        <f t="shared" si="8"/>
        <v>6.7528200000000007</v>
      </c>
      <c r="F41" s="77">
        <f t="shared" si="9"/>
        <v>1.1519784</v>
      </c>
      <c r="G41" s="77">
        <f t="shared" si="5"/>
        <v>2.7840000000000005E-3</v>
      </c>
      <c r="H41" s="77">
        <f t="shared" si="5"/>
        <v>3.8040000000000004E-2</v>
      </c>
      <c r="I41" s="77">
        <f t="shared" si="5"/>
        <v>6.0000000000000001E-3</v>
      </c>
      <c r="J41" s="77">
        <f t="shared" si="5"/>
        <v>1.2000000000000002E-4</v>
      </c>
      <c r="K41" s="77">
        <f t="shared" si="5"/>
        <v>6.0000000000000006E-4</v>
      </c>
      <c r="L41" s="77">
        <f t="shared" si="5"/>
        <v>2.4000000000000002E-3</v>
      </c>
      <c r="M41" s="77">
        <f t="shared" si="5"/>
        <v>3.8279999999999998E-3</v>
      </c>
      <c r="N41" s="77">
        <f t="shared" si="5"/>
        <v>0</v>
      </c>
      <c r="O41" s="77">
        <f t="shared" si="5"/>
        <v>0</v>
      </c>
      <c r="P41" s="77">
        <f t="shared" si="5"/>
        <v>13.596</v>
      </c>
      <c r="Q41" s="77">
        <f t="shared" si="10"/>
        <v>4.95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t="str">
        <f>N8</f>
        <v>H6</v>
      </c>
      <c r="B42" s="15">
        <v>12</v>
      </c>
      <c r="C42" s="77">
        <f t="shared" si="6"/>
        <v>30</v>
      </c>
      <c r="D42" s="77">
        <f t="shared" si="7"/>
        <v>38.406323999999998</v>
      </c>
      <c r="E42" s="77">
        <f t="shared" si="8"/>
        <v>6.7528200000000007</v>
      </c>
      <c r="F42" s="77">
        <f t="shared" si="9"/>
        <v>1.1519784</v>
      </c>
      <c r="G42" s="77">
        <f t="shared" si="5"/>
        <v>2.7840000000000005E-3</v>
      </c>
      <c r="H42" s="77">
        <f t="shared" si="5"/>
        <v>3.8040000000000004E-2</v>
      </c>
      <c r="I42" s="77">
        <f t="shared" si="5"/>
        <v>6.0000000000000001E-3</v>
      </c>
      <c r="J42" s="77">
        <f t="shared" si="5"/>
        <v>1.2000000000000002E-4</v>
      </c>
      <c r="K42" s="77">
        <f t="shared" si="5"/>
        <v>6.0000000000000006E-4</v>
      </c>
      <c r="L42" s="77">
        <f t="shared" si="5"/>
        <v>2.4000000000000002E-3</v>
      </c>
      <c r="M42" s="77">
        <f t="shared" si="5"/>
        <v>3.8279999999999998E-3</v>
      </c>
      <c r="N42" s="77">
        <f t="shared" si="5"/>
        <v>0</v>
      </c>
      <c r="O42" s="77">
        <f t="shared" si="5"/>
        <v>0</v>
      </c>
      <c r="P42" s="77">
        <f t="shared" si="5"/>
        <v>13.596</v>
      </c>
      <c r="Q42" s="77">
        <f t="shared" si="10"/>
        <v>4.95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t="str">
        <f>O8</f>
        <v>H7</v>
      </c>
      <c r="B43" s="15">
        <v>12</v>
      </c>
      <c r="C43" s="77">
        <f t="shared" si="6"/>
        <v>30</v>
      </c>
      <c r="D43" s="77">
        <f t="shared" si="7"/>
        <v>38.406323999999998</v>
      </c>
      <c r="E43" s="77">
        <f t="shared" si="8"/>
        <v>6.7528200000000007</v>
      </c>
      <c r="F43" s="77">
        <f t="shared" si="9"/>
        <v>1.1519784</v>
      </c>
      <c r="G43" s="77">
        <f t="shared" si="5"/>
        <v>2.7840000000000005E-3</v>
      </c>
      <c r="H43" s="77">
        <f t="shared" si="5"/>
        <v>3.8040000000000004E-2</v>
      </c>
      <c r="I43" s="77">
        <f t="shared" si="5"/>
        <v>6.0000000000000001E-3</v>
      </c>
      <c r="J43" s="77">
        <f t="shared" si="5"/>
        <v>1.2000000000000002E-4</v>
      </c>
      <c r="K43" s="77">
        <f t="shared" si="5"/>
        <v>6.0000000000000006E-4</v>
      </c>
      <c r="L43" s="77">
        <f t="shared" si="5"/>
        <v>2.4000000000000002E-3</v>
      </c>
      <c r="M43" s="77">
        <f t="shared" si="5"/>
        <v>3.8279999999999998E-3</v>
      </c>
      <c r="N43" s="77">
        <f t="shared" si="5"/>
        <v>0</v>
      </c>
      <c r="O43" s="77">
        <f t="shared" si="5"/>
        <v>0</v>
      </c>
      <c r="P43" s="77">
        <f t="shared" si="5"/>
        <v>13.596</v>
      </c>
      <c r="Q43" s="77">
        <f t="shared" si="10"/>
        <v>4.95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t="str">
        <f>P8</f>
        <v>H9</v>
      </c>
      <c r="B44" s="15">
        <v>12</v>
      </c>
      <c r="C44" s="77">
        <f t="shared" si="6"/>
        <v>30</v>
      </c>
      <c r="D44" s="77">
        <f t="shared" si="7"/>
        <v>38.406323999999998</v>
      </c>
      <c r="E44" s="77">
        <f t="shared" si="8"/>
        <v>6.7528200000000007</v>
      </c>
      <c r="F44" s="77">
        <f t="shared" si="9"/>
        <v>1.1519784</v>
      </c>
      <c r="G44" s="77">
        <f t="shared" si="5"/>
        <v>2.7840000000000005E-3</v>
      </c>
      <c r="H44" s="77">
        <f t="shared" si="5"/>
        <v>3.8040000000000004E-2</v>
      </c>
      <c r="I44" s="77">
        <f t="shared" si="5"/>
        <v>6.0000000000000001E-3</v>
      </c>
      <c r="J44" s="77">
        <f t="shared" si="5"/>
        <v>1.2000000000000002E-4</v>
      </c>
      <c r="K44" s="77">
        <f t="shared" si="5"/>
        <v>6.0000000000000006E-4</v>
      </c>
      <c r="L44" s="77">
        <f t="shared" si="5"/>
        <v>2.4000000000000002E-3</v>
      </c>
      <c r="M44" s="77">
        <f t="shared" si="5"/>
        <v>3.8279999999999998E-3</v>
      </c>
      <c r="N44" s="77">
        <f t="shared" si="5"/>
        <v>0</v>
      </c>
      <c r="O44" s="77">
        <f t="shared" si="5"/>
        <v>0</v>
      </c>
      <c r="P44" s="77">
        <f t="shared" si="5"/>
        <v>13.596</v>
      </c>
      <c r="Q44" s="77">
        <f t="shared" si="10"/>
        <v>4.95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6240</v>
      </c>
      <c r="C57" s="8">
        <f t="shared" ref="C57:U57" si="13">D8</f>
        <v>7849</v>
      </c>
      <c r="D57" s="8">
        <f t="shared" si="13"/>
        <v>252</v>
      </c>
      <c r="E57" s="8">
        <f t="shared" si="13"/>
        <v>876</v>
      </c>
      <c r="F57" s="8">
        <f t="shared" si="13"/>
        <v>1561</v>
      </c>
      <c r="G57" s="8">
        <f t="shared" si="13"/>
        <v>4165</v>
      </c>
      <c r="H57" s="8">
        <f t="shared" si="13"/>
        <v>5565</v>
      </c>
      <c r="I57" s="8">
        <f t="shared" si="13"/>
        <v>1</v>
      </c>
      <c r="J57" s="8">
        <f t="shared" si="13"/>
        <v>4993</v>
      </c>
      <c r="K57" s="8">
        <f t="shared" si="13"/>
        <v>8065</v>
      </c>
      <c r="L57" s="8" t="str">
        <f t="shared" si="13"/>
        <v>H3</v>
      </c>
      <c r="M57" s="8" t="str">
        <f t="shared" si="13"/>
        <v>H6</v>
      </c>
      <c r="N57" s="8" t="str">
        <f t="shared" si="13"/>
        <v>H7</v>
      </c>
      <c r="O57" s="8" t="str">
        <f t="shared" si="13"/>
        <v>H9</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Arable</v>
      </c>
      <c r="C58" s="13" t="str">
        <f>D16&amp;" I "&amp;(VLOOKUP(D14,Table245811[],6,FALSE))</f>
        <v>Medium/Clay I Grass</v>
      </c>
      <c r="D58" s="13" t="str">
        <f>E16&amp;" I "&amp;(VLOOKUP(E14,Table245811[],6,FALSE))</f>
        <v>Medium/Clay I Arable</v>
      </c>
      <c r="E58" s="13" t="str">
        <f>F16&amp;" I "&amp;(VLOOKUP(F14,Table245811[],6,FALSE))</f>
        <v>Medium/Clay I Grass</v>
      </c>
      <c r="F58" s="13" t="str">
        <f>G16&amp;" I "&amp;(VLOOKUP(G14,Table245811[],6,FALSE))</f>
        <v>Medium/Clay I Grass</v>
      </c>
      <c r="G58" s="13" t="str">
        <f>H16&amp;" I "&amp;(VLOOKUP(H14,Table245811[],6,FALSE))</f>
        <v>Medium/Clay I Arable</v>
      </c>
      <c r="H58" s="13" t="str">
        <f>I16&amp;" I "&amp;(VLOOKUP(I14,Table245811[],6,FALSE))</f>
        <v>Medium/Clay I Arable</v>
      </c>
      <c r="I58" s="13" t="str">
        <f>J16&amp;" I "&amp;(VLOOKUP(J14,Table245811[],6,FALSE))</f>
        <v>Medium/Clay I Grass</v>
      </c>
      <c r="J58" s="13" t="str">
        <f>K16&amp;" I "&amp;(VLOOKUP(K14,Table245811[],6,FALSE))</f>
        <v>Medium/Clay I Grass</v>
      </c>
      <c r="K58" s="13" t="str">
        <f>L16&amp;" I "&amp;(VLOOKUP(L14,Table245811[],6,FALSE))</f>
        <v>Medium/Clay I Arable</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6.7</v>
      </c>
      <c r="C59" s="76">
        <f>VLOOKUP(D$14,Table245811[],5,FALSE)</f>
        <v>6.2</v>
      </c>
      <c r="D59" s="76">
        <f>VLOOKUP(E$14,Table245811[],5,FALSE)</f>
        <v>6.7</v>
      </c>
      <c r="E59" s="76">
        <f>VLOOKUP(F$14,Table245811[],5,FALSE)</f>
        <v>6.2</v>
      </c>
      <c r="F59" s="76">
        <f>VLOOKUP(G$14,Table245811[],5,FALSE)</f>
        <v>6.2</v>
      </c>
      <c r="G59" s="76">
        <f>VLOOKUP(H$14,Table245811[],5,FALSE)</f>
        <v>6.7</v>
      </c>
      <c r="H59" s="76">
        <f>VLOOKUP(I$14,Table245811[],5,FALSE)</f>
        <v>6.7</v>
      </c>
      <c r="I59" s="76">
        <f>VLOOKUP(J$14,Table245811[],5,FALSE)</f>
        <v>6.2</v>
      </c>
      <c r="J59" s="76">
        <f>VLOOKUP(K$14,Table245811[],5,FALSE)</f>
        <v>6.2</v>
      </c>
      <c r="K59" s="76">
        <f>VLOOKUP(L$14,Table245811[],5,FALSE)</f>
        <v>6.7</v>
      </c>
      <c r="L59" s="76">
        <f>VLOOKUP(M$14,Table245811[],5,FALSE)</f>
        <v>6.2</v>
      </c>
      <c r="M59" s="76">
        <f>VLOOKUP(N$14,Table245811[],5,FALSE)</f>
        <v>6.2</v>
      </c>
      <c r="N59" s="76">
        <f>VLOOKUP(O$14,Table245811[],5,FALSE)</f>
        <v>6.2</v>
      </c>
      <c r="O59" s="76">
        <f>VLOOKUP(P$14,Table245811[],5,FALSE)</f>
        <v>6.2</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5.9</v>
      </c>
      <c r="C60" s="76">
        <f t="shared" ref="C60:U60" si="14">D10</f>
        <v>6.4</v>
      </c>
      <c r="D60" s="76">
        <f t="shared" si="14"/>
        <v>6.8</v>
      </c>
      <c r="E60" s="76">
        <f t="shared" si="14"/>
        <v>5.5</v>
      </c>
      <c r="F60" s="76">
        <f t="shared" si="14"/>
        <v>6.1</v>
      </c>
      <c r="G60" s="76">
        <f t="shared" si="14"/>
        <v>5.9</v>
      </c>
      <c r="H60" s="76">
        <f t="shared" si="14"/>
        <v>6.7</v>
      </c>
      <c r="I60" s="76">
        <f t="shared" si="14"/>
        <v>6</v>
      </c>
      <c r="J60" s="76">
        <f t="shared" si="14"/>
        <v>5.6</v>
      </c>
      <c r="K60" s="76">
        <f t="shared" si="14"/>
        <v>6.9</v>
      </c>
      <c r="L60" s="76">
        <f t="shared" si="14"/>
        <v>5.8</v>
      </c>
      <c r="M60" s="76">
        <f t="shared" si="14"/>
        <v>5.8</v>
      </c>
      <c r="N60" s="76">
        <f t="shared" si="14"/>
        <v>6.4</v>
      </c>
      <c r="O60" s="76">
        <f t="shared" si="14"/>
        <v>6.6</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8</v>
      </c>
      <c r="C61" s="76">
        <f t="shared" si="15"/>
        <v>6</v>
      </c>
      <c r="D61" s="76">
        <f t="shared" si="15"/>
        <v>8</v>
      </c>
      <c r="E61" s="76">
        <f t="shared" si="15"/>
        <v>6</v>
      </c>
      <c r="F61" s="76">
        <f t="shared" si="15"/>
        <v>6</v>
      </c>
      <c r="G61" s="76">
        <f t="shared" si="15"/>
        <v>8</v>
      </c>
      <c r="H61" s="76">
        <f t="shared" si="15"/>
        <v>8</v>
      </c>
      <c r="I61" s="76">
        <f t="shared" si="15"/>
        <v>6</v>
      </c>
      <c r="J61" s="76">
        <f t="shared" si="15"/>
        <v>6</v>
      </c>
      <c r="K61" s="76">
        <f t="shared" si="15"/>
        <v>8</v>
      </c>
      <c r="L61" s="76">
        <f t="shared" si="15"/>
        <v>6</v>
      </c>
      <c r="M61" s="76">
        <f t="shared" si="15"/>
        <v>6</v>
      </c>
      <c r="N61" s="76">
        <f t="shared" si="15"/>
        <v>6</v>
      </c>
      <c r="O61" s="76">
        <f t="shared" si="15"/>
        <v>6</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17</v>
      </c>
      <c r="C62" s="77">
        <f>B32</f>
        <v>25</v>
      </c>
      <c r="D62" s="77">
        <f>B33</f>
        <v>17</v>
      </c>
      <c r="E62" s="77">
        <f>B34</f>
        <v>20</v>
      </c>
      <c r="F62" s="77">
        <f>B35</f>
        <v>25</v>
      </c>
      <c r="G62" s="77">
        <f>B36</f>
        <v>19</v>
      </c>
      <c r="H62" s="77">
        <f>B37</f>
        <v>17</v>
      </c>
      <c r="I62" s="77">
        <f>B38</f>
        <v>12</v>
      </c>
      <c r="J62" s="77">
        <f>B39</f>
        <v>25</v>
      </c>
      <c r="K62" s="77">
        <f>B40</f>
        <v>17</v>
      </c>
      <c r="L62" s="77">
        <f>B41</f>
        <v>12</v>
      </c>
      <c r="M62" s="77">
        <f>B42</f>
        <v>12</v>
      </c>
      <c r="N62" s="77">
        <f>B43</f>
        <v>12</v>
      </c>
      <c r="O62" s="77">
        <f>B44</f>
        <v>12</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6.3999999999999986</v>
      </c>
      <c r="C64" s="77">
        <f t="shared" ref="C64:U64" si="17">(C59-C60)*C61</f>
        <v>-1.2000000000000011</v>
      </c>
      <c r="D64" s="77">
        <f t="shared" si="17"/>
        <v>-0.79999999999999716</v>
      </c>
      <c r="E64" s="77">
        <f t="shared" si="17"/>
        <v>4.2000000000000011</v>
      </c>
      <c r="F64" s="77">
        <f t="shared" si="17"/>
        <v>0.6000000000000032</v>
      </c>
      <c r="G64" s="77">
        <f t="shared" si="17"/>
        <v>6.3999999999999986</v>
      </c>
      <c r="H64" s="77">
        <f t="shared" si="17"/>
        <v>0</v>
      </c>
      <c r="I64" s="77">
        <f t="shared" si="17"/>
        <v>1.2000000000000011</v>
      </c>
      <c r="J64" s="77">
        <f t="shared" si="17"/>
        <v>3.6000000000000032</v>
      </c>
      <c r="K64" s="77">
        <f t="shared" si="17"/>
        <v>-1.6000000000000014</v>
      </c>
      <c r="L64" s="77">
        <f t="shared" si="17"/>
        <v>2.4000000000000021</v>
      </c>
      <c r="M64" s="77">
        <f t="shared" si="17"/>
        <v>2.4000000000000021</v>
      </c>
      <c r="N64" s="77">
        <f t="shared" si="17"/>
        <v>-1.2000000000000011</v>
      </c>
      <c r="O64" s="77">
        <f t="shared" si="17"/>
        <v>-2.3999999999999968</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-6.3999999999999986</v>
      </c>
      <c r="C65" s="77">
        <f t="shared" ref="C65:U65" si="18">C63-C64</f>
        <v>1.2000000000000011</v>
      </c>
      <c r="D65" s="77">
        <f t="shared" si="18"/>
        <v>0.79999999999999716</v>
      </c>
      <c r="E65" s="77">
        <f t="shared" si="18"/>
        <v>-4.2000000000000011</v>
      </c>
      <c r="F65" s="77">
        <f t="shared" si="18"/>
        <v>-0.6000000000000032</v>
      </c>
      <c r="G65" s="77">
        <f t="shared" si="18"/>
        <v>-6.3999999999999986</v>
      </c>
      <c r="H65" s="77">
        <f t="shared" si="18"/>
        <v>0</v>
      </c>
      <c r="I65" s="77">
        <f t="shared" si="18"/>
        <v>-1.2000000000000011</v>
      </c>
      <c r="J65" s="77">
        <f t="shared" si="18"/>
        <v>-3.6000000000000032</v>
      </c>
      <c r="K65" s="77">
        <f t="shared" si="18"/>
        <v>1.6000000000000014</v>
      </c>
      <c r="L65" s="77">
        <f t="shared" si="18"/>
        <v>-2.4000000000000021</v>
      </c>
      <c r="M65" s="77">
        <f t="shared" si="18"/>
        <v>-2.4000000000000021</v>
      </c>
      <c r="N65" s="77">
        <f t="shared" si="18"/>
        <v>1.2000000000000011</v>
      </c>
      <c r="O65" s="77">
        <f t="shared" si="18"/>
        <v>2.3999999999999968</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OVER</v>
      </c>
      <c r="D66" s="78" t="str">
        <f t="shared" si="19"/>
        <v>OVER</v>
      </c>
      <c r="E66" s="78" t="str">
        <f t="shared" si="19"/>
        <v>UNDER</v>
      </c>
      <c r="F66" s="78" t="str">
        <f t="shared" si="19"/>
        <v>UNDER</v>
      </c>
      <c r="G66" s="78" t="str">
        <f t="shared" si="19"/>
        <v>UNDER</v>
      </c>
      <c r="H66" s="78" t="str">
        <f t="shared" si="19"/>
        <v>OVER</v>
      </c>
      <c r="I66" s="78" t="str">
        <f t="shared" si="19"/>
        <v>UNDER</v>
      </c>
      <c r="J66" s="78" t="str">
        <f t="shared" si="19"/>
        <v>UNDER</v>
      </c>
      <c r="K66" s="78" t="str">
        <f t="shared" si="19"/>
        <v>OVER</v>
      </c>
      <c r="L66" s="78" t="str">
        <f t="shared" si="19"/>
        <v>UNDER</v>
      </c>
      <c r="M66" s="78" t="str">
        <f t="shared" si="19"/>
        <v>UNDER</v>
      </c>
      <c r="N66" s="78" t="str">
        <f t="shared" si="19"/>
        <v>OVER</v>
      </c>
      <c r="O66" s="78" t="str">
        <f t="shared" si="19"/>
        <v>OVER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L27" sqref="L27"/>
    </sheetView>
  </sheetViews>
  <sheetFormatPr defaultColWidth="9.109375" defaultRowHeight="13.2" x14ac:dyDescent="0.25"/>
  <cols>
    <col min="1" max="13" width="9.109375" style="79"/>
    <col min="14" max="14" width="9.6640625" style="79" bestFit="1" customWidth="1"/>
    <col min="15" max="19" width="9.109375" style="79"/>
    <col min="20" max="20" width="10" style="79" bestFit="1" customWidth="1"/>
    <col min="21" max="16384" width="9.109375" style="79"/>
  </cols>
  <sheetData>
    <row r="1" spans="1:21" ht="39.6" x14ac:dyDescent="0.25">
      <c r="A1" s="147" t="s">
        <v>84</v>
      </c>
      <c r="B1" s="38" t="str">
        <f>'Dairy Partners'!B29</f>
        <v>Application Rate</v>
      </c>
      <c r="C1" s="38" t="str">
        <f>'Dairy Partners'!C29</f>
        <v>Nitrogen Addition</v>
      </c>
      <c r="D1" s="38" t="str">
        <f>'Dairy Partners'!D29</f>
        <v>Phosphate Addition</v>
      </c>
      <c r="E1" s="38" t="str">
        <f>'Dairy Partners'!E29</f>
        <v>Potash  Addition</v>
      </c>
      <c r="F1" s="38" t="str">
        <f>'Dairy Partners'!F29</f>
        <v>Mg Oxide Addition</v>
      </c>
      <c r="G1" s="38" t="str">
        <f>'Dairy Partners'!G29</f>
        <v>Copper Addition</v>
      </c>
      <c r="H1" s="38" t="str">
        <f>'Dairy Partners'!H29</f>
        <v>Zinc Addition</v>
      </c>
      <c r="I1" s="38" t="str">
        <f>'Dairy Partners'!I29</f>
        <v>Lead Addition</v>
      </c>
      <c r="J1" s="38" t="str">
        <f>'Dairy Partners'!J29</f>
        <v>Cadmium Addition</v>
      </c>
      <c r="K1" s="38" t="str">
        <f>'Dairy Partners'!K29</f>
        <v>Mercury Addition</v>
      </c>
      <c r="L1" s="38" t="str">
        <f>'Dairy Partners'!L29</f>
        <v>Nickel Addition</v>
      </c>
      <c r="M1" s="38" t="str">
        <f>'Dairy Partners'!M29</f>
        <v>Chromium Addition</v>
      </c>
      <c r="N1" s="38" t="str">
        <f>'Dairy Partners'!N29</f>
        <v>Aluminium Addition</v>
      </c>
      <c r="O1" s="38" t="str">
        <f>'Dairy Partners'!O29</f>
        <v>Iron Addition</v>
      </c>
      <c r="P1" s="38" t="str">
        <f>'Dairy Partners'!P29</f>
        <v xml:space="preserve">Sodium Addition                 </v>
      </c>
      <c r="Q1" s="38" t="str">
        <f>'Dairy Partners'!Q29</f>
        <v>SO3  Addition                             kg/ha</v>
      </c>
      <c r="R1" s="38" t="str">
        <f>'Dairy Partners'!R29</f>
        <v xml:space="preserve">Selenium Addition </v>
      </c>
      <c r="S1" s="38" t="str">
        <f>'Dairy Partners'!S29</f>
        <v xml:space="preserve">Arsenic  Addition  </v>
      </c>
      <c r="T1" s="38" t="str">
        <f>'Dairy Partners'!T29</f>
        <v xml:space="preserve">Molybdenum Addition  </v>
      </c>
      <c r="U1" s="38" t="str">
        <f>'Dairy Partners'!U29</f>
        <v xml:space="preserve">Fluoride Addition </v>
      </c>
    </row>
    <row r="2" spans="1:21" ht="26.4" x14ac:dyDescent="0.25">
      <c r="A2" s="147"/>
      <c r="B2" s="38" t="str">
        <f>'Dairy Partners'!B30</f>
        <v>tonnes/ha</v>
      </c>
      <c r="C2" s="38" t="str">
        <f>'Dairy Partners'!C30</f>
        <v>kg/ha</v>
      </c>
      <c r="D2" s="38" t="str">
        <f>'Dairy Partners'!D30</f>
        <v>P2O5 
kg/ha</v>
      </c>
      <c r="E2" s="38" t="str">
        <f>'Dairy Partners'!E30</f>
        <v>K2O 
kg/ha</v>
      </c>
      <c r="F2" s="38" t="str">
        <f>'Dairy Partners'!F30</f>
        <v>MgO 
kg/ha</v>
      </c>
      <c r="G2" s="38" t="str">
        <f>'Dairy Partners'!G30</f>
        <v>kg/ha</v>
      </c>
      <c r="H2" s="38" t="str">
        <f>'Dairy Partners'!H30</f>
        <v>kg/ha</v>
      </c>
      <c r="I2" s="38" t="str">
        <f>'Dairy Partners'!I30</f>
        <v>kg/ha</v>
      </c>
      <c r="J2" s="38" t="str">
        <f>'Dairy Partners'!J30</f>
        <v>kg/ha</v>
      </c>
      <c r="K2" s="38" t="str">
        <f>'Dairy Partners'!K30</f>
        <v>kg/ha</v>
      </c>
      <c r="L2" s="38" t="str">
        <f>'Dairy Partners'!L30</f>
        <v>kg/ha</v>
      </c>
      <c r="M2" s="38" t="str">
        <f>'Dairy Partners'!M30</f>
        <v>kg/ha</v>
      </c>
      <c r="N2" s="38" t="str">
        <f>'Dairy Partners'!N30</f>
        <v>kg/ha</v>
      </c>
      <c r="O2" s="38" t="str">
        <f>'Dairy Partners'!O30</f>
        <v>kg/ha</v>
      </c>
      <c r="P2" s="38" t="str">
        <f>'Dairy Partners'!P30</f>
        <v>kg/ha</v>
      </c>
      <c r="Q2" s="38" t="str">
        <f>'Dairy Partners'!Q30</f>
        <v>kg/ha</v>
      </c>
      <c r="R2" s="38" t="str">
        <f>'Dairy Partners'!R30</f>
        <v>kg/ha</v>
      </c>
      <c r="S2" s="38" t="str">
        <f>'Dairy Partners'!S30</f>
        <v>kg/ha</v>
      </c>
      <c r="T2" s="38" t="str">
        <f>'Dairy Partners'!T30</f>
        <v>kg/ha</v>
      </c>
      <c r="U2" s="38" t="str">
        <f>'Dairy Partners'!U30</f>
        <v>kg/ha</v>
      </c>
    </row>
    <row r="3" spans="1:21" x14ac:dyDescent="0.25">
      <c r="A3" s="36">
        <v>1</v>
      </c>
      <c r="B3" s="33">
        <f>'Dairy Partners'!B31</f>
        <v>85</v>
      </c>
      <c r="C3" s="33">
        <f>'Dairy Partners'!C31</f>
        <v>161.5</v>
      </c>
      <c r="D3" s="33">
        <f>'Dairy Partners'!D31</f>
        <v>80.036085</v>
      </c>
      <c r="E3" s="33">
        <f>'Dairy Partners'!E31</f>
        <v>22.943200000000001</v>
      </c>
      <c r="F3" s="33">
        <f>'Dairy Partners'!F31</f>
        <v>5.7640369999999992</v>
      </c>
      <c r="G3" s="33">
        <f>'Dairy Partners'!G31</f>
        <v>1.7000000000000001E-2</v>
      </c>
      <c r="H3" s="33">
        <f>'Dairy Partners'!H31</f>
        <v>0.11219999999999999</v>
      </c>
      <c r="I3" s="33">
        <f>'Dairy Partners'!I31</f>
        <v>4.2500000000000003E-2</v>
      </c>
      <c r="J3" s="33">
        <f>'Dairy Partners'!J31</f>
        <v>8.5000000000000006E-4</v>
      </c>
      <c r="K3" s="33">
        <f>'Dairy Partners'!K31</f>
        <v>4.2500000000000003E-3</v>
      </c>
      <c r="L3" s="33">
        <f>'Dairy Partners'!L31</f>
        <v>1.7000000000000001E-2</v>
      </c>
      <c r="M3" s="33">
        <f>'Dairy Partners'!M31</f>
        <v>2.5499999999999998E-2</v>
      </c>
      <c r="N3" s="33">
        <f>'Dairy Partners'!N31</f>
        <v>0</v>
      </c>
      <c r="O3" s="33">
        <f>'Dairy Partners'!O31</f>
        <v>0</v>
      </c>
      <c r="P3" s="33">
        <f>'Dairy Partners'!P31</f>
        <v>28.815000000000001</v>
      </c>
      <c r="Q3" s="33">
        <f>'Dairy Partners'!Q31</f>
        <v>31.45</v>
      </c>
      <c r="R3" s="33">
        <f>'Dairy Partners'!R31</f>
        <v>0</v>
      </c>
      <c r="S3" s="33">
        <f>'Dairy Partners'!S31</f>
        <v>0</v>
      </c>
      <c r="T3" s="33">
        <f>'Dairy Partners'!T31</f>
        <v>0</v>
      </c>
      <c r="U3" s="33">
        <f>'Dairy Partners'!U31</f>
        <v>0</v>
      </c>
    </row>
    <row r="4" spans="1:21" x14ac:dyDescent="0.25">
      <c r="A4" s="36">
        <v>2</v>
      </c>
      <c r="B4" s="33">
        <f>Volac!B31</f>
        <v>27</v>
      </c>
      <c r="C4" s="33">
        <f>Volac!C31</f>
        <v>29.700000000000003</v>
      </c>
      <c r="D4" s="33">
        <f>Volac!D31</f>
        <v>54.186731999999999</v>
      </c>
      <c r="E4" s="33">
        <f>Volac!E31</f>
        <v>15.714405000000001</v>
      </c>
      <c r="F4" s="33">
        <f>Volac!F31</f>
        <v>2.6053812000000001</v>
      </c>
      <c r="G4" s="33">
        <f>Volac!G31</f>
        <v>5.4000000000000003E-3</v>
      </c>
      <c r="H4" s="33">
        <f>Volac!H31</f>
        <v>5.9940000000000007E-2</v>
      </c>
      <c r="I4" s="33">
        <f>Volac!I31</f>
        <v>1.35E-2</v>
      </c>
      <c r="J4" s="33">
        <f>Volac!J31</f>
        <v>2.7E-4</v>
      </c>
      <c r="K4" s="33">
        <f>Volac!K31</f>
        <v>1.3500000000000001E-3</v>
      </c>
      <c r="L4" s="33">
        <f>Volac!L31</f>
        <v>5.4000000000000003E-3</v>
      </c>
      <c r="M4" s="33">
        <f>Volac!M31</f>
        <v>6.4800000000000005E-3</v>
      </c>
      <c r="N4" s="33">
        <f>Volac!N31</f>
        <v>0</v>
      </c>
      <c r="O4" s="33">
        <f>Volac!O31</f>
        <v>0</v>
      </c>
      <c r="P4" s="33">
        <f>Volac!P31</f>
        <v>6.9390000000000001</v>
      </c>
      <c r="Q4" s="33">
        <f>Volac!Q31</f>
        <v>7.3574999999999999</v>
      </c>
      <c r="R4" s="33">
        <f>Volac!R31</f>
        <v>0</v>
      </c>
      <c r="S4" s="33">
        <f>Volac!S31</f>
        <v>0</v>
      </c>
      <c r="T4" s="33">
        <f>Volac!T31</f>
        <v>0</v>
      </c>
      <c r="U4" s="33">
        <f>Volac!U31</f>
        <v>0</v>
      </c>
    </row>
    <row r="5" spans="1:21" x14ac:dyDescent="0.25">
      <c r="A5" s="36">
        <v>3</v>
      </c>
      <c r="B5" s="33">
        <f>'First milk'!B31</f>
        <v>17</v>
      </c>
      <c r="C5" s="33">
        <f>'First milk'!C31</f>
        <v>42.5</v>
      </c>
      <c r="D5" s="33">
        <f>'First milk'!D31</f>
        <v>54.408958999999996</v>
      </c>
      <c r="E5" s="33">
        <f>'First milk'!E31</f>
        <v>9.5664949999999997</v>
      </c>
      <c r="F5" s="33">
        <f>'First milk'!F31</f>
        <v>1.6319693999999998</v>
      </c>
      <c r="G5" s="33">
        <f>'First milk'!G31</f>
        <v>3.9440000000000005E-3</v>
      </c>
      <c r="H5" s="33">
        <f>'First milk'!H31</f>
        <v>5.389E-2</v>
      </c>
      <c r="I5" s="33">
        <f>'First milk'!I31</f>
        <v>8.5000000000000006E-3</v>
      </c>
      <c r="J5" s="33">
        <f>'First milk'!J31</f>
        <v>1.7000000000000001E-4</v>
      </c>
      <c r="K5" s="33">
        <f>'First milk'!K31</f>
        <v>8.5000000000000006E-4</v>
      </c>
      <c r="L5" s="33">
        <f>'First milk'!L31</f>
        <v>3.4000000000000002E-3</v>
      </c>
      <c r="M5" s="33">
        <f>'First milk'!M31</f>
        <v>5.4229999999999999E-3</v>
      </c>
      <c r="N5" s="33">
        <f>'First milk'!N31</f>
        <v>0</v>
      </c>
      <c r="O5" s="33">
        <f>'First milk'!O31</f>
        <v>0</v>
      </c>
      <c r="P5" s="33">
        <f>'First milk'!P31</f>
        <v>19.260999999999999</v>
      </c>
      <c r="Q5" s="33">
        <f>'First milk'!Q31</f>
        <v>7.0125000000000002</v>
      </c>
      <c r="R5" s="33">
        <f>'First milk'!R31</f>
        <v>0</v>
      </c>
      <c r="S5" s="33">
        <f>'First milk'!S31</f>
        <v>0</v>
      </c>
      <c r="T5" s="33">
        <f>'First milk'!T31</f>
        <v>0</v>
      </c>
      <c r="U5" s="33">
        <f>'First milk'!U31</f>
        <v>0</v>
      </c>
    </row>
    <row r="6" spans="1:21" x14ac:dyDescent="0.25">
      <c r="A6" s="36">
        <v>4</v>
      </c>
      <c r="B6" s="33"/>
      <c r="C6" s="33"/>
      <c r="D6" s="33"/>
      <c r="E6" s="33"/>
      <c r="F6" s="33"/>
      <c r="G6" s="33"/>
      <c r="H6" s="33"/>
      <c r="I6" s="33"/>
      <c r="J6" s="33"/>
      <c r="K6" s="33"/>
      <c r="L6" s="33"/>
      <c r="M6" s="33"/>
      <c r="N6" s="33"/>
      <c r="O6" s="33"/>
      <c r="P6" s="33"/>
      <c r="Q6" s="33"/>
      <c r="R6" s="33"/>
      <c r="S6" s="33"/>
      <c r="T6" s="33"/>
      <c r="U6" s="33"/>
    </row>
    <row r="7" spans="1:21" x14ac:dyDescent="0.25">
      <c r="A7" s="36">
        <v>5</v>
      </c>
      <c r="B7" s="33"/>
      <c r="C7" s="33"/>
      <c r="D7" s="33"/>
      <c r="E7" s="33"/>
      <c r="F7" s="33"/>
      <c r="G7" s="33"/>
      <c r="H7" s="33"/>
      <c r="I7" s="33"/>
      <c r="J7" s="33"/>
      <c r="K7" s="33"/>
      <c r="L7" s="33"/>
      <c r="M7" s="33"/>
      <c r="N7" s="33"/>
      <c r="O7" s="33"/>
      <c r="P7" s="33"/>
      <c r="Q7" s="33"/>
      <c r="R7" s="33"/>
      <c r="S7" s="33"/>
      <c r="T7" s="33"/>
      <c r="U7" s="33"/>
    </row>
    <row r="8" spans="1:21" x14ac:dyDescent="0.25">
      <c r="A8" s="36">
        <v>6</v>
      </c>
      <c r="B8" s="33"/>
      <c r="C8" s="33"/>
      <c r="D8" s="33"/>
      <c r="E8" s="33"/>
      <c r="F8" s="33"/>
      <c r="G8" s="33"/>
      <c r="H8" s="33"/>
      <c r="I8" s="33"/>
      <c r="J8" s="33"/>
      <c r="K8" s="33"/>
      <c r="L8" s="33"/>
      <c r="M8" s="33"/>
      <c r="N8" s="33"/>
      <c r="O8" s="33"/>
      <c r="P8" s="33"/>
      <c r="Q8" s="33"/>
      <c r="R8" s="33"/>
      <c r="S8" s="33"/>
      <c r="T8" s="33"/>
      <c r="U8" s="33"/>
    </row>
    <row r="9" spans="1:21" x14ac:dyDescent="0.25">
      <c r="A9" s="36">
        <v>7</v>
      </c>
      <c r="B9" s="33"/>
      <c r="C9" s="33"/>
      <c r="D9" s="33"/>
      <c r="E9" s="33"/>
      <c r="F9" s="33"/>
      <c r="G9" s="33"/>
      <c r="H9" s="33"/>
      <c r="I9" s="33"/>
      <c r="J9" s="33"/>
      <c r="K9" s="33"/>
      <c r="L9" s="33"/>
      <c r="M9" s="33"/>
      <c r="N9" s="33"/>
      <c r="O9" s="33"/>
      <c r="P9" s="33"/>
      <c r="Q9" s="33"/>
      <c r="R9" s="33"/>
      <c r="S9" s="33"/>
      <c r="T9" s="33"/>
      <c r="U9" s="33"/>
    </row>
    <row r="10" spans="1:21" x14ac:dyDescent="0.25">
      <c r="A10" s="36">
        <v>8</v>
      </c>
      <c r="B10" s="33"/>
      <c r="C10" s="33"/>
      <c r="D10" s="33"/>
      <c r="E10" s="33"/>
      <c r="F10" s="33"/>
      <c r="G10" s="33"/>
      <c r="H10" s="33"/>
      <c r="I10" s="33"/>
      <c r="J10" s="33"/>
      <c r="K10" s="33"/>
      <c r="L10" s="33"/>
      <c r="M10" s="33"/>
      <c r="N10" s="33"/>
      <c r="O10" s="33"/>
      <c r="P10" s="33"/>
      <c r="Q10" s="33"/>
      <c r="R10" s="33"/>
      <c r="S10" s="33"/>
      <c r="T10" s="33"/>
      <c r="U10" s="33"/>
    </row>
    <row r="11" spans="1:21" x14ac:dyDescent="0.25">
      <c r="A11" s="36">
        <v>9</v>
      </c>
      <c r="B11" s="33"/>
      <c r="C11" s="33"/>
      <c r="D11" s="33"/>
      <c r="E11" s="33"/>
      <c r="F11" s="33"/>
      <c r="G11" s="33"/>
      <c r="H11" s="33"/>
      <c r="I11" s="33"/>
      <c r="J11" s="33"/>
      <c r="K11" s="33"/>
      <c r="L11" s="33"/>
      <c r="M11" s="33"/>
      <c r="N11" s="33"/>
      <c r="O11" s="33"/>
      <c r="P11" s="33"/>
      <c r="Q11" s="33"/>
      <c r="R11" s="33"/>
      <c r="S11" s="33"/>
      <c r="T11" s="33"/>
      <c r="U11" s="33"/>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6" x14ac:dyDescent="0.3">
      <c r="A13" s="80" t="s">
        <v>85</v>
      </c>
      <c r="B13" s="81">
        <f>SUM(B3:B12)</f>
        <v>129</v>
      </c>
      <c r="C13" s="81">
        <f t="shared" ref="C13:U13" si="0">SUM(C3:C12)</f>
        <v>233.7</v>
      </c>
      <c r="D13" s="81">
        <f t="shared" si="0"/>
        <v>188.631776</v>
      </c>
      <c r="E13" s="81">
        <f t="shared" si="0"/>
        <v>48.224100000000007</v>
      </c>
      <c r="F13" s="81">
        <f t="shared" si="0"/>
        <v>10.001387599999997</v>
      </c>
      <c r="G13" s="81">
        <f t="shared" si="0"/>
        <v>2.6344000000000003E-2</v>
      </c>
      <c r="H13" s="81">
        <f t="shared" si="0"/>
        <v>0.22603000000000001</v>
      </c>
      <c r="I13" s="81">
        <f t="shared" si="0"/>
        <v>6.4500000000000002E-2</v>
      </c>
      <c r="J13" s="81">
        <f t="shared" si="0"/>
        <v>1.2900000000000001E-3</v>
      </c>
      <c r="K13" s="81">
        <f t="shared" si="0"/>
        <v>6.4500000000000009E-3</v>
      </c>
      <c r="L13" s="81">
        <f t="shared" si="0"/>
        <v>2.5800000000000003E-2</v>
      </c>
      <c r="M13" s="81">
        <f t="shared" si="0"/>
        <v>3.7402999999999999E-2</v>
      </c>
      <c r="N13" s="81">
        <f t="shared" si="0"/>
        <v>0</v>
      </c>
      <c r="O13" s="81">
        <f t="shared" si="0"/>
        <v>0</v>
      </c>
      <c r="P13" s="81">
        <f t="shared" si="0"/>
        <v>55.015000000000001</v>
      </c>
      <c r="Q13" s="81">
        <f t="shared" si="0"/>
        <v>45.82</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F22" sqref="F22"/>
    </sheetView>
  </sheetViews>
  <sheetFormatPr defaultColWidth="9.109375" defaultRowHeight="13.2" x14ac:dyDescent="0.25"/>
  <cols>
    <col min="1" max="2" width="9.109375" style="79"/>
    <col min="3" max="3" width="11" style="79" customWidth="1"/>
    <col min="4" max="4" width="9.109375" style="79"/>
    <col min="5" max="5" width="9.6640625" style="79" customWidth="1"/>
    <col min="6" max="14" width="9.109375" style="79"/>
    <col min="15" max="15" width="9.6640625" style="79" bestFit="1" customWidth="1"/>
    <col min="16" max="20" width="9.109375" style="79"/>
    <col min="21" max="21" width="10" style="79" bestFit="1" customWidth="1"/>
    <col min="22" max="16384" width="9.109375" style="79"/>
  </cols>
  <sheetData>
    <row r="1" spans="1:22" s="83" customFormat="1" ht="39.6" x14ac:dyDescent="0.3">
      <c r="A1" s="148" t="s">
        <v>84</v>
      </c>
      <c r="B1" s="34" t="s">
        <v>152</v>
      </c>
      <c r="C1" s="35" t="str">
        <f>'Dairy Partners'!B29</f>
        <v>Application Rate</v>
      </c>
      <c r="D1" s="35" t="str">
        <f>'Dairy Partners'!C29</f>
        <v>Nitrogen Addition</v>
      </c>
      <c r="E1" s="35" t="str">
        <f>'Dairy Partners'!D29</f>
        <v>Phosphate Addition</v>
      </c>
      <c r="F1" s="35" t="str">
        <f>'Dairy Partners'!E29</f>
        <v>Potash  Addition</v>
      </c>
      <c r="G1" s="35" t="str">
        <f>'Dairy Partners'!F29</f>
        <v>Mg Oxide Addition</v>
      </c>
      <c r="H1" s="35" t="str">
        <f>'Dairy Partners'!G29</f>
        <v>Copper Addition</v>
      </c>
      <c r="I1" s="35" t="str">
        <f>'Dairy Partners'!H29</f>
        <v>Zinc Addition</v>
      </c>
      <c r="J1" s="35" t="str">
        <f>'Dairy Partners'!I29</f>
        <v>Lead Addition</v>
      </c>
      <c r="K1" s="35" t="str">
        <f>'Dairy Partners'!J29</f>
        <v>Cadmium Addition</v>
      </c>
      <c r="L1" s="35" t="str">
        <f>'Dairy Partners'!K29</f>
        <v>Mercury Addition</v>
      </c>
      <c r="M1" s="35" t="str">
        <f>'Dairy Partners'!L29</f>
        <v>Nickel Addition</v>
      </c>
      <c r="N1" s="35" t="str">
        <f>'Dairy Partners'!M29</f>
        <v>Chromium Addition</v>
      </c>
      <c r="O1" s="35" t="str">
        <f>'Dairy Partners'!N29</f>
        <v>Aluminium Addition</v>
      </c>
      <c r="P1" s="35" t="str">
        <f>'Dairy Partners'!O29</f>
        <v>Iron Addition</v>
      </c>
      <c r="Q1" s="35" t="str">
        <f>'Dairy Partners'!P29</f>
        <v xml:space="preserve">Sodium Addition                 </v>
      </c>
      <c r="R1" s="35" t="str">
        <f>'Dairy Partners'!Q29</f>
        <v>SO3  Addition                             kg/ha</v>
      </c>
      <c r="S1" s="35" t="str">
        <f>'Dairy Partners'!R29</f>
        <v xml:space="preserve">Selenium Addition </v>
      </c>
      <c r="T1" s="35" t="str">
        <f>'Dairy Partners'!S29</f>
        <v xml:space="preserve">Arsenic  Addition  </v>
      </c>
      <c r="U1" s="35" t="str">
        <f>'Dairy Partners'!T29</f>
        <v xml:space="preserve">Molybdenum Addition  </v>
      </c>
      <c r="V1" s="35" t="str">
        <f>'Dairy Partners'!U29</f>
        <v xml:space="preserve">Fluoride Addition </v>
      </c>
    </row>
    <row r="2" spans="1:22" s="83" customFormat="1" ht="26.4" x14ac:dyDescent="0.3">
      <c r="A2" s="148"/>
      <c r="B2" s="32" t="s">
        <v>46</v>
      </c>
      <c r="C2" s="35" t="str">
        <f>'Dairy Partners'!B30</f>
        <v>tonnes/ha</v>
      </c>
      <c r="D2" s="35" t="str">
        <f>'Dairy Partners'!C30</f>
        <v>kg/ha</v>
      </c>
      <c r="E2" s="35" t="str">
        <f>'Dairy Partners'!D30</f>
        <v>P2O5 
kg/ha</v>
      </c>
      <c r="F2" s="35" t="str">
        <f>'Dairy Partners'!E30</f>
        <v>K2O 
kg/ha</v>
      </c>
      <c r="G2" s="35" t="str">
        <f>'Dairy Partners'!F30</f>
        <v>MgO 
kg/ha</v>
      </c>
      <c r="H2" s="35" t="str">
        <f>'Dairy Partners'!G30</f>
        <v>kg/ha</v>
      </c>
      <c r="I2" s="35" t="str">
        <f>'Dairy Partners'!H30</f>
        <v>kg/ha</v>
      </c>
      <c r="J2" s="35" t="str">
        <f>'Dairy Partners'!I30</f>
        <v>kg/ha</v>
      </c>
      <c r="K2" s="35" t="str">
        <f>'Dairy Partners'!J30</f>
        <v>kg/ha</v>
      </c>
      <c r="L2" s="35" t="str">
        <f>'Dairy Partners'!K30</f>
        <v>kg/ha</v>
      </c>
      <c r="M2" s="35" t="str">
        <f>'Dairy Partners'!L30</f>
        <v>kg/ha</v>
      </c>
      <c r="N2" s="35" t="str">
        <f>'Dairy Partners'!M30</f>
        <v>kg/ha</v>
      </c>
      <c r="O2" s="35" t="str">
        <f>'Dairy Partners'!N30</f>
        <v>kg/ha</v>
      </c>
      <c r="P2" s="35" t="str">
        <f>'Dairy Partners'!O30</f>
        <v>kg/ha</v>
      </c>
      <c r="Q2" s="35" t="str">
        <f>'Dairy Partners'!P30</f>
        <v>kg/ha</v>
      </c>
      <c r="R2" s="35" t="str">
        <f>'Dairy Partners'!Q30</f>
        <v>kg/ha</v>
      </c>
      <c r="S2" s="35" t="str">
        <f>'Dairy Partners'!R30</f>
        <v>kg/ha</v>
      </c>
      <c r="T2" s="35" t="str">
        <f>'Dairy Partners'!S30</f>
        <v>kg/ha</v>
      </c>
      <c r="U2" s="35" t="str">
        <f>'Dairy Partners'!T30</f>
        <v>kg/ha</v>
      </c>
      <c r="V2" s="35" t="str">
        <f>'Dairy Partners'!U30</f>
        <v>kg/ha</v>
      </c>
    </row>
    <row r="3" spans="1:22" x14ac:dyDescent="0.25">
      <c r="A3" s="36">
        <v>1</v>
      </c>
      <c r="B3" s="91"/>
      <c r="C3" s="33">
        <f>'Dairy Partners'!B31</f>
        <v>85</v>
      </c>
      <c r="D3" s="33">
        <f>'Dairy Partners'!C31</f>
        <v>161.5</v>
      </c>
      <c r="E3" s="33">
        <f>'Dairy Partners'!D31</f>
        <v>80.036085</v>
      </c>
      <c r="F3" s="33">
        <f>'Dairy Partners'!E31</f>
        <v>22.943200000000001</v>
      </c>
      <c r="G3" s="33">
        <f>'Dairy Partners'!F31</f>
        <v>5.7640369999999992</v>
      </c>
      <c r="H3" s="33">
        <f>'Dairy Partners'!G31</f>
        <v>1.7000000000000001E-2</v>
      </c>
      <c r="I3" s="33">
        <f>'Dairy Partners'!H31</f>
        <v>0.11219999999999999</v>
      </c>
      <c r="J3" s="33">
        <f>'Dairy Partners'!I31</f>
        <v>4.2500000000000003E-2</v>
      </c>
      <c r="K3" s="33">
        <f>'Dairy Partners'!J31</f>
        <v>8.5000000000000006E-4</v>
      </c>
      <c r="L3" s="33">
        <f>'Dairy Partners'!K31</f>
        <v>4.2500000000000003E-3</v>
      </c>
      <c r="M3" s="33">
        <f>'Dairy Partners'!L31</f>
        <v>1.7000000000000001E-2</v>
      </c>
      <c r="N3" s="33">
        <f>'Dairy Partners'!M31</f>
        <v>2.5499999999999998E-2</v>
      </c>
      <c r="O3" s="33">
        <f>'Dairy Partners'!N31</f>
        <v>0</v>
      </c>
      <c r="P3" s="33">
        <f>'Dairy Partners'!O31</f>
        <v>0</v>
      </c>
      <c r="Q3" s="33">
        <f>'Dairy Partners'!P31</f>
        <v>28.815000000000001</v>
      </c>
      <c r="R3" s="33">
        <f>'Dairy Partners'!Q31</f>
        <v>31.45</v>
      </c>
      <c r="S3" s="33">
        <f>'Dairy Partners'!R31</f>
        <v>0</v>
      </c>
      <c r="T3" s="33">
        <f>'Dairy Partners'!S31</f>
        <v>0</v>
      </c>
      <c r="U3" s="33">
        <f>'Dairy Partners'!T31</f>
        <v>0</v>
      </c>
      <c r="V3" s="33">
        <f>'Dairy Partners'!U31</f>
        <v>0</v>
      </c>
    </row>
    <row r="4" spans="1:22" x14ac:dyDescent="0.25">
      <c r="A4" s="36">
        <v>2</v>
      </c>
      <c r="B4" s="91"/>
      <c r="C4" s="33">
        <f>Volac!B31</f>
        <v>27</v>
      </c>
      <c r="D4" s="33">
        <f>Volac!C31</f>
        <v>29.700000000000003</v>
      </c>
      <c r="E4" s="33">
        <f>Volac!D31</f>
        <v>54.186731999999999</v>
      </c>
      <c r="F4" s="33">
        <f>Volac!E31</f>
        <v>15.714405000000001</v>
      </c>
      <c r="G4" s="33">
        <f>Volac!F31</f>
        <v>2.6053812000000001</v>
      </c>
      <c r="H4" s="33">
        <f>Volac!G31</f>
        <v>5.4000000000000003E-3</v>
      </c>
      <c r="I4" s="33">
        <f>Volac!H31</f>
        <v>5.9940000000000007E-2</v>
      </c>
      <c r="J4" s="33">
        <f>Volac!I31</f>
        <v>1.35E-2</v>
      </c>
      <c r="K4" s="33">
        <f>Volac!J31</f>
        <v>2.7E-4</v>
      </c>
      <c r="L4" s="33">
        <f>Volac!K31</f>
        <v>1.3500000000000001E-3</v>
      </c>
      <c r="M4" s="33">
        <f>Volac!L31</f>
        <v>5.4000000000000003E-3</v>
      </c>
      <c r="N4" s="33">
        <f>Volac!M31</f>
        <v>6.4800000000000005E-3</v>
      </c>
      <c r="O4" s="33">
        <f>Volac!N31</f>
        <v>0</v>
      </c>
      <c r="P4" s="33">
        <f>Volac!O31</f>
        <v>0</v>
      </c>
      <c r="Q4" s="33">
        <f>Volac!P31</f>
        <v>6.9390000000000001</v>
      </c>
      <c r="R4" s="33">
        <f>Volac!Q31</f>
        <v>7.3574999999999999</v>
      </c>
      <c r="S4" s="33">
        <f>Volac!R31</f>
        <v>0</v>
      </c>
      <c r="T4" s="33">
        <f>Volac!S31</f>
        <v>0</v>
      </c>
      <c r="U4" s="33">
        <f>Volac!T31</f>
        <v>0</v>
      </c>
      <c r="V4" s="33">
        <f>Volac!U31</f>
        <v>0</v>
      </c>
    </row>
    <row r="5" spans="1:22" x14ac:dyDescent="0.25">
      <c r="A5" s="36">
        <v>3</v>
      </c>
      <c r="B5" s="91"/>
      <c r="C5" s="33">
        <f>'First milk'!B31</f>
        <v>17</v>
      </c>
      <c r="D5" s="33">
        <f>'First milk'!C31</f>
        <v>42.5</v>
      </c>
      <c r="E5" s="33">
        <f>'First milk'!D31</f>
        <v>54.408958999999996</v>
      </c>
      <c r="F5" s="33">
        <f>'First milk'!E31</f>
        <v>9.5664949999999997</v>
      </c>
      <c r="G5" s="33">
        <f>'First milk'!F31</f>
        <v>1.6319693999999998</v>
      </c>
      <c r="H5" s="33">
        <f>'First milk'!G31</f>
        <v>3.9440000000000005E-3</v>
      </c>
      <c r="I5" s="33">
        <f>'First milk'!H31</f>
        <v>5.389E-2</v>
      </c>
      <c r="J5" s="33">
        <f>'First milk'!I31</f>
        <v>8.5000000000000006E-3</v>
      </c>
      <c r="K5" s="33">
        <f>'First milk'!J31</f>
        <v>1.7000000000000001E-4</v>
      </c>
      <c r="L5" s="33">
        <f>'First milk'!K31</f>
        <v>8.5000000000000006E-4</v>
      </c>
      <c r="M5" s="33">
        <f>'First milk'!L31</f>
        <v>3.4000000000000002E-3</v>
      </c>
      <c r="N5" s="33">
        <f>'First milk'!M31</f>
        <v>5.4229999999999999E-3</v>
      </c>
      <c r="O5" s="33">
        <f>'First milk'!N31</f>
        <v>0</v>
      </c>
      <c r="P5" s="33">
        <f>'First milk'!O31</f>
        <v>0</v>
      </c>
      <c r="Q5" s="33">
        <f>'First milk'!P31</f>
        <v>19.260999999999999</v>
      </c>
      <c r="R5" s="33">
        <f>'First milk'!Q31</f>
        <v>7.0125000000000002</v>
      </c>
      <c r="S5" s="33">
        <f>'First milk'!R31</f>
        <v>0</v>
      </c>
      <c r="T5" s="33">
        <f>'First milk'!S31</f>
        <v>0</v>
      </c>
      <c r="U5" s="33">
        <f>'First milk'!T31</f>
        <v>0</v>
      </c>
      <c r="V5" s="33">
        <f>'First milk'!U31</f>
        <v>0</v>
      </c>
    </row>
    <row r="6" spans="1:22" x14ac:dyDescent="0.25">
      <c r="A6" s="36">
        <v>4</v>
      </c>
      <c r="B6" s="91"/>
      <c r="C6" s="33"/>
      <c r="D6" s="33"/>
      <c r="E6" s="33"/>
      <c r="F6" s="33"/>
      <c r="G6" s="33"/>
      <c r="H6" s="33"/>
      <c r="I6" s="33"/>
      <c r="J6" s="33"/>
      <c r="K6" s="33"/>
      <c r="L6" s="33"/>
      <c r="M6" s="33"/>
      <c r="N6" s="33"/>
      <c r="O6" s="33"/>
      <c r="P6" s="33"/>
      <c r="Q6" s="33"/>
      <c r="R6" s="33"/>
      <c r="S6" s="33"/>
      <c r="T6" s="33"/>
      <c r="U6" s="33"/>
      <c r="V6" s="33"/>
    </row>
    <row r="7" spans="1:22" x14ac:dyDescent="0.25">
      <c r="A7" s="36">
        <v>5</v>
      </c>
      <c r="B7" s="91"/>
      <c r="C7" s="33"/>
      <c r="D7" s="33"/>
      <c r="E7" s="33"/>
      <c r="F7" s="33"/>
      <c r="G7" s="33"/>
      <c r="H7" s="33"/>
      <c r="I7" s="33"/>
      <c r="J7" s="33"/>
      <c r="K7" s="33"/>
      <c r="L7" s="33"/>
      <c r="M7" s="33"/>
      <c r="N7" s="33"/>
      <c r="O7" s="33"/>
      <c r="P7" s="33"/>
      <c r="Q7" s="33"/>
      <c r="R7" s="33"/>
      <c r="S7" s="33"/>
      <c r="T7" s="33"/>
      <c r="U7" s="33"/>
      <c r="V7" s="33"/>
    </row>
    <row r="8" spans="1:22" x14ac:dyDescent="0.25">
      <c r="A8" s="36">
        <v>6</v>
      </c>
      <c r="B8" s="91"/>
      <c r="C8" s="33"/>
      <c r="D8" s="33"/>
      <c r="E8" s="33"/>
      <c r="F8" s="33"/>
      <c r="G8" s="33"/>
      <c r="H8" s="33"/>
      <c r="I8" s="33"/>
      <c r="J8" s="33"/>
      <c r="K8" s="33"/>
      <c r="L8" s="33"/>
      <c r="M8" s="33"/>
      <c r="N8" s="33"/>
      <c r="O8" s="33"/>
      <c r="P8" s="33"/>
      <c r="Q8" s="33"/>
      <c r="R8" s="33"/>
      <c r="S8" s="33"/>
      <c r="T8" s="33"/>
      <c r="U8" s="33"/>
      <c r="V8" s="33"/>
    </row>
    <row r="9" spans="1:22" x14ac:dyDescent="0.25">
      <c r="A9" s="36">
        <v>7</v>
      </c>
      <c r="B9" s="91"/>
      <c r="C9" s="33"/>
      <c r="D9" s="33"/>
      <c r="E9" s="33"/>
      <c r="F9" s="33"/>
      <c r="G9" s="33"/>
      <c r="H9" s="33"/>
      <c r="I9" s="33"/>
      <c r="J9" s="33"/>
      <c r="K9" s="33"/>
      <c r="L9" s="33"/>
      <c r="M9" s="33"/>
      <c r="N9" s="33"/>
      <c r="O9" s="33"/>
      <c r="P9" s="33"/>
      <c r="Q9" s="33"/>
      <c r="R9" s="33"/>
      <c r="S9" s="33"/>
      <c r="T9" s="33"/>
      <c r="U9" s="33"/>
      <c r="V9" s="33"/>
    </row>
    <row r="10" spans="1:22" x14ac:dyDescent="0.25">
      <c r="A10" s="36">
        <v>8</v>
      </c>
      <c r="B10" s="91"/>
      <c r="C10" s="33"/>
      <c r="D10" s="33"/>
      <c r="E10" s="33"/>
      <c r="F10" s="33"/>
      <c r="G10" s="33"/>
      <c r="H10" s="33"/>
      <c r="I10" s="33"/>
      <c r="J10" s="33"/>
      <c r="K10" s="33"/>
      <c r="L10" s="33"/>
      <c r="M10" s="33"/>
      <c r="N10" s="33"/>
      <c r="O10" s="33"/>
      <c r="P10" s="33"/>
      <c r="Q10" s="33"/>
      <c r="R10" s="33"/>
      <c r="S10" s="33"/>
      <c r="T10" s="33"/>
      <c r="U10" s="33"/>
      <c r="V10" s="33"/>
    </row>
    <row r="11" spans="1:22" x14ac:dyDescent="0.25">
      <c r="A11" s="36">
        <v>9</v>
      </c>
      <c r="B11" s="91"/>
      <c r="C11" s="33"/>
      <c r="D11" s="33"/>
      <c r="E11" s="33"/>
      <c r="F11" s="33"/>
      <c r="G11" s="33"/>
      <c r="H11" s="33"/>
      <c r="I11" s="33"/>
      <c r="J11" s="33"/>
      <c r="K11" s="33"/>
      <c r="L11" s="33"/>
      <c r="M11" s="33"/>
      <c r="N11" s="33"/>
      <c r="O11" s="33"/>
      <c r="P11" s="33"/>
      <c r="Q11" s="33"/>
      <c r="R11" s="33"/>
      <c r="S11" s="33"/>
      <c r="T11" s="33"/>
      <c r="U11" s="33"/>
      <c r="V11" s="33"/>
    </row>
    <row r="12" spans="1:22" x14ac:dyDescent="0.25">
      <c r="A12" s="36">
        <v>10</v>
      </c>
      <c r="B12" s="91"/>
      <c r="C12" s="33"/>
      <c r="D12" s="33"/>
      <c r="E12" s="33"/>
      <c r="F12" s="33"/>
      <c r="G12" s="33"/>
      <c r="H12" s="33"/>
      <c r="I12" s="33"/>
      <c r="J12" s="33"/>
      <c r="K12" s="33"/>
      <c r="L12" s="33"/>
      <c r="M12" s="33"/>
      <c r="N12" s="33"/>
      <c r="O12" s="33"/>
      <c r="P12" s="33"/>
      <c r="Q12" s="33"/>
      <c r="R12" s="33"/>
      <c r="S12" s="33"/>
      <c r="T12" s="33"/>
      <c r="U12" s="33"/>
      <c r="V12" s="33"/>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7" t="s">
        <v>84</v>
      </c>
      <c r="B15" s="35" t="s">
        <v>152</v>
      </c>
      <c r="C15" s="35">
        <f>'Dairy Partners'!B43</f>
        <v>41</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7"/>
      <c r="B16" s="32" t="s">
        <v>46</v>
      </c>
      <c r="C16" s="35">
        <f>'Dairy Partners'!B44</f>
        <v>41</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85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27</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17</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6" x14ac:dyDescent="0.3">
      <c r="A27" s="149" t="s">
        <v>85</v>
      </c>
      <c r="B27" s="149"/>
      <c r="C27" s="149"/>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1" ma:contentTypeDescription="Permitting &amp; Compliance Word Document" ma:contentTypeScope="" ma:versionID="3d1b258d1827d218d2a9abfe27e990d8">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4aab4209057fb04725d201500bf0bb7f"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REGU-195-6519723</_dlc_DocId>
    <_dlc_DocIdUrl xmlns="9be56660-2c31-41ef-bc00-23e72f632f2a">
      <Url>https://cyfoethnaturiolcymru.sharepoint.com/teams/Regulatory/Permitting/_layouts/15/DocIdRedir.aspx?ID=REGU-195-6519723</Url>
      <Description>REGU-195-6519723</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2023-10-24T23:00:00+00:00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0E580BD3-7F23-4312-93FA-6CBCC532C198}"/>
</file>

<file path=customXml/itemProps4.xml><?xml version="1.0" encoding="utf-8"?>
<ds:datastoreItem xmlns:ds="http://schemas.openxmlformats.org/officeDocument/2006/customXml" ds:itemID="{12A0DF05-15E4-4020-9019-80EA372C3AFF}"/>
</file>

<file path=customXml/itemProps5.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Dairy Partners</vt:lpstr>
      <vt:lpstr>Volac</vt:lpstr>
      <vt:lpstr>First milk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2023-10-25T12:53:47Z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034ef42d-b95f-4915-8eef-f77c216c1261</vt:lpwstr>
  </property>
  <property fmtid="{D5CDD505-2E9C-101B-9397-08002B2CF9AE}" pid="4" name="MediaServiceImageTags">
    <vt:lpwstr/>
  </property>
</Properties>
</file>