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3141/"/>
    </mc:Choice>
  </mc:AlternateContent>
  <xr:revisionPtr revIDLastSave="0" documentId="13_ncr:1_{35BE777C-190E-44BA-8037-371701CF0C2E}" xr6:coauthVersionLast="47" xr6:coauthVersionMax="47"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M65" i="1" l="1"/>
  <c r="N65" i="1"/>
  <c r="O65" i="1"/>
  <c r="P65" i="1"/>
  <c r="Q65" i="1"/>
  <c r="R65" i="1"/>
  <c r="S65" i="1"/>
  <c r="T65" i="1"/>
  <c r="U65" i="1"/>
  <c r="M65" i="21"/>
  <c r="N65" i="21"/>
  <c r="O65" i="21"/>
  <c r="P65" i="21"/>
  <c r="Q65" i="21"/>
  <c r="R65" i="21"/>
  <c r="S65" i="21"/>
  <c r="T65" i="21"/>
  <c r="U65" i="21"/>
  <c r="M65" i="27"/>
  <c r="N65" i="27"/>
  <c r="O65" i="27"/>
  <c r="P65" i="27"/>
  <c r="Q65" i="27"/>
  <c r="R65" i="27"/>
  <c r="S65" i="27"/>
  <c r="T65" i="27"/>
  <c r="U65" i="27"/>
  <c r="M65" i="28"/>
  <c r="N65" i="28"/>
  <c r="O65" i="28"/>
  <c r="P65" i="28"/>
  <c r="Q65" i="28"/>
  <c r="R65" i="28"/>
  <c r="S65" i="28"/>
  <c r="T65" i="28"/>
  <c r="U65" i="28"/>
  <c r="M65" i="30"/>
  <c r="N65" i="30"/>
  <c r="O65" i="30"/>
  <c r="P65" i="30"/>
  <c r="Q65" i="30"/>
  <c r="R65" i="30"/>
  <c r="S65" i="30"/>
  <c r="T65" i="30"/>
  <c r="U65" i="30"/>
  <c r="M65" i="26"/>
  <c r="N65" i="26"/>
  <c r="O65" i="26"/>
  <c r="P65" i="26"/>
  <c r="Q65" i="26"/>
  <c r="R65" i="26"/>
  <c r="S65" i="26"/>
  <c r="T65" i="26"/>
  <c r="U65" i="26"/>
  <c r="M65" i="24"/>
  <c r="N65" i="24"/>
  <c r="O65" i="24"/>
  <c r="P65" i="24"/>
  <c r="Q65" i="24"/>
  <c r="R65" i="24"/>
  <c r="S65" i="24"/>
  <c r="T65" i="24"/>
  <c r="U65" i="24"/>
  <c r="M65" i="29"/>
  <c r="N65" i="29"/>
  <c r="O65" i="29"/>
  <c r="P65" i="29"/>
  <c r="Q65" i="29"/>
  <c r="R65" i="29"/>
  <c r="S65" i="29"/>
  <c r="T65" i="29"/>
  <c r="U65" i="29"/>
  <c r="M65" i="23"/>
  <c r="N65" i="23"/>
  <c r="O65" i="23"/>
  <c r="P65" i="23"/>
  <c r="Q65" i="23"/>
  <c r="R65" i="23"/>
  <c r="S65" i="23"/>
  <c r="T65" i="23"/>
  <c r="U65" i="23"/>
  <c r="M65" i="22"/>
  <c r="N65" i="22"/>
  <c r="O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T6" i="19"/>
  <c r="T20" i="19" s="1"/>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I24" i="30"/>
  <c r="H24" i="30"/>
  <c r="G24" i="30"/>
  <c r="F24" i="30"/>
  <c r="E24" i="30"/>
  <c r="D24" i="30"/>
  <c r="V22" i="30"/>
  <c r="U22" i="30"/>
  <c r="S22" i="30"/>
  <c r="Q22" i="30"/>
  <c r="N22" i="30"/>
  <c r="M22" i="30"/>
  <c r="K22" i="30"/>
  <c r="I22" i="30"/>
  <c r="E22" i="30"/>
  <c r="V20" i="30"/>
  <c r="U20" i="30"/>
  <c r="T20" i="30"/>
  <c r="S20" i="30"/>
  <c r="R20" i="30"/>
  <c r="Q20" i="30"/>
  <c r="P20" i="30"/>
  <c r="O20" i="30"/>
  <c r="N20" i="30"/>
  <c r="M20" i="30"/>
  <c r="L20" i="30"/>
  <c r="K20" i="30"/>
  <c r="J20" i="30"/>
  <c r="I20" i="30"/>
  <c r="H20" i="30"/>
  <c r="G20" i="30"/>
  <c r="F20" i="30"/>
  <c r="E20" i="30"/>
  <c r="D20" i="30"/>
  <c r="V18" i="30"/>
  <c r="T18" i="30"/>
  <c r="Q18" i="30"/>
  <c r="P18" i="30"/>
  <c r="N18" i="30"/>
  <c r="J18" i="30"/>
  <c r="I18" i="30"/>
  <c r="H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I24" i="28"/>
  <c r="H24" i="28"/>
  <c r="G24" i="28"/>
  <c r="F24" i="28"/>
  <c r="E24" i="28"/>
  <c r="U22" i="28"/>
  <c r="O22" i="28"/>
  <c r="M22" i="28"/>
  <c r="V20" i="28"/>
  <c r="U20" i="28"/>
  <c r="T20" i="28"/>
  <c r="S20" i="28"/>
  <c r="R20" i="28"/>
  <c r="Q20" i="28"/>
  <c r="P20" i="28"/>
  <c r="O20" i="28"/>
  <c r="N20" i="28"/>
  <c r="M20" i="28"/>
  <c r="L20" i="28"/>
  <c r="K20" i="28"/>
  <c r="J20" i="28"/>
  <c r="I20" i="28"/>
  <c r="H20" i="28"/>
  <c r="G20" i="28"/>
  <c r="F20" i="28"/>
  <c r="E20" i="28"/>
  <c r="D20" i="28"/>
  <c r="V18" i="28"/>
  <c r="U18" i="28"/>
  <c r="R18" i="28"/>
  <c r="P18" i="28"/>
  <c r="N18" i="28"/>
  <c r="M18" i="28"/>
  <c r="I18" i="28"/>
  <c r="H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V20" i="27"/>
  <c r="U20" i="27"/>
  <c r="T20" i="27"/>
  <c r="S20" i="27"/>
  <c r="R20" i="27"/>
  <c r="Q20" i="27"/>
  <c r="P20" i="27"/>
  <c r="O20" i="27"/>
  <c r="N20" i="27"/>
  <c r="U18" i="27"/>
  <c r="T18" i="27"/>
  <c r="S18" i="27"/>
  <c r="O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I24" i="26"/>
  <c r="H24" i="26"/>
  <c r="G24" i="26"/>
  <c r="F24" i="26"/>
  <c r="E24" i="26"/>
  <c r="D24" i="26"/>
  <c r="Q22" i="26"/>
  <c r="O22" i="26"/>
  <c r="K22" i="26"/>
  <c r="I22" i="26"/>
  <c r="G22" i="26"/>
  <c r="V20" i="26"/>
  <c r="U20" i="26"/>
  <c r="T20" i="26"/>
  <c r="S20" i="26"/>
  <c r="R20" i="26"/>
  <c r="Q20" i="26"/>
  <c r="P20" i="26"/>
  <c r="O20" i="26"/>
  <c r="N20" i="26"/>
  <c r="M20" i="26"/>
  <c r="L20" i="26"/>
  <c r="K20" i="26"/>
  <c r="J20" i="26"/>
  <c r="I20" i="26"/>
  <c r="H20" i="26"/>
  <c r="G20" i="26"/>
  <c r="F20" i="26"/>
  <c r="E20" i="26"/>
  <c r="D20" i="26"/>
  <c r="V18" i="26"/>
  <c r="T18" i="26"/>
  <c r="S18" i="26"/>
  <c r="O18" i="26"/>
  <c r="L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4" i="24"/>
  <c r="U24" i="24"/>
  <c r="T24" i="24"/>
  <c r="S24" i="24"/>
  <c r="R24" i="24"/>
  <c r="Q24" i="24"/>
  <c r="P24" i="24"/>
  <c r="O24" i="24"/>
  <c r="N24" i="24"/>
  <c r="M24" i="24"/>
  <c r="L24" i="24"/>
  <c r="K24" i="24"/>
  <c r="J24" i="24"/>
  <c r="I24" i="24"/>
  <c r="H24" i="24"/>
  <c r="G24" i="24"/>
  <c r="F24" i="24"/>
  <c r="E24" i="24"/>
  <c r="D24" i="24"/>
  <c r="U22" i="24"/>
  <c r="Q22" i="24"/>
  <c r="M22" i="24"/>
  <c r="E22" i="24"/>
  <c r="V20" i="24"/>
  <c r="U20" i="24"/>
  <c r="T20" i="24"/>
  <c r="S20" i="24"/>
  <c r="R20" i="24"/>
  <c r="Q20" i="24"/>
  <c r="P20" i="24"/>
  <c r="O20" i="24"/>
  <c r="N20" i="24"/>
  <c r="M20" i="24"/>
  <c r="L20" i="24"/>
  <c r="K20" i="24"/>
  <c r="J20" i="24"/>
  <c r="I20" i="24"/>
  <c r="H20" i="24"/>
  <c r="G20" i="24"/>
  <c r="F20" i="24"/>
  <c r="E20" i="24"/>
  <c r="D20" i="24"/>
  <c r="V18" i="24"/>
  <c r="U18" i="24"/>
  <c r="P18" i="24"/>
  <c r="M18" i="24"/>
  <c r="H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V18" i="21"/>
  <c r="F58" i="21" l="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G19" i="27" s="1"/>
  <c r="G20" i="27" s="1"/>
  <c r="O17" i="27"/>
  <c r="O19" i="27" s="1"/>
  <c r="E11" i="19"/>
  <c r="E25" i="19" s="1"/>
  <c r="Q7" i="19"/>
  <c r="Q21" i="19" s="1"/>
  <c r="I7" i="20"/>
  <c r="P10" i="19"/>
  <c r="P24" i="19" s="1"/>
  <c r="I7" i="19"/>
  <c r="I21" i="19" s="1"/>
  <c r="E59" i="26"/>
  <c r="F17" i="26"/>
  <c r="F19" i="26" s="1"/>
  <c r="F21" i="26"/>
  <c r="F23" i="26" s="1"/>
  <c r="M59" i="26"/>
  <c r="N17" i="26"/>
  <c r="N21" i="26"/>
  <c r="U59" i="26"/>
  <c r="V21" i="26"/>
  <c r="V17" i="26"/>
  <c r="V19" i="26" s="1"/>
  <c r="C8" i="20"/>
  <c r="D8" i="19"/>
  <c r="D22" i="19" s="1"/>
  <c r="K8" i="20"/>
  <c r="L8" i="19"/>
  <c r="L22" i="19" s="1"/>
  <c r="S8" i="20"/>
  <c r="T8" i="19"/>
  <c r="T22" i="19" s="1"/>
  <c r="C59" i="29"/>
  <c r="D21" i="29"/>
  <c r="D23" i="29" s="1"/>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L59" i="28"/>
  <c r="M17" i="28"/>
  <c r="M21" i="28"/>
  <c r="T59" i="28"/>
  <c r="U17" i="28"/>
  <c r="U21" i="28"/>
  <c r="U23" i="28" s="1"/>
  <c r="I4" i="20"/>
  <c r="J4" i="19"/>
  <c r="J18" i="19" s="1"/>
  <c r="I59" i="21"/>
  <c r="J17" i="21"/>
  <c r="J19" i="21" s="1"/>
  <c r="J20" i="21" s="1"/>
  <c r="J21" i="21"/>
  <c r="C59" i="22"/>
  <c r="D21" i="22"/>
  <c r="D23" i="22" s="1"/>
  <c r="D17" i="22"/>
  <c r="D19" i="22" s="1"/>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P17" i="24"/>
  <c r="P21" i="24"/>
  <c r="C59" i="26"/>
  <c r="D21" i="26"/>
  <c r="D23" i="26" s="1"/>
  <c r="D17" i="26"/>
  <c r="D19" i="26" s="1"/>
  <c r="K59" i="26"/>
  <c r="L21" i="26"/>
  <c r="L17" i="26"/>
  <c r="S59" i="26"/>
  <c r="T21" i="26"/>
  <c r="T17" i="26"/>
  <c r="N63" i="26"/>
  <c r="J59" i="27"/>
  <c r="K17" i="27"/>
  <c r="K19" i="27" s="1"/>
  <c r="K20" i="27" s="1"/>
  <c r="R59" i="27"/>
  <c r="S17" i="27"/>
  <c r="S19" i="27" s="1"/>
  <c r="J59" i="28"/>
  <c r="K17" i="28"/>
  <c r="K21" i="28"/>
  <c r="R59" i="28"/>
  <c r="S17" i="28"/>
  <c r="S21" i="28"/>
  <c r="S23" i="28" s="1"/>
  <c r="I59" i="29"/>
  <c r="J17" i="29"/>
  <c r="J21" i="29"/>
  <c r="Q59" i="29"/>
  <c r="R21" i="29"/>
  <c r="R23" i="29" s="1"/>
  <c r="R17" i="29"/>
  <c r="H59" i="30"/>
  <c r="I17" i="30"/>
  <c r="I19"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1" i="24"/>
  <c r="Q17" i="24"/>
  <c r="Q19" i="24" s="1"/>
  <c r="Q21" i="24"/>
  <c r="Q23" i="24" s="1"/>
  <c r="D59" i="26"/>
  <c r="E21" i="26"/>
  <c r="E17" i="26"/>
  <c r="E19" i="26" s="1"/>
  <c r="L59" i="26"/>
  <c r="M21" i="26"/>
  <c r="M17" i="26"/>
  <c r="T59" i="26"/>
  <c r="U21" i="26"/>
  <c r="U23" i="26" s="1"/>
  <c r="U17" i="26"/>
  <c r="U19" i="26" s="1"/>
  <c r="C59" i="27"/>
  <c r="D17" i="27"/>
  <c r="D19" i="27" s="1"/>
  <c r="D20" i="27" s="1"/>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O64" i="21" s="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17" i="24"/>
  <c r="G21" i="26"/>
  <c r="G23" i="26" s="1"/>
  <c r="G17" i="26"/>
  <c r="O17" i="26"/>
  <c r="O21" i="26"/>
  <c r="E59" i="27"/>
  <c r="F17" i="27"/>
  <c r="F19" i="27" s="1"/>
  <c r="F20" i="27" s="1"/>
  <c r="M59" i="27"/>
  <c r="N17" i="27"/>
  <c r="U59" i="27"/>
  <c r="V17" i="27"/>
  <c r="E59" i="28"/>
  <c r="F17" i="28"/>
  <c r="F21" i="28"/>
  <c r="M59" i="28"/>
  <c r="N17" i="28"/>
  <c r="N19" i="28" s="1"/>
  <c r="N21" i="28"/>
  <c r="U59" i="28"/>
  <c r="V17" i="28"/>
  <c r="V21" i="28"/>
  <c r="D59" i="29"/>
  <c r="E17" i="29"/>
  <c r="E21" i="29"/>
  <c r="L59" i="29"/>
  <c r="M17" i="29"/>
  <c r="M21" i="29"/>
  <c r="T59" i="29"/>
  <c r="U17" i="29"/>
  <c r="U21" i="29"/>
  <c r="C59" i="30"/>
  <c r="D17" i="30"/>
  <c r="D19" i="30" s="1"/>
  <c r="D21" i="30"/>
  <c r="D23"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H59" i="23"/>
  <c r="I21" i="23"/>
  <c r="I23" i="23" s="1"/>
  <c r="I17" i="23"/>
  <c r="P59" i="23"/>
  <c r="Q17" i="23"/>
  <c r="Q21" i="23"/>
  <c r="Q23" i="23" s="1"/>
  <c r="C59" i="24"/>
  <c r="D17" i="24"/>
  <c r="D19" i="24" s="1"/>
  <c r="D21" i="24"/>
  <c r="D23" i="24" s="1"/>
  <c r="K59" i="24"/>
  <c r="L21" i="24"/>
  <c r="L17" i="24"/>
  <c r="L19" i="24" s="1"/>
  <c r="S59" i="24"/>
  <c r="T21" i="24"/>
  <c r="T17" i="24"/>
  <c r="T19" i="24" s="1"/>
  <c r="H21" i="26"/>
  <c r="H23" i="26" s="1"/>
  <c r="H17" i="26"/>
  <c r="P21" i="26"/>
  <c r="P17" i="26"/>
  <c r="F59" i="28"/>
  <c r="G17" i="28"/>
  <c r="G19" i="28" s="1"/>
  <c r="G21" i="28"/>
  <c r="G23" i="28" s="1"/>
  <c r="N59" i="28"/>
  <c r="O17" i="28"/>
  <c r="O19" i="28" s="1"/>
  <c r="O21" i="28"/>
  <c r="E59" i="29"/>
  <c r="F17" i="29"/>
  <c r="F21" i="29"/>
  <c r="M59" i="29"/>
  <c r="N17" i="29"/>
  <c r="N21" i="29"/>
  <c r="U59" i="29"/>
  <c r="V17" i="29"/>
  <c r="V21" i="29"/>
  <c r="V23" i="29" s="1"/>
  <c r="D59" i="30"/>
  <c r="E17" i="30"/>
  <c r="E21" i="30"/>
  <c r="L59" i="30"/>
  <c r="M17" i="30"/>
  <c r="M19" i="30" s="1"/>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I59" i="23"/>
  <c r="J21" i="23"/>
  <c r="J17" i="23"/>
  <c r="J19" i="23" s="1"/>
  <c r="Q59" i="23"/>
  <c r="R21" i="23"/>
  <c r="R17" i="23"/>
  <c r="D59" i="24"/>
  <c r="E17" i="24"/>
  <c r="E21" i="24"/>
  <c r="L59" i="24"/>
  <c r="M17" i="24"/>
  <c r="M19" i="24" s="1"/>
  <c r="M21" i="24"/>
  <c r="M23" i="24" s="1"/>
  <c r="T59" i="24"/>
  <c r="U21" i="24"/>
  <c r="U17" i="24"/>
  <c r="H59" i="26"/>
  <c r="I17" i="26"/>
  <c r="I21" i="26"/>
  <c r="I23" i="26" s="1"/>
  <c r="P59" i="26"/>
  <c r="Q17" i="26"/>
  <c r="Q19" i="26" s="1"/>
  <c r="Q21" i="26"/>
  <c r="E63" i="26"/>
  <c r="H17" i="27"/>
  <c r="P17" i="27"/>
  <c r="P19" i="27" s="1"/>
  <c r="H21" i="28"/>
  <c r="H23" i="28" s="1"/>
  <c r="H17" i="28"/>
  <c r="P21" i="28"/>
  <c r="P17" i="28"/>
  <c r="P19" i="28" s="1"/>
  <c r="G17" i="29"/>
  <c r="G21" i="29"/>
  <c r="G23" i="29" s="1"/>
  <c r="O17" i="29"/>
  <c r="O21" i="29"/>
  <c r="E59" i="30"/>
  <c r="F21" i="30"/>
  <c r="F17" i="30"/>
  <c r="F19"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17" i="28"/>
  <c r="Q21" i="28"/>
  <c r="Q23" i="28" s="1"/>
  <c r="Q17" i="28"/>
  <c r="Q19" i="28" s="1"/>
  <c r="H21" i="29"/>
  <c r="H23" i="29" s="1"/>
  <c r="H17" i="29"/>
  <c r="P21" i="29"/>
  <c r="P23" i="29" s="1"/>
  <c r="P17" i="29"/>
  <c r="G21" i="30"/>
  <c r="G17" i="30"/>
  <c r="G19"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Q59" i="22"/>
  <c r="R17" i="22"/>
  <c r="R19" i="22" s="1"/>
  <c r="R21" i="22"/>
  <c r="R23" i="22" s="1"/>
  <c r="C59" i="23"/>
  <c r="D17" i="23"/>
  <c r="D19" i="23" s="1"/>
  <c r="D21" i="23"/>
  <c r="D23" i="23" s="1"/>
  <c r="S59" i="23"/>
  <c r="T17" i="23"/>
  <c r="T21" i="23"/>
  <c r="G17" i="24"/>
  <c r="G19" i="24" s="1"/>
  <c r="G21" i="24"/>
  <c r="G23" i="24" s="1"/>
  <c r="O17" i="24"/>
  <c r="O21" i="24"/>
  <c r="J59" i="26"/>
  <c r="K17" i="26"/>
  <c r="K19" i="26" s="1"/>
  <c r="K21" i="26"/>
  <c r="R59" i="26"/>
  <c r="S17" i="26"/>
  <c r="S19" i="26" s="1"/>
  <c r="S21" i="26"/>
  <c r="S23" i="26" s="1"/>
  <c r="M63" i="26"/>
  <c r="I59" i="27"/>
  <c r="J17" i="27"/>
  <c r="J19" i="27" s="1"/>
  <c r="J20" i="27" s="1"/>
  <c r="Q59" i="27"/>
  <c r="R17" i="27"/>
  <c r="I59" i="28"/>
  <c r="J17" i="28"/>
  <c r="J19" i="28" s="1"/>
  <c r="J21" i="28"/>
  <c r="J23" i="28" s="1"/>
  <c r="Q59" i="28"/>
  <c r="R21" i="28"/>
  <c r="R23" i="28" s="1"/>
  <c r="R17" i="28"/>
  <c r="I21" i="29"/>
  <c r="I23" i="29" s="1"/>
  <c r="I17" i="29"/>
  <c r="I19" i="29" s="1"/>
  <c r="Q21" i="29"/>
  <c r="Q17" i="29"/>
  <c r="Q19" i="29" s="1"/>
  <c r="H17" i="30"/>
  <c r="H19"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G23" i="22"/>
  <c r="K58" i="21"/>
  <c r="K61" i="21" s="1"/>
  <c r="K64" i="21" s="1"/>
  <c r="K65" i="21" s="1"/>
  <c r="R19" i="24"/>
  <c r="I21" i="27"/>
  <c r="I23" i="27" s="1"/>
  <c r="I24" i="27" s="1"/>
  <c r="Q21" i="27"/>
  <c r="R58" i="21"/>
  <c r="R61" i="21" s="1"/>
  <c r="R64" i="21" s="1"/>
  <c r="O57" i="21"/>
  <c r="A43" i="21"/>
  <c r="J58" i="21"/>
  <c r="J61" i="21" s="1"/>
  <c r="E19" i="21"/>
  <c r="E20" i="21" s="1"/>
  <c r="D58" i="29"/>
  <c r="D61" i="29" s="1"/>
  <c r="P23" i="26"/>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J23" i="23"/>
  <c r="R19" i="23"/>
  <c r="J58" i="27"/>
  <c r="J61" i="27" s="1"/>
  <c r="J64" i="27" s="1"/>
  <c r="J65" i="27" s="1"/>
  <c r="R58" i="27"/>
  <c r="R61" i="27" s="1"/>
  <c r="R64" i="27" s="1"/>
  <c r="R58" i="28"/>
  <c r="R61" i="28" s="1"/>
  <c r="R64" i="28" s="1"/>
  <c r="F58" i="22"/>
  <c r="F61" i="22" s="1"/>
  <c r="N58" i="22"/>
  <c r="N61" i="22" s="1"/>
  <c r="N64" i="22" s="1"/>
  <c r="F58" i="23"/>
  <c r="F61" i="23" s="1"/>
  <c r="N58" i="23"/>
  <c r="N61" i="23"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I58" i="23"/>
  <c r="I61" i="23" s="1"/>
  <c r="I64" i="23" s="1"/>
  <c r="I65" i="23" s="1"/>
  <c r="Q58" i="23"/>
  <c r="Q61" i="23" s="1"/>
  <c r="L58" i="29"/>
  <c r="L61" i="29" s="1"/>
  <c r="T58" i="29"/>
  <c r="T61" i="29" s="1"/>
  <c r="T64" i="29" s="1"/>
  <c r="I23" i="30"/>
  <c r="Q23" i="30"/>
  <c r="E23" i="30"/>
  <c r="U23" i="30"/>
  <c r="J58" i="28"/>
  <c r="J61" i="28" s="1"/>
  <c r="J64" i="28" s="1"/>
  <c r="J65" i="28" s="1"/>
  <c r="R58" i="22"/>
  <c r="R61" i="22" s="1"/>
  <c r="R64" i="22" s="1"/>
  <c r="J58" i="23"/>
  <c r="J61" i="23" s="1"/>
  <c r="J64" i="23" s="1"/>
  <c r="J65" i="23" s="1"/>
  <c r="J58" i="24"/>
  <c r="J61" i="24" s="1"/>
  <c r="J64" i="24" s="1"/>
  <c r="J65" i="24" s="1"/>
  <c r="R58" i="24"/>
  <c r="R61" i="24" s="1"/>
  <c r="F57" i="24"/>
  <c r="T58" i="30"/>
  <c r="T61" i="30" s="1"/>
  <c r="T64" i="30" s="1"/>
  <c r="C58" i="23"/>
  <c r="C61" i="23" s="1"/>
  <c r="K58" i="23"/>
  <c r="K61" i="23" s="1"/>
  <c r="S58" i="23"/>
  <c r="S61" i="23" s="1"/>
  <c r="F58" i="26"/>
  <c r="F61" i="26" s="1"/>
  <c r="D58" i="27"/>
  <c r="D61" i="27" s="1"/>
  <c r="D64" i="27" s="1"/>
  <c r="D65" i="27" s="1"/>
  <c r="L58" i="27"/>
  <c r="L61" i="27" s="1"/>
  <c r="T58" i="27"/>
  <c r="T61" i="27" s="1"/>
  <c r="T64" i="27" s="1"/>
  <c r="J58" i="30"/>
  <c r="J61" i="30" s="1"/>
  <c r="J64" i="30" s="1"/>
  <c r="J65" i="30" s="1"/>
  <c r="R58" i="30"/>
  <c r="R61" i="30" s="1"/>
  <c r="R64" i="30" s="1"/>
  <c r="P57" i="30"/>
  <c r="J57" i="21"/>
  <c r="H59" i="21"/>
  <c r="Q23" i="22"/>
  <c r="R21" i="27"/>
  <c r="R23" i="27" s="1"/>
  <c r="R24" i="27" s="1"/>
  <c r="E58" i="27"/>
  <c r="E61" i="27" s="1"/>
  <c r="E64" i="27" s="1"/>
  <c r="M58" i="27"/>
  <c r="M61" i="27" s="1"/>
  <c r="U58" i="27"/>
  <c r="U61" i="27" s="1"/>
  <c r="I58" i="29"/>
  <c r="I61" i="29" s="1"/>
  <c r="I64" i="29" s="1"/>
  <c r="I65" i="29" s="1"/>
  <c r="Q58" i="29"/>
  <c r="Q61" i="29" s="1"/>
  <c r="Q64" i="29" s="1"/>
  <c r="F58" i="30"/>
  <c r="F61" i="30" s="1"/>
  <c r="N58" i="30"/>
  <c r="N61" i="30" s="1"/>
  <c r="G59" i="21"/>
  <c r="G58" i="22"/>
  <c r="G61" i="22" s="1"/>
  <c r="O58" i="22"/>
  <c r="O61" i="22" s="1"/>
  <c r="O64" i="22" s="1"/>
  <c r="F59" i="23"/>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H64" i="30" s="1"/>
  <c r="H65" i="30" s="1"/>
  <c r="N59" i="30"/>
  <c r="K19" i="21"/>
  <c r="K20" i="21" s="1"/>
  <c r="Q57" i="21"/>
  <c r="B58" i="21"/>
  <c r="B61" i="21" s="1"/>
  <c r="I58" i="22"/>
  <c r="I61" i="22" s="1"/>
  <c r="I64" i="22" s="1"/>
  <c r="I65" i="22" s="1"/>
  <c r="Q58" i="22"/>
  <c r="Q61" i="22" s="1"/>
  <c r="D58" i="23"/>
  <c r="D61" i="23" s="1"/>
  <c r="L58" i="23"/>
  <c r="L61" i="23" s="1"/>
  <c r="L64" i="23" s="1"/>
  <c r="L65"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O23" i="24"/>
  <c r="F58" i="24"/>
  <c r="F61" i="24" s="1"/>
  <c r="N58" i="24"/>
  <c r="N61" i="24" s="1"/>
  <c r="F59" i="24"/>
  <c r="I58" i="27"/>
  <c r="I61" i="27" s="1"/>
  <c r="I64" i="27" s="1"/>
  <c r="I65"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H65" i="26" s="1"/>
  <c r="L58" i="28"/>
  <c r="L61" i="28" s="1"/>
  <c r="S58" i="29"/>
  <c r="S61" i="29" s="1"/>
  <c r="S64" i="29" s="1"/>
  <c r="P19" i="21"/>
  <c r="H23" i="22"/>
  <c r="P23" i="22"/>
  <c r="C58" i="22"/>
  <c r="C61" i="22" s="1"/>
  <c r="C64" i="22" s="1"/>
  <c r="C65" i="22" s="1"/>
  <c r="K58" i="22"/>
  <c r="K61" i="22" s="1"/>
  <c r="K64" i="22" s="1"/>
  <c r="K65" i="22" s="1"/>
  <c r="S58" i="22"/>
  <c r="S61" i="22" s="1"/>
  <c r="S64" i="22" s="1"/>
  <c r="F57" i="23"/>
  <c r="L23" i="24"/>
  <c r="T23" i="24"/>
  <c r="G58" i="24"/>
  <c r="G61" i="24" s="1"/>
  <c r="O58" i="24"/>
  <c r="O61" i="24" s="1"/>
  <c r="N59" i="24"/>
  <c r="C58" i="26"/>
  <c r="C61" i="26" s="1"/>
  <c r="K58" i="26"/>
  <c r="K61" i="26" s="1"/>
  <c r="S58" i="26"/>
  <c r="S61" i="26" s="1"/>
  <c r="S64" i="26" s="1"/>
  <c r="P23" i="27"/>
  <c r="P24" i="27" s="1"/>
  <c r="N57" i="27"/>
  <c r="H59" i="27"/>
  <c r="G58" i="28"/>
  <c r="G61" i="28" s="1"/>
  <c r="O58" i="28"/>
  <c r="O61" i="28" s="1"/>
  <c r="F57" i="28"/>
  <c r="F58" i="29"/>
  <c r="F61" i="29" s="1"/>
  <c r="N58" i="29"/>
  <c r="N61" i="29" s="1"/>
  <c r="H59" i="29"/>
  <c r="C58" i="30"/>
  <c r="C61" i="30" s="1"/>
  <c r="K58" i="30"/>
  <c r="K61" i="30" s="1"/>
  <c r="K64" i="30" s="1"/>
  <c r="K65" i="30" s="1"/>
  <c r="S58" i="30"/>
  <c r="S61" i="30" s="1"/>
  <c r="H57" i="30"/>
  <c r="D58" i="24"/>
  <c r="D61" i="24" s="1"/>
  <c r="D64" i="24" s="1"/>
  <c r="D65" i="24" s="1"/>
  <c r="D58" i="28"/>
  <c r="D61" i="28" s="1"/>
  <c r="D64" i="28" s="1"/>
  <c r="D65"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H58" i="24"/>
  <c r="H61" i="24" s="1"/>
  <c r="P58" i="24"/>
  <c r="P61" i="24" s="1"/>
  <c r="Q23" i="26"/>
  <c r="D58" i="26"/>
  <c r="D61" i="26" s="1"/>
  <c r="L58" i="26"/>
  <c r="L61" i="26" s="1"/>
  <c r="L64" i="26" s="1"/>
  <c r="L65" i="26" s="1"/>
  <c r="T58" i="26"/>
  <c r="T61" i="26" s="1"/>
  <c r="F57" i="26"/>
  <c r="C58" i="27"/>
  <c r="C61" i="27" s="1"/>
  <c r="C64" i="27" s="1"/>
  <c r="C65" i="27" s="1"/>
  <c r="K58" i="27"/>
  <c r="K61" i="27" s="1"/>
  <c r="K64" i="27" s="1"/>
  <c r="S58" i="27"/>
  <c r="S61" i="27" s="1"/>
  <c r="S64" i="27" s="1"/>
  <c r="P57" i="27"/>
  <c r="N59" i="27"/>
  <c r="H58" i="28"/>
  <c r="H61" i="28" s="1"/>
  <c r="P58" i="28"/>
  <c r="P61" i="28" s="1"/>
  <c r="N57" i="28"/>
  <c r="L23" i="29"/>
  <c r="T23" i="29"/>
  <c r="G58" i="29"/>
  <c r="G61" i="29" s="1"/>
  <c r="O58" i="29"/>
  <c r="O61" i="29" s="1"/>
  <c r="P59" i="29"/>
  <c r="I57" i="30"/>
  <c r="M19" i="21"/>
  <c r="M20" i="21" s="1"/>
  <c r="G57" i="21"/>
  <c r="J19" i="22"/>
  <c r="E58" i="22"/>
  <c r="E61" i="22" s="1"/>
  <c r="E64" i="22" s="1"/>
  <c r="E65" i="22" s="1"/>
  <c r="M58" i="22"/>
  <c r="M61" i="22" s="1"/>
  <c r="M64" i="22" s="1"/>
  <c r="U58" i="22"/>
  <c r="U61" i="22" s="1"/>
  <c r="A45" i="22"/>
  <c r="O57" i="22"/>
  <c r="H58" i="23"/>
  <c r="H61" i="23" s="1"/>
  <c r="H64" i="23" s="1"/>
  <c r="H65" i="23" s="1"/>
  <c r="P58" i="23"/>
  <c r="P61" i="23" s="1"/>
  <c r="P64" i="23" s="1"/>
  <c r="I58" i="24"/>
  <c r="I61" i="24" s="1"/>
  <c r="Q58" i="24"/>
  <c r="Q61" i="24" s="1"/>
  <c r="Q64" i="24" s="1"/>
  <c r="E58" i="26"/>
  <c r="E61" i="26" s="1"/>
  <c r="M58" i="26"/>
  <c r="M61" i="26" s="1"/>
  <c r="M64" i="26" s="1"/>
  <c r="M66" i="26" s="1"/>
  <c r="U58" i="26"/>
  <c r="U61" i="26" s="1"/>
  <c r="N57" i="26"/>
  <c r="P59" i="27"/>
  <c r="I58" i="28"/>
  <c r="I61" i="28" s="1"/>
  <c r="I64" i="28" s="1"/>
  <c r="I65" i="28" s="1"/>
  <c r="Q58" i="28"/>
  <c r="Q61" i="28" s="1"/>
  <c r="Q64" i="28" s="1"/>
  <c r="P23" i="28"/>
  <c r="H58" i="29"/>
  <c r="H61" i="29" s="1"/>
  <c r="P58" i="29"/>
  <c r="P61" i="29" s="1"/>
  <c r="E58" i="30"/>
  <c r="E61" i="30" s="1"/>
  <c r="E64" i="30" s="1"/>
  <c r="E65"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H23" i="30"/>
  <c r="G23" i="30"/>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N19" i="30"/>
  <c r="V19" i="30"/>
  <c r="F23" i="30"/>
  <c r="N23" i="30"/>
  <c r="B63" i="30"/>
  <c r="J63" i="30"/>
  <c r="R63" i="30"/>
  <c r="A32" i="30"/>
  <c r="A34" i="30"/>
  <c r="A40" i="30"/>
  <c r="A42" i="30"/>
  <c r="A48" i="30"/>
  <c r="A50" i="30"/>
  <c r="C63" i="30"/>
  <c r="K63" i="30"/>
  <c r="S63" i="30"/>
  <c r="P19" i="30"/>
  <c r="D63" i="30"/>
  <c r="L63" i="30"/>
  <c r="T63" i="30"/>
  <c r="H63" i="30"/>
  <c r="Q19" i="30"/>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E23" i="29"/>
  <c r="M23" i="29"/>
  <c r="U23" i="29"/>
  <c r="I57" i="29"/>
  <c r="Q57" i="29"/>
  <c r="I63" i="29"/>
  <c r="Q63" i="29"/>
  <c r="F19" i="29"/>
  <c r="N19" i="29"/>
  <c r="V19" i="29"/>
  <c r="F23" i="29"/>
  <c r="N23" i="29"/>
  <c r="B63" i="29"/>
  <c r="J63" i="29"/>
  <c r="R63" i="29"/>
  <c r="L19" i="29"/>
  <c r="G19" i="29"/>
  <c r="O19" i="29"/>
  <c r="A32" i="29"/>
  <c r="A34" i="29"/>
  <c r="A40" i="29"/>
  <c r="A42" i="29"/>
  <c r="A48" i="29"/>
  <c r="A50" i="29"/>
  <c r="C63" i="29"/>
  <c r="K63" i="29"/>
  <c r="S63" i="29"/>
  <c r="H19" i="29"/>
  <c r="P19" i="29"/>
  <c r="D63" i="29"/>
  <c r="L63" i="29"/>
  <c r="T63" i="29"/>
  <c r="E63" i="29"/>
  <c r="M63" i="29"/>
  <c r="K19" i="28"/>
  <c r="S19" i="28"/>
  <c r="K23" i="28"/>
  <c r="A31" i="28"/>
  <c r="A33" i="28"/>
  <c r="A37" i="28"/>
  <c r="A39" i="28"/>
  <c r="A41" i="28"/>
  <c r="A45" i="28"/>
  <c r="A47" i="28"/>
  <c r="A49" i="28"/>
  <c r="G57" i="28"/>
  <c r="O57" i="28"/>
  <c r="G59" i="28"/>
  <c r="O59" i="28"/>
  <c r="G63" i="28"/>
  <c r="O63" i="28"/>
  <c r="D19" i="28"/>
  <c r="L19" i="28"/>
  <c r="L23" i="28"/>
  <c r="T23" i="28"/>
  <c r="H59" i="28"/>
  <c r="P59" i="28"/>
  <c r="H63" i="28"/>
  <c r="P63" i="28"/>
  <c r="E19" i="28"/>
  <c r="M19" i="28"/>
  <c r="U19" i="28"/>
  <c r="M23" i="28"/>
  <c r="I57" i="28"/>
  <c r="Q57" i="28"/>
  <c r="I63" i="28"/>
  <c r="Q63" i="28"/>
  <c r="R19" i="28"/>
  <c r="F19" i="28"/>
  <c r="V19" i="28"/>
  <c r="F23" i="28"/>
  <c r="N23" i="28"/>
  <c r="V23" i="28"/>
  <c r="B63" i="28"/>
  <c r="J63" i="28"/>
  <c r="R63" i="28"/>
  <c r="A32" i="28"/>
  <c r="A34" i="28"/>
  <c r="A40" i="28"/>
  <c r="A42" i="28"/>
  <c r="A48" i="28"/>
  <c r="A50" i="28"/>
  <c r="C63" i="28"/>
  <c r="K63" i="28"/>
  <c r="S63" i="28"/>
  <c r="H19" i="28"/>
  <c r="D63" i="28"/>
  <c r="L63" i="28"/>
  <c r="T63" i="28"/>
  <c r="I19"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A32" i="27"/>
  <c r="A34" i="27"/>
  <c r="A40" i="27"/>
  <c r="A42" i="27"/>
  <c r="A48" i="27"/>
  <c r="A50" i="27"/>
  <c r="C63" i="27"/>
  <c r="K63" i="27"/>
  <c r="S63" i="27"/>
  <c r="L19" i="27"/>
  <c r="L20" i="27" s="1"/>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M23" i="26"/>
  <c r="I57" i="26"/>
  <c r="Q57" i="26"/>
  <c r="I59" i="26"/>
  <c r="Q59" i="26"/>
  <c r="Q64" i="26" s="1"/>
  <c r="I63" i="26"/>
  <c r="Q63" i="26"/>
  <c r="N19" i="26"/>
  <c r="N23" i="26"/>
  <c r="V23" i="26"/>
  <c r="B63" i="26"/>
  <c r="J63" i="26"/>
  <c r="R63" i="26"/>
  <c r="G19" i="26"/>
  <c r="O19" i="26"/>
  <c r="A32" i="26"/>
  <c r="A34" i="26"/>
  <c r="A40" i="26"/>
  <c r="A42" i="26"/>
  <c r="A48" i="26"/>
  <c r="A50" i="26"/>
  <c r="C63" i="26"/>
  <c r="K63" i="26"/>
  <c r="S63" i="26"/>
  <c r="H19" i="26"/>
  <c r="P19" i="26"/>
  <c r="D63" i="26"/>
  <c r="L63" i="26"/>
  <c r="I19" i="26"/>
  <c r="H23" i="24"/>
  <c r="P23" i="24"/>
  <c r="K19" i="24"/>
  <c r="S19" i="24"/>
  <c r="K23" i="24"/>
  <c r="A31" i="24"/>
  <c r="A33" i="24"/>
  <c r="A37" i="24"/>
  <c r="A39" i="24"/>
  <c r="A41" i="24"/>
  <c r="A45" i="24"/>
  <c r="A47" i="24"/>
  <c r="A49" i="24"/>
  <c r="G57" i="24"/>
  <c r="O57" i="24"/>
  <c r="G59" i="24"/>
  <c r="O59" i="24"/>
  <c r="G63" i="24"/>
  <c r="O63" i="24"/>
  <c r="H59" i="24"/>
  <c r="P59" i="24"/>
  <c r="H63" i="24"/>
  <c r="P63" i="24"/>
  <c r="E19" i="24"/>
  <c r="U19" i="24"/>
  <c r="E23" i="24"/>
  <c r="U23" i="24"/>
  <c r="I57" i="24"/>
  <c r="Q57" i="24"/>
  <c r="I63" i="24"/>
  <c r="Q63" i="24"/>
  <c r="F19" i="24"/>
  <c r="F23" i="24"/>
  <c r="V23" i="24"/>
  <c r="B63" i="24"/>
  <c r="J63" i="24"/>
  <c r="R63" i="24"/>
  <c r="O19" i="24"/>
  <c r="A32" i="24"/>
  <c r="A34" i="24"/>
  <c r="A40" i="24"/>
  <c r="A42" i="24"/>
  <c r="A48" i="24"/>
  <c r="A50" i="24"/>
  <c r="C63" i="24"/>
  <c r="K63" i="24"/>
  <c r="S63" i="24"/>
  <c r="R23" i="24"/>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L20" i="21" s="1"/>
  <c r="R19" i="2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K65" i="27" l="1"/>
  <c r="E65" i="27"/>
  <c r="C23" i="21"/>
  <c r="C24" i="21" s="1"/>
  <c r="I64" i="26"/>
  <c r="I65" i="26" s="1"/>
  <c r="F64" i="26"/>
  <c r="F66" i="26" s="1"/>
  <c r="B64" i="30"/>
  <c r="B65" i="30" s="1"/>
  <c r="L64" i="28"/>
  <c r="L65" i="28" s="1"/>
  <c r="C64" i="21"/>
  <c r="C65" i="21" s="1"/>
  <c r="C64" i="30"/>
  <c r="C65" i="30" s="1"/>
  <c r="C64" i="26"/>
  <c r="C65" i="26" s="1"/>
  <c r="C64" i="23"/>
  <c r="C65" i="23" s="1"/>
  <c r="L64" i="22"/>
  <c r="L65" i="22" s="1"/>
  <c r="D64" i="22"/>
  <c r="D65" i="22" s="1"/>
  <c r="Q64" i="22"/>
  <c r="U64" i="22"/>
  <c r="U66" i="22" s="1"/>
  <c r="S64" i="23"/>
  <c r="M64" i="23"/>
  <c r="M66" i="23" s="1"/>
  <c r="R64" i="23"/>
  <c r="R66" i="23" s="1"/>
  <c r="M64" i="29"/>
  <c r="D64" i="29"/>
  <c r="D65" i="29" s="1"/>
  <c r="O64" i="24"/>
  <c r="O66" i="24" s="1"/>
  <c r="I64" i="24"/>
  <c r="I65" i="24" s="1"/>
  <c r="M64" i="24"/>
  <c r="S64" i="24"/>
  <c r="T64" i="26"/>
  <c r="T66" i="26" s="1"/>
  <c r="E64" i="26"/>
  <c r="M64" i="28"/>
  <c r="S64" i="28"/>
  <c r="P64" i="27"/>
  <c r="G64" i="21"/>
  <c r="S64" i="21"/>
  <c r="S66" i="21" s="1"/>
  <c r="E64" i="21"/>
  <c r="F64" i="21"/>
  <c r="N64" i="28"/>
  <c r="N66" i="28" s="1"/>
  <c r="J64" i="21"/>
  <c r="F64" i="24"/>
  <c r="F64" i="28"/>
  <c r="D64" i="26"/>
  <c r="D65" i="26" s="1"/>
  <c r="H64" i="29"/>
  <c r="S64" i="30"/>
  <c r="S66" i="30" s="1"/>
  <c r="Q64" i="23"/>
  <c r="Q66" i="23" s="1"/>
  <c r="F64" i="30"/>
  <c r="K64" i="23"/>
  <c r="R64" i="26"/>
  <c r="E64" i="24"/>
  <c r="J64" i="22"/>
  <c r="H64" i="21"/>
  <c r="H65" i="21" s="1"/>
  <c r="H64" i="28"/>
  <c r="G64" i="28"/>
  <c r="P64" i="26"/>
  <c r="E64" i="28"/>
  <c r="N64" i="23"/>
  <c r="J64" i="26"/>
  <c r="J65" i="26" s="1"/>
  <c r="B64" i="23"/>
  <c r="M64" i="27"/>
  <c r="M66" i="27" s="1"/>
  <c r="H64" i="27"/>
  <c r="G64" i="22"/>
  <c r="L64" i="29"/>
  <c r="L65" i="29" s="1"/>
  <c r="G64" i="24"/>
  <c r="H64" i="24"/>
  <c r="D64" i="23"/>
  <c r="D65" i="23" s="1"/>
  <c r="K64" i="24"/>
  <c r="K65" i="24" s="1"/>
  <c r="P64" i="24"/>
  <c r="U64" i="29"/>
  <c r="U66" i="29" s="1"/>
  <c r="O66" i="21"/>
  <c r="M64" i="30"/>
  <c r="M66" i="30" s="1"/>
  <c r="K64" i="26"/>
  <c r="C64" i="28"/>
  <c r="C64" i="24"/>
  <c r="L64" i="27"/>
  <c r="R64" i="24"/>
  <c r="R66" i="24" s="1"/>
  <c r="K64" i="29"/>
  <c r="J64" i="29"/>
  <c r="E64" i="29"/>
  <c r="M64" i="2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6" i="27" s="1"/>
  <c r="O64" i="28"/>
  <c r="O66" i="28" s="1"/>
  <c r="N64" i="27"/>
  <c r="N66" i="27" s="1"/>
  <c r="N64" i="30"/>
  <c r="N66" i="30" s="1"/>
  <c r="L66" i="30"/>
  <c r="J66" i="28"/>
  <c r="G64" i="26"/>
  <c r="G64" i="29"/>
  <c r="F64" i="22"/>
  <c r="O64" i="26"/>
  <c r="O66" i="26" s="1"/>
  <c r="R66" i="22"/>
  <c r="T66" i="24"/>
  <c r="U66" i="23"/>
  <c r="P64" i="30"/>
  <c r="P66" i="30" s="1"/>
  <c r="P66" i="23"/>
  <c r="E66" i="22"/>
  <c r="T66" i="23"/>
  <c r="Q66" i="21"/>
  <c r="P66" i="21"/>
  <c r="K66" i="27"/>
  <c r="G64" i="23"/>
  <c r="Q66" i="24"/>
  <c r="R66" i="27"/>
  <c r="C66" i="27"/>
  <c r="H66" i="23"/>
  <c r="J66" i="27"/>
  <c r="G64" i="27"/>
  <c r="G66" i="30"/>
  <c r="J66" i="30"/>
  <c r="F64" i="27"/>
  <c r="T66" i="27"/>
  <c r="Q66" i="22"/>
  <c r="C66" i="22"/>
  <c r="T66" i="21"/>
  <c r="S66" i="23"/>
  <c r="H66" i="30"/>
  <c r="E66" i="30"/>
  <c r="S66" i="24"/>
  <c r="L66" i="21"/>
  <c r="S66" i="26"/>
  <c r="L66" i="26"/>
  <c r="T66" i="30"/>
  <c r="C66" i="29"/>
  <c r="H66" i="22"/>
  <c r="R66" i="28"/>
  <c r="N64" i="26"/>
  <c r="N66" i="26" s="1"/>
  <c r="O64" i="29"/>
  <c r="O66" i="29" s="1"/>
  <c r="P64" i="29"/>
  <c r="P66" i="29" s="1"/>
  <c r="S64" i="1"/>
  <c r="R66" i="26"/>
  <c r="D66" i="27"/>
  <c r="N64" i="29"/>
  <c r="N66" i="29" s="1"/>
  <c r="R66" i="30"/>
  <c r="L66" i="23"/>
  <c r="O66" i="22"/>
  <c r="R64" i="1"/>
  <c r="J66" i="23"/>
  <c r="Q64" i="1"/>
  <c r="U64" i="1"/>
  <c r="P64" i="1"/>
  <c r="E66" i="27"/>
  <c r="J66" i="24"/>
  <c r="Q66" i="29"/>
  <c r="F64" i="29"/>
  <c r="O64" i="23"/>
  <c r="O66" i="23" s="1"/>
  <c r="O64" i="30"/>
  <c r="O66" i="30" s="1"/>
  <c r="N64" i="24"/>
  <c r="N66" i="24" s="1"/>
  <c r="B66" i="24"/>
  <c r="K66" i="30"/>
  <c r="I66" i="30"/>
  <c r="R66" i="29"/>
  <c r="M66" i="29"/>
  <c r="I66" i="29"/>
  <c r="S66" i="29"/>
  <c r="T66" i="28"/>
  <c r="D66" i="28"/>
  <c r="M66" i="28"/>
  <c r="Q66" i="28"/>
  <c r="I66" i="28"/>
  <c r="S66" i="28"/>
  <c r="K66" i="28"/>
  <c r="Q66" i="27"/>
  <c r="I66" i="27"/>
  <c r="P66" i="27"/>
  <c r="Q66" i="26"/>
  <c r="P66" i="26"/>
  <c r="I66" i="26"/>
  <c r="H66" i="26"/>
  <c r="D66" i="26"/>
  <c r="L66" i="24"/>
  <c r="P66" i="24"/>
  <c r="D66" i="24"/>
  <c r="M66" i="24"/>
  <c r="I66" i="23"/>
  <c r="N66" i="23"/>
  <c r="E66" i="23"/>
  <c r="I66" i="22"/>
  <c r="M66" i="22"/>
  <c r="S66" i="22"/>
  <c r="K66" i="22"/>
  <c r="T66" i="22"/>
  <c r="M66" i="21"/>
  <c r="K66" i="21"/>
  <c r="D66" i="21"/>
  <c r="R66" i="21"/>
  <c r="N64" i="1"/>
  <c r="M64" i="1"/>
  <c r="T64" i="1"/>
  <c r="L64" i="1"/>
  <c r="J64" i="1"/>
  <c r="J65" i="1" s="1"/>
  <c r="K64" i="1"/>
  <c r="O64" i="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U63" i="1"/>
  <c r="M63" i="1"/>
  <c r="L66" i="29" l="1"/>
  <c r="F65" i="26"/>
  <c r="K65" i="1"/>
  <c r="L65" i="1"/>
  <c r="H65" i="1"/>
  <c r="D65" i="1"/>
  <c r="F65" i="1"/>
  <c r="E65" i="1"/>
  <c r="G65" i="1"/>
  <c r="I65" i="1"/>
  <c r="C65" i="1"/>
  <c r="B65" i="1"/>
  <c r="C66" i="21"/>
  <c r="B66" i="30"/>
  <c r="B66" i="26"/>
  <c r="B65" i="26"/>
  <c r="B66" i="28"/>
  <c r="B65" i="28"/>
  <c r="B66" i="29"/>
  <c r="B65" i="29"/>
  <c r="B66" i="27"/>
  <c r="B65" i="27"/>
  <c r="B66" i="22"/>
  <c r="B65" i="22"/>
  <c r="B66" i="23"/>
  <c r="B65" i="23"/>
  <c r="B66" i="21"/>
  <c r="B65" i="21"/>
  <c r="H66" i="21"/>
  <c r="F66" i="29"/>
  <c r="F65" i="29"/>
  <c r="G66" i="26"/>
  <c r="G65" i="26"/>
  <c r="I66" i="21"/>
  <c r="I65" i="21"/>
  <c r="E66" i="24"/>
  <c r="E65" i="24"/>
  <c r="K66" i="24"/>
  <c r="L66" i="28"/>
  <c r="H66" i="24"/>
  <c r="H65" i="24"/>
  <c r="F66" i="24"/>
  <c r="F65" i="24"/>
  <c r="G66" i="27"/>
  <c r="G65" i="27"/>
  <c r="L66" i="22"/>
  <c r="K66" i="26"/>
  <c r="K65" i="26"/>
  <c r="G66" i="24"/>
  <c r="G65" i="24"/>
  <c r="E66" i="28"/>
  <c r="E65" i="28"/>
  <c r="K66" i="23"/>
  <c r="K65" i="23"/>
  <c r="J66" i="21"/>
  <c r="J65" i="21"/>
  <c r="G66" i="29"/>
  <c r="G65" i="29"/>
  <c r="J66" i="22"/>
  <c r="J65" i="22"/>
  <c r="D66" i="23"/>
  <c r="D66" i="22"/>
  <c r="J66" i="26"/>
  <c r="E66" i="29"/>
  <c r="E65" i="29"/>
  <c r="F66" i="30"/>
  <c r="F65" i="30"/>
  <c r="E66" i="26"/>
  <c r="E65" i="26"/>
  <c r="F66" i="27"/>
  <c r="F65" i="27"/>
  <c r="F66" i="22"/>
  <c r="F65" i="22"/>
  <c r="H66" i="29"/>
  <c r="H65" i="29"/>
  <c r="L66" i="27"/>
  <c r="L65" i="27"/>
  <c r="G66" i="21"/>
  <c r="G65" i="21"/>
  <c r="G66" i="23"/>
  <c r="G65" i="23"/>
  <c r="F66" i="28"/>
  <c r="F65" i="28"/>
  <c r="I66" i="24"/>
  <c r="J66" i="29"/>
  <c r="J65" i="29"/>
  <c r="G66" i="22"/>
  <c r="G65" i="22"/>
  <c r="G66" i="28"/>
  <c r="G65" i="28"/>
  <c r="F66" i="21"/>
  <c r="F65" i="21"/>
  <c r="D66" i="29"/>
  <c r="F66" i="23"/>
  <c r="F65" i="23"/>
  <c r="K66" i="29"/>
  <c r="K65" i="29"/>
  <c r="H66" i="27"/>
  <c r="H65" i="27"/>
  <c r="H66" i="28"/>
  <c r="H65" i="28"/>
  <c r="E66" i="21"/>
  <c r="E65" i="21"/>
  <c r="C66" i="23"/>
  <c r="C66" i="26"/>
  <c r="C66" i="24"/>
  <c r="C65" i="24"/>
  <c r="C66" i="30"/>
  <c r="C66" i="28"/>
  <c r="C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<sst xmlns="http://schemas.openxmlformats.org/spreadsheetml/2006/main" count="2144" uniqueCount="181">
  <si>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</si>
  <si>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</si>
  <si>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</si>
  <si>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</si>
  <si>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</si>
  <si>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</si>
  <si>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</si>
  <si>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</si>
  <si>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</si>
  <si>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</si>
  <si>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</si>
  <si>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</si>
  <si>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</si>
  <si>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</si>
  <si>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</si>
  <si>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</si>
  <si>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</si>
  <si>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</si>
  <si>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</si>
  <si>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</si>
  <si>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</si>
  <si>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</si>
  <si>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</si>
  <si>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</si>
  <si>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</si>
  <si>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</si>
  <si>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</si>
  <si>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</si>
  <si>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</si>
  <si>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</si>
  <si>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</si>
  <si>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</si>
  <si>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</si>
  <si>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</si>
  <si>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</si>
  <si>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</si>
  <si>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</si>
  <si>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</si>
  <si>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</si>
  <si>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</si>
  <si>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</si>
  <si>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</si>
  <si>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</si>
  <si>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</si>
  <si>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</si>
  <si>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</si>
  <si>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</si>
  <si>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</si>
  <si>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</si>
  <si>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</si>
  <si>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</si>
  <si>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</si>
  <si>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</si>
  <si>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</si>
  <si>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</si>
  <si>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</si>
  <si>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</si>
  <si>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</si>
  <si>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</si>
  <si>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</si>
  <si>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</si>
  <si>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</si>
  <si>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</si>
  <si>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</si>
  <si>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</si>
  <si>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</si>
  <si>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</si>
  <si>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</si>
  <si>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</si>
  <si>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</si>
  <si>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</si>
  <si>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</si>
  <si>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</si>
  <si>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</si>
  <si>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</si>
  <si>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</si>
  <si>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</si>
  <si>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</si>
  <si>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</si>
  <si>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</si>
  <si>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</si>
  <si>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</si>
  <si>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</si>
  <si>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</si>
  <si>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</si>
  <si>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</si>
  <si>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</si>
  <si>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</si>
  <si>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</si>
  <si>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</si>
  <si>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</si>
  <si>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</si>
  <si>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</si>
  <si>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</si>
  <si>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</si>
  <si>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</si>
  <si>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</si>
  <si>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</si>
  <si>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</si>
  <si>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</si>
  <si>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</si>
  <si>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</si>
  <si>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</si>
  <si>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</si>
  <si>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</si>
  <si>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</si>
  <si>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</si>
  <si>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</si>
  <si>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</si>
  <si>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</si>
  <si>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</si>
  <si>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</si>
  <si>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</si>
  <si>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</si>
  <si>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</si>
  <si>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</si>
  <si>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</si>
  <si>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</si>
  <si>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</si>
  <si>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</si>
  <si>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</si>
  <si>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</si>
  <si>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</si>
  <si>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</si>
  <si>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</si>
  <si>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</si>
  <si>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</si>
  <si>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</si>
  <si>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</si>
  <si>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</si>
  <si>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</si>
  <si>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</si>
  <si>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</si>
  <si>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</si>
  <si>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</si>
  <si>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</si>
  <si>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</si>
  <si>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</si>
  <si>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</si>
  <si>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</si>
  <si>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</si>
  <si>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</si>
  <si>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</si>
  <si>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</si>
  <si>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</si>
  <si>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</si>
  <si>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</si>
  <si>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</si>
  <si>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</si>
  <si>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</si>
  <si>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</si>
  <si>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</si>
  <si>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</si>
  <si>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</si>
  <si>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</si>
  <si>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</si>
  <si>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</si>
  <si>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</si>
  <si>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</si>
  <si>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</si>
  <si>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PAN-023141</t>
  </si>
  <si>
    <t>EPR/AB3891CX</t>
  </si>
  <si>
    <t>Ethan Banfield</t>
  </si>
  <si>
    <t>Hafod Farm, Ferwig, Cardigan, Ceredigion, SA43 1PU</t>
  </si>
  <si>
    <t>Dairy Partners</t>
  </si>
  <si>
    <t>H8</t>
  </si>
  <si>
    <t>H0720</t>
  </si>
  <si>
    <t>B1404</t>
  </si>
  <si>
    <t>B2611</t>
  </si>
  <si>
    <t>B2893</t>
  </si>
  <si>
    <t>H4315</t>
  </si>
  <si>
    <t xml:space="preserve">H4734 </t>
  </si>
  <si>
    <t>H5761</t>
  </si>
  <si>
    <t>H1741</t>
  </si>
  <si>
    <t>H2455</t>
  </si>
  <si>
    <t>H4067</t>
  </si>
  <si>
    <t xml:space="preserve">Moderate </t>
  </si>
  <si>
    <t>02 05 02</t>
  </si>
  <si>
    <t xml:space="preserve">Volac </t>
  </si>
  <si>
    <t>first milk</t>
  </si>
  <si>
    <t>Mr Daniel and Mrs Carys James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</si>
</sst>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C3" sqref="C3:D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13.140625"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1" width="13.140625" style="11" hidden="1" customWidth="1"/>
    <col min="42" max="42" width="0" style="11" hidden="1" customWidth="1"/>
    <col min="43" max="16384" width="13.140625" style="11"/>
  </cols>
  <sheetData>
    <row r="1" spans="1:40" x14ac:dyDescent="0.2">
      <c r="A1" s="128" t="s">
        <v>41</v>
      </c>
      <c r="B1" s="128"/>
      <c r="C1" s="122" t="s">
        <v>160</v>
      </c>
      <c r="D1" s="123"/>
      <c r="E1" s="93" t="s">
        <v>45</v>
      </c>
      <c r="F1" s="96">
        <v>47.4</v>
      </c>
      <c r="G1" s="124" t="s">
        <v>43</v>
      </c>
      <c r="H1" s="125"/>
      <c r="I1" s="96">
        <v>5.43</v>
      </c>
      <c r="J1" s="128" t="s">
        <v>153</v>
      </c>
      <c r="K1" s="128"/>
      <c r="L1" s="96">
        <v>91</v>
      </c>
      <c r="AB1" s="18"/>
      <c r="AC1" s="18"/>
      <c r="AD1" s="30" t="s">
        <v>126</v>
      </c>
      <c r="AE1" s="17"/>
      <c r="AF1" s="17"/>
      <c r="AG1" s="18"/>
      <c r="AH1" s="18"/>
      <c r="AI1" s="40" t="s">
        <v>79</v>
      </c>
      <c r="AJ1" s="41" t="s">
        <v>94</v>
      </c>
      <c r="AK1" s="42" t="s">
        <v>95</v>
      </c>
      <c r="AL1" s="43" t="s">
        <v>125</v>
      </c>
      <c r="AM1" s="43" t="s">
        <v>131</v>
      </c>
      <c r="AN1" s="43" t="s">
        <v>111</v>
      </c>
    </row>
    <row r="2" spans="1:40" x14ac:dyDescent="0.2">
      <c r="A2" s="128" t="s">
        <v>87</v>
      </c>
      <c r="B2" s="128"/>
      <c r="C2" s="120" t="s">
        <v>161</v>
      </c>
      <c r="D2" s="121"/>
      <c r="E2" s="93" t="s">
        <v>109</v>
      </c>
      <c r="F2" s="119" t="s">
        <v>177</v>
      </c>
      <c r="G2" s="126" t="s">
        <v>110</v>
      </c>
      <c r="H2" s="127"/>
      <c r="I2" s="96"/>
      <c r="J2" s="128" t="s">
        <v>158</v>
      </c>
      <c r="K2" s="128"/>
      <c r="L2" s="96">
        <v>0.19</v>
      </c>
      <c r="AB2" s="30" t="s">
        <v>56</v>
      </c>
      <c r="AC2" s="17"/>
      <c r="AD2" s="30" t="s">
        <v>70</v>
      </c>
      <c r="AE2" s="17"/>
      <c r="AF2" s="17"/>
      <c r="AG2" s="44" t="s">
        <v>76</v>
      </c>
      <c r="AH2" s="18"/>
      <c r="AI2" s="45" t="s">
        <v>126</v>
      </c>
      <c r="AJ2" s="46">
        <v>0</v>
      </c>
      <c r="AK2" s="47">
        <v>0</v>
      </c>
      <c r="AL2" s="10">
        <v>0</v>
      </c>
      <c r="AM2" s="11">
        <v>0</v>
      </c>
      <c r="AN2" s="11">
        <v>0</v>
      </c>
    </row>
    <row r="3" spans="1:40" x14ac:dyDescent="0.2">
      <c r="A3" s="124" t="s">
        <v>42</v>
      </c>
      <c r="B3" s="125"/>
      <c r="C3" s="120" t="s">
        <v>180</v>
      </c>
      <c r="D3" s="121"/>
      <c r="E3" s="93" t="s">
        <v>108</v>
      </c>
      <c r="F3" s="31" t="s">
        <v>78</v>
      </c>
      <c r="G3" s="128" t="s">
        <v>159</v>
      </c>
      <c r="H3" s="128"/>
      <c r="I3" s="96">
        <v>14060</v>
      </c>
      <c r="J3" s="124" t="s">
        <v>154</v>
      </c>
      <c r="K3" s="125"/>
      <c r="L3" s="96">
        <f>(L1/(L2*10000))*100</f>
        <v>4.7894736842105257</v>
      </c>
      <c r="AB3" s="30" t="s">
        <v>57</v>
      </c>
      <c r="AC3" s="17"/>
      <c r="AD3" s="30" t="s">
        <v>71</v>
      </c>
      <c r="AE3" s="17"/>
      <c r="AF3" s="17"/>
      <c r="AG3" s="44" t="s">
        <v>77</v>
      </c>
      <c r="AH3" s="18"/>
      <c r="AI3" s="48" t="s">
        <v>113</v>
      </c>
      <c r="AJ3" s="49">
        <v>1.7</v>
      </c>
      <c r="AK3" s="50">
        <v>6</v>
      </c>
      <c r="AL3" s="51">
        <v>1</v>
      </c>
      <c r="AM3" s="11">
        <v>6.2</v>
      </c>
      <c r="AN3" s="11" t="s">
        <v>112</v>
      </c>
    </row>
    <row r="4" spans="1:40" x14ac:dyDescent="0.2">
      <c r="A4" s="128" t="s">
        <v>0</v>
      </c>
      <c r="B4" s="128"/>
      <c r="C4" s="122" t="s">
        <v>163</v>
      </c>
      <c r="D4" s="123"/>
      <c r="E4" s="94" t="s">
        <v>1</v>
      </c>
      <c r="F4" s="95" t="s">
        <v>164</v>
      </c>
      <c r="G4" s="128"/>
      <c r="H4" s="128"/>
      <c r="I4" s="96"/>
      <c r="J4" s="124"/>
      <c r="K4" s="125"/>
      <c r="L4" s="96"/>
      <c r="AB4" s="30" t="s">
        <v>52</v>
      </c>
      <c r="AC4" s="17"/>
      <c r="AD4" s="52" t="s">
        <v>72</v>
      </c>
      <c r="AE4" s="17"/>
      <c r="AF4" s="17"/>
      <c r="AG4" s="44" t="s">
        <v>78</v>
      </c>
      <c r="AH4" s="18"/>
      <c r="AI4" s="53" t="s">
        <v>124</v>
      </c>
      <c r="AJ4" s="54">
        <v>7</v>
      </c>
      <c r="AK4" s="55">
        <v>10.5</v>
      </c>
      <c r="AL4" s="11">
        <v>2</v>
      </c>
      <c r="AM4" s="11">
        <v>6.7</v>
      </c>
      <c r="AN4" s="11" t="s">
        <v>135</v>
      </c>
    </row>
    <row r="5" spans="1:40" x14ac:dyDescent="0.2">
      <c r="A5" s="128" t="s">
        <v>47</v>
      </c>
      <c r="B5" s="128"/>
      <c r="C5" s="129" t="s">
        <v>162</v>
      </c>
      <c r="D5" s="129"/>
      <c r="E5" s="94"/>
      <c r="F5" s="95"/>
      <c r="G5" s="128"/>
      <c r="H5" s="128"/>
      <c r="I5" s="96"/>
      <c r="J5" s="124"/>
      <c r="K5" s="125"/>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x14ac:dyDescent="0.2">
      <c r="A8" s="128" t="s">
        <v>2</v>
      </c>
      <c r="B8" s="128"/>
      <c r="C8" s="15" t="s">
        <v>165</v>
      </c>
      <c r="D8" s="15" t="s">
        <v>166</v>
      </c>
      <c r="E8" s="15" t="s">
        <v>167</v>
      </c>
      <c r="F8" s="15" t="s">
        <v>168</v>
      </c>
      <c r="G8" s="15" t="s">
        <v>169</v>
      </c>
      <c r="H8" s="15" t="s">
        <v>170</v>
      </c>
      <c r="I8" s="15" t="s">
        <v>171</v>
      </c>
      <c r="J8" s="15" t="s">
        <v>172</v>
      </c>
      <c r="K8" s="15" t="s">
        <v>173</v>
      </c>
      <c r="L8" s="15" t="s">
        <v>174</v>
      </c>
      <c r="M8" s="15" t="s">
        <v>175</v>
      </c>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x14ac:dyDescent="0.2">
      <c r="A9" s="128" t="s">
        <v>3</v>
      </c>
      <c r="B9" s="128"/>
      <c r="C9" s="15">
        <v>1</v>
      </c>
      <c r="D9" s="15" t="s">
        <v>176</v>
      </c>
      <c r="E9" s="15" t="s">
        <v>176</v>
      </c>
      <c r="F9" s="15" t="s">
        <v>176</v>
      </c>
      <c r="G9" s="15" t="s">
        <v>176</v>
      </c>
      <c r="H9" s="15" t="s">
        <v>176</v>
      </c>
      <c r="I9" s="15" t="s">
        <v>176</v>
      </c>
      <c r="J9" s="15" t="s">
        <v>176</v>
      </c>
      <c r="K9" s="15" t="s">
        <v>176</v>
      </c>
      <c r="L9" s="15" t="s">
        <v>176</v>
      </c>
      <c r="M9" s="15" t="s">
        <v>176</v>
      </c>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x14ac:dyDescent="0.2">
      <c r="A10" s="128" t="s">
        <v>4</v>
      </c>
      <c r="B10" s="128"/>
      <c r="C10" s="15">
        <v>6</v>
      </c>
      <c r="D10" s="15">
        <v>6.2</v>
      </c>
      <c r="E10" s="15">
        <v>6.3</v>
      </c>
      <c r="F10" s="15">
        <v>6.3</v>
      </c>
      <c r="G10" s="15">
        <v>6.3</v>
      </c>
      <c r="H10" s="15">
        <v>6.3</v>
      </c>
      <c r="I10" s="15">
        <v>6.3</v>
      </c>
      <c r="J10" s="15">
        <v>6.2</v>
      </c>
      <c r="K10" s="15">
        <v>6.2</v>
      </c>
      <c r="L10" s="15">
        <v>6.3</v>
      </c>
      <c r="M10" s="15">
        <v>6.2</v>
      </c>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x14ac:dyDescent="0.2">
      <c r="A11" s="128" t="s">
        <v>5</v>
      </c>
      <c r="B11" s="128"/>
      <c r="C11" s="15">
        <v>2</v>
      </c>
      <c r="D11" s="15">
        <v>2</v>
      </c>
      <c r="E11" s="15">
        <v>2</v>
      </c>
      <c r="F11" s="15">
        <v>2</v>
      </c>
      <c r="G11" s="15">
        <v>2</v>
      </c>
      <c r="H11" s="15">
        <v>2</v>
      </c>
      <c r="I11" s="15">
        <v>2</v>
      </c>
      <c r="J11" s="15">
        <v>1</v>
      </c>
      <c r="K11" s="15">
        <v>2</v>
      </c>
      <c r="L11" s="15">
        <v>2</v>
      </c>
      <c r="M11" s="15">
        <v>2</v>
      </c>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x14ac:dyDescent="0.2">
      <c r="A12" s="128" t="s">
        <v>6</v>
      </c>
      <c r="B12" s="128"/>
      <c r="C12" s="15">
        <v>1</v>
      </c>
      <c r="D12" s="15">
        <v>1</v>
      </c>
      <c r="E12" s="15">
        <v>1</v>
      </c>
      <c r="F12" s="15">
        <v>2</v>
      </c>
      <c r="G12" s="15">
        <v>2</v>
      </c>
      <c r="H12" s="15">
        <v>2</v>
      </c>
      <c r="I12" s="15">
        <v>1</v>
      </c>
      <c r="J12" s="15">
        <v>2</v>
      </c>
      <c r="K12" s="15">
        <v>2</v>
      </c>
      <c r="L12" s="15">
        <v>1</v>
      </c>
      <c r="M12" s="15">
        <v>2</v>
      </c>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x14ac:dyDescent="0.2">
      <c r="A13" s="128" t="s">
        <v>7</v>
      </c>
      <c r="B13" s="128"/>
      <c r="C13" s="15">
        <v>2</v>
      </c>
      <c r="D13" s="15">
        <v>5</v>
      </c>
      <c r="E13" s="15">
        <v>5</v>
      </c>
      <c r="F13" s="15">
        <v>5</v>
      </c>
      <c r="G13" s="15">
        <v>5</v>
      </c>
      <c r="H13" s="15">
        <v>5</v>
      </c>
      <c r="I13" s="15">
        <v>5</v>
      </c>
      <c r="J13" s="15">
        <v>5</v>
      </c>
      <c r="K13" s="15">
        <v>5</v>
      </c>
      <c r="L13" s="15">
        <v>5</v>
      </c>
      <c r="M13" s="15">
        <v>5</v>
      </c>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x14ac:dyDescent="0.2">
      <c r="A14" s="137" t="s">
        <v>8</v>
      </c>
      <c r="B14" s="137"/>
      <c r="C14" s="100" t="s">
        <v>105</v>
      </c>
      <c r="D14" s="100" t="s">
        <v>113</v>
      </c>
      <c r="E14" s="100" t="s">
        <v>113</v>
      </c>
      <c r="F14" s="100" t="s">
        <v>113</v>
      </c>
      <c r="G14" s="100" t="s">
        <v>113</v>
      </c>
      <c r="H14" s="100" t="s">
        <v>113</v>
      </c>
      <c r="I14" s="100" t="s">
        <v>113</v>
      </c>
      <c r="J14" s="100" t="s">
        <v>113</v>
      </c>
      <c r="K14" s="100" t="s">
        <v>113</v>
      </c>
      <c r="L14" s="100" t="s">
        <v>113</v>
      </c>
      <c r="M14" s="100" t="s">
        <v>113</v>
      </c>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x14ac:dyDescent="0.2">
      <c r="A15" s="136" t="s">
        <v>9</v>
      </c>
      <c r="B15" s="136"/>
      <c r="C15" s="15">
        <v>45</v>
      </c>
      <c r="D15" s="15">
        <v>47</v>
      </c>
      <c r="E15" s="15">
        <v>47</v>
      </c>
      <c r="F15" s="15">
        <v>47</v>
      </c>
      <c r="G15" s="15">
        <v>47</v>
      </c>
      <c r="H15" s="15">
        <v>47</v>
      </c>
      <c r="I15" s="15">
        <v>47</v>
      </c>
      <c r="J15" s="15">
        <v>47</v>
      </c>
      <c r="K15" s="15">
        <v>47</v>
      </c>
      <c r="L15" s="15">
        <v>47</v>
      </c>
      <c r="M15" s="15">
        <v>47</v>
      </c>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25">
      <c r="A16" s="138" t="s">
        <v>44</v>
      </c>
      <c r="B16" s="138"/>
      <c r="C16" s="101" t="s">
        <v>72</v>
      </c>
      <c r="D16" s="101" t="s">
        <v>72</v>
      </c>
      <c r="E16" s="101" t="s">
        <v>72</v>
      </c>
      <c r="F16" s="101" t="s">
        <v>72</v>
      </c>
      <c r="G16" s="101" t="s">
        <v>72</v>
      </c>
      <c r="H16" s="101" t="s">
        <v>72</v>
      </c>
      <c r="I16" s="101" t="s">
        <v>72</v>
      </c>
      <c r="J16" s="101" t="s">
        <v>72</v>
      </c>
      <c r="K16" s="101" t="s">
        <v>72</v>
      </c>
      <c r="L16" s="101" t="s">
        <v>72</v>
      </c>
      <c r="M16" s="101" t="s">
        <v>72</v>
      </c>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62.145665999999999</v>
      </c>
      <c r="D18" s="16">
        <f>$D32</f>
        <v>80.036085</v>
      </c>
      <c r="E18" s="16">
        <f>$D33</f>
        <v>80.036085</v>
      </c>
      <c r="F18" s="16">
        <f>$D34</f>
        <v>80.036085</v>
      </c>
      <c r="G18" s="16">
        <f>$D35</f>
        <v>80.036085</v>
      </c>
      <c r="H18" s="16">
        <f>$D36</f>
        <v>80.036085</v>
      </c>
      <c r="I18" s="16">
        <f>$D37</f>
        <v>80.036085</v>
      </c>
      <c r="J18" s="16">
        <f>$D38</f>
        <v>123.34973099999999</v>
      </c>
      <c r="K18" s="16">
        <f>$D39</f>
        <v>80.036085</v>
      </c>
      <c r="L18" s="16">
        <f>$D40</f>
        <v>80.036085</v>
      </c>
      <c r="M18" s="16">
        <f>$D41</f>
        <v>80.036085</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-0.85433399999999438</v>
      </c>
      <c r="D19" s="16">
        <f t="shared" ref="D19:V19" si="1">D18-D17</f>
        <v>0.13608500000000845</v>
      </c>
      <c r="E19" s="16">
        <f t="shared" si="1"/>
        <v>0.13608500000000845</v>
      </c>
      <c r="F19" s="16">
        <f t="shared" si="1"/>
        <v>0.13608500000000845</v>
      </c>
      <c r="G19" s="16">
        <f t="shared" si="1"/>
        <v>0.13608500000000845</v>
      </c>
      <c r="H19" s="16">
        <f t="shared" si="1"/>
        <v>0.13608500000000845</v>
      </c>
      <c r="I19" s="16">
        <f t="shared" si="1"/>
        <v>0.13608500000000845</v>
      </c>
      <c r="J19" s="16">
        <f t="shared" si="1"/>
        <v>43.449731</v>
      </c>
      <c r="K19" s="16">
        <f t="shared" si="1"/>
        <v>0.13608500000000845</v>
      </c>
      <c r="L19" s="16">
        <f t="shared" si="1"/>
        <v>0.13608500000000845</v>
      </c>
      <c r="M19" s="16">
        <f t="shared" si="1"/>
        <v>0.13608500000000845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DECREASE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17.814720000000001</v>
      </c>
      <c r="D22" s="16">
        <f>$E32</f>
        <v>22.943200000000001</v>
      </c>
      <c r="E22" s="16">
        <f>$E33</f>
        <v>22.943200000000001</v>
      </c>
      <c r="F22" s="16">
        <f>$E34</f>
        <v>22.943200000000001</v>
      </c>
      <c r="G22" s="16">
        <f>$E35</f>
        <v>22.943200000000001</v>
      </c>
      <c r="H22" s="16">
        <f>$E36</f>
        <v>22.943200000000001</v>
      </c>
      <c r="I22" s="16">
        <f>$E37</f>
        <v>22.943200000000001</v>
      </c>
      <c r="J22" s="16">
        <f>$E38</f>
        <v>35.359520000000003</v>
      </c>
      <c r="K22" s="16">
        <f>$E39</f>
        <v>22.943200000000001</v>
      </c>
      <c r="L22" s="16">
        <f>$E40</f>
        <v>22.943200000000001</v>
      </c>
      <c r="M22" s="16">
        <f>$E41</f>
        <v>22.943200000000001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-180.18528000000003</v>
      </c>
      <c r="D23" s="16">
        <f t="shared" ref="D23:V23" si="3">D22-D21</f>
        <v>-259.05680000000001</v>
      </c>
      <c r="E23" s="16">
        <f t="shared" si="3"/>
        <v>-259.05680000000001</v>
      </c>
      <c r="F23" s="16">
        <f t="shared" si="3"/>
        <v>-259.05680000000001</v>
      </c>
      <c r="G23" s="16">
        <f t="shared" si="3"/>
        <v>-259.05680000000001</v>
      </c>
      <c r="H23" s="16">
        <f t="shared" si="3"/>
        <v>-259.05680000000001</v>
      </c>
      <c r="I23" s="16">
        <f t="shared" si="3"/>
        <v>-259.05680000000001</v>
      </c>
      <c r="J23" s="16">
        <f t="shared" si="3"/>
        <v>-246.64048</v>
      </c>
      <c r="K23" s="16">
        <f t="shared" si="3"/>
        <v>-259.05680000000001</v>
      </c>
      <c r="L23" s="16">
        <f t="shared" si="3"/>
        <v>-259.05680000000001</v>
      </c>
      <c r="M23" s="16">
        <f t="shared" si="3"/>
        <v>-259.05680000000001</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4.41</v>
      </c>
      <c r="C28" s="15">
        <v>0.19</v>
      </c>
      <c r="D28" s="15">
        <v>411</v>
      </c>
      <c r="E28" s="15">
        <v>224</v>
      </c>
      <c r="F28" s="15">
        <v>40.9</v>
      </c>
      <c r="G28" s="15">
        <v>0.2</v>
      </c>
      <c r="H28" s="15">
        <v>1.32</v>
      </c>
      <c r="I28" s="15">
        <v>0.5</v>
      </c>
      <c r="J28" s="15">
        <v>0.01</v>
      </c>
      <c r="K28" s="23">
        <v>0.05</v>
      </c>
      <c r="L28" s="15">
        <v>0.2</v>
      </c>
      <c r="M28" s="15">
        <v>0.3</v>
      </c>
      <c r="N28" s="15"/>
      <c r="O28" s="15"/>
      <c r="P28" s="15">
        <v>339</v>
      </c>
      <c r="Q28" s="15">
        <v>148</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v>66</v>
      </c>
      <c r="C31" s="77">
        <f>IF(C$27="%w/w SAR",((C$28*10)*$B31),IF(C$27="%w/w DM",(((C$28*10)*($B$28/100))*$B31),IF(C$27="kg/t SAR",(C$28*$B31),IF(C$27="kg/t DM",((C$28*($B$28/100))*$B31),IF(C$27="mg/kg SAR",((C$28*0.001)*$B31),IF(C$27="mg/kg DM",(((C$28*0.001)*($B$28/100))*$B31),0))))))</f>
        <v>125.39999999999999</v>
      </c>
      <c r="D31" s="77">
        <f>(IF(D$27="%w/w SAR",((D$28*10)*$B31),IF(D$27="%w/w DM",(((D$28*10)*($B$28/100))*$B31),IF(D$27="kg/t SAR",(D$28*$B31),IF(D$27="kg/t DM",((D$28*($B$28/100))*$B31),IF(D$27="mg/kg SAR",((D$28*0.001)*$B31),IF(D$27="mg/kg DM",(((D$28*0.001)*($B$28/100))*$B31),"0")))))))*2.291</f>
        <v>62.145665999999999</v>
      </c>
      <c r="E31" s="77">
        <f>(IF(E$27="%w/w SAR",((E$28*10)*$B31),IF(E$27="%w/w DM",(((E$28*10)*($B$28/100))*$B31),IF(E$27="kg/t SAR",(E$28*$B31),IF(E$27="kg/t DM",((E$28*($B$28/100))*$B31),IF(E$27="mg/kg SAR",((E$28*0.001)*$B31),IF(E$27="mg/kg DM",(((E$28*0.001)*($B$28/100))*$B31),"0")))))))*1.205</f>
        <v>17.814720000000001</v>
      </c>
      <c r="F31" s="77">
        <f>(IF(F$27="%w/w SAR",((F$28*10)*$B31),IF(F$27="%w/w DM",(((F$28*10)*($B$28/100))*$B31),IF(F$27="kg/t SAR",(F$28*$B31),IF(F$27="kg/t DM",((F$28*($B$28/100))*$B31),IF(F$27="mg/kg SAR",((F$28*0.001)*$B31),IF(F$27="mg/kg DM",(((F$28*0.001)*($B$28/100))*$B31),"0")))))))*1.658</f>
        <v>4.4756051999999995</v>
      </c>
      <c r="G31" s="77">
        <f t="shared" ref="G31:P31" si="5">IF(G$27="%w/w SAR",((G$28*10)*$B31),IF(G$27="%w/w DM",(((G$28*10)*($B$28/100))*$B31),IF(G$27="kg/t SAR",(G$28*$B31),IF(G$27="kg/t DM",((G$28*($B$28/100))*$B31),IF(G$27="mg/kg SAR",((G$28*0.001)*$B31),IF(G$27="mg/kg DM",(((G$28*0.001)*($B$28/100))*$B31),0))))))</f>
        <v>1.32E-2</v>
      </c>
      <c r="H31" s="77">
        <f t="shared" si="5"/>
        <v>8.7120000000000003E-2</v>
      </c>
      <c r="I31" s="77">
        <f t="shared" si="5"/>
        <v>3.3000000000000002E-2</v>
      </c>
      <c r="J31" s="77">
        <f t="shared" si="5"/>
        <v>6.600000000000001E-4</v>
      </c>
      <c r="K31" s="77">
        <f t="shared" si="5"/>
        <v>3.3E-3</v>
      </c>
      <c r="L31" s="77">
        <f t="shared" si="5"/>
        <v>1.32E-2</v>
      </c>
      <c r="M31" s="77">
        <f t="shared" si="5"/>
        <v>1.9799999999999998E-2</v>
      </c>
      <c r="N31" s="77">
        <f t="shared" si="5"/>
        <v>0</v>
      </c>
      <c r="O31" s="77">
        <f t="shared" si="5"/>
        <v>0</v>
      </c>
      <c r="P31" s="77">
        <f t="shared" si="5"/>
        <v>22.374000000000002</v>
      </c>
      <c r="Q31" s="77">
        <f>(IF(Q$27="%w/w SAR",((Q$28*10)*$B31),IF(Q$27="%w/w DM",(((Q$28*10)*($B$28/100))*$B31),IF(Q$27="kg/t SAR",(Q$28*$B31),IF(Q$27="kg/t DM",((Q$28*($B$28/100))*$B31),IF(Q$27="mg/kg SAR",((Q$28*0.001)*$B31),IF(Q$27="mg/kg DM",(((Q$28*0.001)*($B$28/100))*$B31),0)))))))*2.5</f>
        <v>24.419999999999998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v>85</v>
      </c>
      <c r="C32" s="77">
        <f t="shared" ref="C32:C50" si="6">IF(C$27="%w/w SAR",((C$28*10)*$B32),IF(C$27="%w/w DM",(((C$28*10)*($B$28/100))*$B32),IF(C$27="kg/t SAR",(C$28*$B32),IF(C$27="kg/t DM",((C$28*($B$28/100))*$B32),IF(C$27="mg/kg SAR",((C$28*0.001)*$B32),IF(C$27="mg/kg DM",(((C$28*0.001)*($B$28/100))*$B32),0))))))</f>
        <v>161.5</v>
      </c>
      <c r="D32" s="77">
        <f t="shared" ref="D32:D50" si="7">(IF(D$27="%w/w SAR",((D$28*10)*$B32),IF(D$27="%w/w DM",(((D$28*10)*($B$28/100))*$B32),IF(D$27="kg/t SAR",(D$28*$B32),IF(D$27="kg/t DM",((D$28*($B$28/100))*$B32),IF(D$27="mg/kg SAR",((D$28*0.001)*$B32),IF(D$27="mg/kg DM",(((D$28*0.001)*($B$28/100))*$B32),"0")))))))*2.291</f>
        <v>80.036085</v>
      </c>
      <c r="E32" s="77">
        <f t="shared" ref="E32:E50" si="8">(IF(E$27="%w/w SAR",((E$28*10)*$B32),IF(E$27="%w/w DM",(((E$28*10)*($B$28/100))*$B32),IF(E$27="kg/t SAR",(E$28*$B32),IF(E$27="kg/t DM",((E$28*($B$28/100))*$B32),IF(E$27="mg/kg SAR",((E$28*0.001)*$B32),IF(E$27="mg/kg DM",(((E$28*0.001)*($B$28/100))*$B32),"0")))))))*1.205</f>
        <v>22.943200000000001</v>
      </c>
      <c r="F32" s="77">
        <f t="shared" ref="F32:F50" si="9">(IF(F$27="%w/w SAR",((F$28*10)*$B32),IF(F$27="%w/w DM",(((F$28*10)*($B$28/100))*$B32),IF(F$27="kg/t SAR",(F$28*$B32),IF(F$27="kg/t DM",((F$28*($B$28/100))*$B32),IF(F$27="mg/kg SAR",((F$28*0.001)*$B32),IF(F$27="mg/kg DM",(((F$28*0.001)*($B$28/100))*$B32),"0")))))))*1.658</f>
        <v>5.7640369999999992</v>
      </c>
      <c r="G32" s="77">
        <f t="shared" ref="G32:P50" si="10">IF(G$27="%w/w SAR",((G$28*10)*$B32),IF(G$27="%w/w DM",(((G$28*10)*($B$28/100))*$B32),IF(G$27="kg/t SAR",(G$28*$B32),IF(G$27="kg/t DM",((G$28*($B$28/100))*$B32),IF(G$27="mg/kg SAR",((G$28*0.001)*$B32),IF(G$27="mg/kg DM",(((G$28*0.001)*($B$28/100))*$B32),0))))))</f>
        <v>1.7000000000000001E-2</v>
      </c>
      <c r="H32" s="77">
        <f t="shared" si="10"/>
        <v>0.11219999999999999</v>
      </c>
      <c r="I32" s="77">
        <f t="shared" si="10"/>
        <v>4.2500000000000003E-2</v>
      </c>
      <c r="J32" s="77">
        <f t="shared" si="10"/>
        <v>8.5000000000000006E-4</v>
      </c>
      <c r="K32" s="77">
        <f t="shared" si="10"/>
        <v>4.2500000000000003E-3</v>
      </c>
      <c r="L32" s="77">
        <f t="shared" si="10"/>
        <v>1.7000000000000001E-2</v>
      </c>
      <c r="M32" s="77">
        <f t="shared" si="10"/>
        <v>2.5499999999999998E-2</v>
      </c>
      <c r="N32" s="77">
        <f t="shared" si="10"/>
        <v>0</v>
      </c>
      <c r="O32" s="77">
        <f t="shared" si="10"/>
        <v>0</v>
      </c>
      <c r="P32" s="77">
        <f t="shared" si="10"/>
        <v>28.815000000000001</v>
      </c>
      <c r="Q32" s="77">
        <f t="shared" ref="Q32:Q50" si="11">(IF(Q$27="%w/w SAR",((Q$28*10)*$B32),IF(Q$27="%w/w DM",(((Q$28*10)*($B$28/100))*$B32),IF(Q$27="kg/t SAR",(Q$28*$B32),IF(Q$27="kg/t DM",((Q$28*($B$28/100))*$B32),IF(Q$27="mg/kg SAR",((Q$28*0.001)*$B32),IF(Q$27="mg/kg DM",(((Q$28*0.001)*($B$28/100))*$B32),0)))))))*2.5</f>
        <v>31.45</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x14ac:dyDescent="0.25">
      <c r="A33" s="13" t="str">
        <f>E8</f>
        <v>B1404</v>
      </c>
      <c r="B33" s="15">
        <v>85</v>
      </c>
      <c r="C33" s="77">
        <f t="shared" si="6"/>
        <v>161.5</v>
      </c>
      <c r="D33" s="77">
        <f t="shared" si="7"/>
        <v>80.036085</v>
      </c>
      <c r="E33" s="77">
        <f t="shared" si="8"/>
        <v>22.943200000000001</v>
      </c>
      <c r="F33" s="77">
        <f t="shared" si="9"/>
        <v>5.7640369999999992</v>
      </c>
      <c r="G33" s="77">
        <f t="shared" si="10"/>
        <v>1.7000000000000001E-2</v>
      </c>
      <c r="H33" s="77">
        <f t="shared" si="10"/>
        <v>0.11219999999999999</v>
      </c>
      <c r="I33" s="77">
        <f t="shared" si="10"/>
        <v>4.2500000000000003E-2</v>
      </c>
      <c r="J33" s="77">
        <f t="shared" si="10"/>
        <v>8.5000000000000006E-4</v>
      </c>
      <c r="K33" s="77">
        <f t="shared" si="10"/>
        <v>4.2500000000000003E-3</v>
      </c>
      <c r="L33" s="77">
        <f t="shared" si="10"/>
        <v>1.7000000000000001E-2</v>
      </c>
      <c r="M33" s="77">
        <f t="shared" si="10"/>
        <v>2.5499999999999998E-2</v>
      </c>
      <c r="N33" s="77">
        <f t="shared" si="10"/>
        <v>0</v>
      </c>
      <c r="O33" s="77">
        <f t="shared" si="10"/>
        <v>0</v>
      </c>
      <c r="P33" s="77">
        <f t="shared" si="10"/>
        <v>28.815000000000001</v>
      </c>
      <c r="Q33" s="77">
        <f t="shared" si="11"/>
        <v>31.45</v>
      </c>
      <c r="R33" s="77">
        <f t="shared" si="12"/>
        <v>0</v>
      </c>
      <c r="S33" s="77">
        <f t="shared" si="12"/>
        <v>0</v>
      </c>
      <c r="T33" s="77">
        <f t="shared" si="12"/>
        <v>0</v>
      </c>
      <c r="U33" s="77">
        <f t="shared" si="12"/>
        <v>0</v>
      </c>
      <c r="AB33" s="59"/>
      <c r="AC33" s="59"/>
      <c r="AD33" s="59"/>
      <c r="AE33" s="59"/>
      <c r="AF33" s="59"/>
      <c r="AG33" s="59"/>
      <c r="AH33" s="59"/>
      <c r="AI33" s="59"/>
    </row>
    <row r="34" spans="1:35" s="72" customFormat="1" x14ac:dyDescent="0.25">
      <c r="A34" s="13" t="str">
        <f>F8</f>
        <v>B2611</v>
      </c>
      <c r="B34" s="15">
        <v>85</v>
      </c>
      <c r="C34" s="77">
        <f t="shared" si="6"/>
        <v>161.5</v>
      </c>
      <c r="D34" s="77">
        <f t="shared" si="7"/>
        <v>80.036085</v>
      </c>
      <c r="E34" s="77">
        <f t="shared" si="8"/>
        <v>22.943200000000001</v>
      </c>
      <c r="F34" s="77">
        <f t="shared" si="9"/>
        <v>5.7640369999999992</v>
      </c>
      <c r="G34" s="77">
        <f t="shared" si="10"/>
        <v>1.7000000000000001E-2</v>
      </c>
      <c r="H34" s="77">
        <f t="shared" si="10"/>
        <v>0.11219999999999999</v>
      </c>
      <c r="I34" s="77">
        <f t="shared" si="10"/>
        <v>4.2500000000000003E-2</v>
      </c>
      <c r="J34" s="77">
        <f t="shared" si="10"/>
        <v>8.5000000000000006E-4</v>
      </c>
      <c r="K34" s="77">
        <f t="shared" si="10"/>
        <v>4.2500000000000003E-3</v>
      </c>
      <c r="L34" s="77">
        <f t="shared" si="10"/>
        <v>1.7000000000000001E-2</v>
      </c>
      <c r="M34" s="77">
        <f t="shared" si="10"/>
        <v>2.5499999999999998E-2</v>
      </c>
      <c r="N34" s="77">
        <f t="shared" si="10"/>
        <v>0</v>
      </c>
      <c r="O34" s="77">
        <f t="shared" si="10"/>
        <v>0</v>
      </c>
      <c r="P34" s="77">
        <f t="shared" si="10"/>
        <v>28.815000000000001</v>
      </c>
      <c r="Q34" s="77">
        <f t="shared" si="11"/>
        <v>31.45</v>
      </c>
      <c r="R34" s="77">
        <f t="shared" si="12"/>
        <v>0</v>
      </c>
      <c r="S34" s="77">
        <f t="shared" si="12"/>
        <v>0</v>
      </c>
      <c r="T34" s="77">
        <f t="shared" si="12"/>
        <v>0</v>
      </c>
      <c r="U34" s="77">
        <f t="shared" si="12"/>
        <v>0</v>
      </c>
      <c r="AB34" s="59"/>
      <c r="AC34" s="59"/>
      <c r="AD34" s="59"/>
      <c r="AE34" s="59"/>
      <c r="AF34" s="59"/>
      <c r="AG34" s="59"/>
      <c r="AH34" s="59"/>
      <c r="AI34" s="59"/>
    </row>
    <row r="35" spans="1:35" s="72" customFormat="1" x14ac:dyDescent="0.25">
      <c r="A35" s="13" t="str">
        <f>G8</f>
        <v>B2893</v>
      </c>
      <c r="B35" s="15">
        <v>85</v>
      </c>
      <c r="C35" s="77">
        <f t="shared" si="6"/>
        <v>161.5</v>
      </c>
      <c r="D35" s="77">
        <f t="shared" si="7"/>
        <v>80.036085</v>
      </c>
      <c r="E35" s="77">
        <f t="shared" si="8"/>
        <v>22.943200000000001</v>
      </c>
      <c r="F35" s="77">
        <f t="shared" si="9"/>
        <v>5.7640369999999992</v>
      </c>
      <c r="G35" s="77">
        <f t="shared" si="10"/>
        <v>1.7000000000000001E-2</v>
      </c>
      <c r="H35" s="77">
        <f t="shared" si="10"/>
        <v>0.11219999999999999</v>
      </c>
      <c r="I35" s="77">
        <f t="shared" si="10"/>
        <v>4.2500000000000003E-2</v>
      </c>
      <c r="J35" s="77">
        <f t="shared" si="10"/>
        <v>8.5000000000000006E-4</v>
      </c>
      <c r="K35" s="77">
        <f t="shared" si="10"/>
        <v>4.2500000000000003E-3</v>
      </c>
      <c r="L35" s="77">
        <f t="shared" si="10"/>
        <v>1.7000000000000001E-2</v>
      </c>
      <c r="M35" s="77">
        <f t="shared" si="10"/>
        <v>2.5499999999999998E-2</v>
      </c>
      <c r="N35" s="77">
        <f t="shared" si="10"/>
        <v>0</v>
      </c>
      <c r="O35" s="77">
        <f t="shared" si="10"/>
        <v>0</v>
      </c>
      <c r="P35" s="77">
        <f t="shared" si="10"/>
        <v>28.815000000000001</v>
      </c>
      <c r="Q35" s="77">
        <f t="shared" si="11"/>
        <v>31.45</v>
      </c>
      <c r="R35" s="77">
        <f t="shared" si="12"/>
        <v>0</v>
      </c>
      <c r="S35" s="77">
        <f t="shared" si="12"/>
        <v>0</v>
      </c>
      <c r="T35" s="77">
        <f t="shared" si="12"/>
        <v>0</v>
      </c>
      <c r="U35" s="77">
        <f t="shared" si="12"/>
        <v>0</v>
      </c>
      <c r="AB35" s="59"/>
      <c r="AC35" s="59"/>
      <c r="AD35" s="59"/>
      <c r="AE35" s="59"/>
      <c r="AF35" s="59"/>
      <c r="AG35" s="59"/>
      <c r="AH35" s="59"/>
      <c r="AI35" s="59"/>
    </row>
    <row r="36" spans="1:35" s="72" customFormat="1" x14ac:dyDescent="0.25">
      <c r="A36" s="13" t="str">
        <f>H8</f>
        <v>H4315</v>
      </c>
      <c r="B36" s="15">
        <v>85</v>
      </c>
      <c r="C36" s="77">
        <f t="shared" si="6"/>
        <v>161.5</v>
      </c>
      <c r="D36" s="77">
        <f t="shared" si="7"/>
        <v>80.036085</v>
      </c>
      <c r="E36" s="77">
        <f t="shared" si="8"/>
        <v>22.943200000000001</v>
      </c>
      <c r="F36" s="77">
        <f t="shared" si="9"/>
        <v>5.7640369999999992</v>
      </c>
      <c r="G36" s="77">
        <f t="shared" si="10"/>
        <v>1.7000000000000001E-2</v>
      </c>
      <c r="H36" s="77">
        <f t="shared" si="10"/>
        <v>0.11219999999999999</v>
      </c>
      <c r="I36" s="77">
        <f t="shared" si="10"/>
        <v>4.2500000000000003E-2</v>
      </c>
      <c r="J36" s="77">
        <f t="shared" si="10"/>
        <v>8.5000000000000006E-4</v>
      </c>
      <c r="K36" s="77">
        <f t="shared" si="10"/>
        <v>4.2500000000000003E-3</v>
      </c>
      <c r="L36" s="77">
        <f t="shared" si="10"/>
        <v>1.7000000000000001E-2</v>
      </c>
      <c r="M36" s="77">
        <f t="shared" si="10"/>
        <v>2.5499999999999998E-2</v>
      </c>
      <c r="N36" s="77">
        <f t="shared" si="10"/>
        <v>0</v>
      </c>
      <c r="O36" s="77">
        <f t="shared" si="10"/>
        <v>0</v>
      </c>
      <c r="P36" s="77">
        <f t="shared" si="10"/>
        <v>28.815000000000001</v>
      </c>
      <c r="Q36" s="77">
        <f t="shared" si="11"/>
        <v>31.45</v>
      </c>
      <c r="R36" s="77">
        <f t="shared" si="12"/>
        <v>0</v>
      </c>
      <c r="S36" s="77">
        <f t="shared" si="12"/>
        <v>0</v>
      </c>
      <c r="T36" s="77">
        <f t="shared" si="12"/>
        <v>0</v>
      </c>
      <c r="U36" s="77">
        <f t="shared" si="12"/>
        <v>0</v>
      </c>
      <c r="AB36" s="59"/>
      <c r="AC36" s="59"/>
      <c r="AD36" s="59"/>
      <c r="AE36" s="59"/>
      <c r="AF36" s="59"/>
      <c r="AG36" s="59"/>
      <c r="AH36" s="59"/>
      <c r="AI36" s="59"/>
    </row>
    <row r="37" spans="1:35" s="72" customFormat="1" x14ac:dyDescent="0.25">
      <c r="A37" s="13" t="str">
        <f>I8</f>
        <v xml:space="preserve">H4734 </v>
      </c>
      <c r="B37" s="15">
        <v>85</v>
      </c>
      <c r="C37" s="77">
        <f t="shared" si="6"/>
        <v>161.5</v>
      </c>
      <c r="D37" s="77">
        <f t="shared" si="7"/>
        <v>80.036085</v>
      </c>
      <c r="E37" s="77">
        <f t="shared" si="8"/>
        <v>22.943200000000001</v>
      </c>
      <c r="F37" s="77">
        <f t="shared" si="9"/>
        <v>5.7640369999999992</v>
      </c>
      <c r="G37" s="77">
        <f t="shared" si="10"/>
        <v>1.7000000000000001E-2</v>
      </c>
      <c r="H37" s="77">
        <f t="shared" si="10"/>
        <v>0.11219999999999999</v>
      </c>
      <c r="I37" s="77">
        <f t="shared" si="10"/>
        <v>4.2500000000000003E-2</v>
      </c>
      <c r="J37" s="77">
        <f t="shared" si="10"/>
        <v>8.5000000000000006E-4</v>
      </c>
      <c r="K37" s="77">
        <f t="shared" si="10"/>
        <v>4.2500000000000003E-3</v>
      </c>
      <c r="L37" s="77">
        <f t="shared" si="10"/>
        <v>1.7000000000000001E-2</v>
      </c>
      <c r="M37" s="77">
        <f t="shared" si="10"/>
        <v>2.5499999999999998E-2</v>
      </c>
      <c r="N37" s="77">
        <f t="shared" si="10"/>
        <v>0</v>
      </c>
      <c r="O37" s="77">
        <f t="shared" si="10"/>
        <v>0</v>
      </c>
      <c r="P37" s="77">
        <f t="shared" si="10"/>
        <v>28.815000000000001</v>
      </c>
      <c r="Q37" s="77">
        <f t="shared" si="11"/>
        <v>31.45</v>
      </c>
      <c r="R37" s="77">
        <f t="shared" si="12"/>
        <v>0</v>
      </c>
      <c r="S37" s="77">
        <f t="shared" si="12"/>
        <v>0</v>
      </c>
      <c r="T37" s="77">
        <f t="shared" si="12"/>
        <v>0</v>
      </c>
      <c r="U37" s="77">
        <f t="shared" si="12"/>
        <v>0</v>
      </c>
      <c r="AB37" s="59"/>
      <c r="AC37" s="59"/>
      <c r="AD37" s="59"/>
      <c r="AE37" s="59"/>
      <c r="AF37" s="59"/>
      <c r="AG37" s="59"/>
      <c r="AH37" s="59"/>
      <c r="AI37" s="59"/>
    </row>
    <row r="38" spans="1:35" s="72" customFormat="1" x14ac:dyDescent="0.25">
      <c r="A38" s="13" t="str">
        <f>J8</f>
        <v>H5761</v>
      </c>
      <c r="B38" s="15">
        <v>131</v>
      </c>
      <c r="C38" s="77">
        <f t="shared" si="6"/>
        <v>248.89999999999998</v>
      </c>
      <c r="D38" s="77">
        <f t="shared" si="7"/>
        <v>123.34973099999999</v>
      </c>
      <c r="E38" s="77">
        <f t="shared" si="8"/>
        <v>35.359520000000003</v>
      </c>
      <c r="F38" s="77">
        <f t="shared" si="9"/>
        <v>8.8833982000000002</v>
      </c>
      <c r="G38" s="77">
        <f t="shared" si="10"/>
        <v>2.6200000000000001E-2</v>
      </c>
      <c r="H38" s="77">
        <f t="shared" si="10"/>
        <v>0.17291999999999999</v>
      </c>
      <c r="I38" s="77">
        <f t="shared" si="10"/>
        <v>6.5500000000000003E-2</v>
      </c>
      <c r="J38" s="77">
        <f t="shared" si="10"/>
        <v>1.3100000000000002E-3</v>
      </c>
      <c r="K38" s="77">
        <f t="shared" si="10"/>
        <v>6.5500000000000003E-3</v>
      </c>
      <c r="L38" s="77">
        <f t="shared" si="10"/>
        <v>2.6200000000000001E-2</v>
      </c>
      <c r="M38" s="77">
        <f t="shared" si="10"/>
        <v>3.9299999999999995E-2</v>
      </c>
      <c r="N38" s="77">
        <f t="shared" si="10"/>
        <v>0</v>
      </c>
      <c r="O38" s="77">
        <f t="shared" si="10"/>
        <v>0</v>
      </c>
      <c r="P38" s="77">
        <f t="shared" si="10"/>
        <v>44.409000000000006</v>
      </c>
      <c r="Q38" s="77">
        <f t="shared" si="11"/>
        <v>48.47</v>
      </c>
      <c r="R38" s="77">
        <f t="shared" si="12"/>
        <v>0</v>
      </c>
      <c r="S38" s="77">
        <f t="shared" si="12"/>
        <v>0</v>
      </c>
      <c r="T38" s="77">
        <f t="shared" si="12"/>
        <v>0</v>
      </c>
      <c r="U38" s="77">
        <f t="shared" si="12"/>
        <v>0</v>
      </c>
      <c r="AB38" s="59"/>
      <c r="AC38" s="59"/>
      <c r="AD38" s="59"/>
      <c r="AE38" s="59"/>
      <c r="AF38" s="59"/>
      <c r="AG38" s="59"/>
      <c r="AH38" s="59"/>
      <c r="AI38" s="59"/>
    </row>
    <row r="39" spans="1:35" s="72" customFormat="1" x14ac:dyDescent="0.25">
      <c r="A39" s="13" t="str">
        <f>K8</f>
        <v>H1741</v>
      </c>
      <c r="B39" s="15">
        <v>85</v>
      </c>
      <c r="C39" s="77">
        <f t="shared" si="6"/>
        <v>161.5</v>
      </c>
      <c r="D39" s="77">
        <f t="shared" si="7"/>
        <v>80.036085</v>
      </c>
      <c r="E39" s="77">
        <f t="shared" si="8"/>
        <v>22.943200000000001</v>
      </c>
      <c r="F39" s="77">
        <f t="shared" si="9"/>
        <v>5.7640369999999992</v>
      </c>
      <c r="G39" s="77">
        <f t="shared" si="10"/>
        <v>1.7000000000000001E-2</v>
      </c>
      <c r="H39" s="77">
        <f t="shared" si="10"/>
        <v>0.11219999999999999</v>
      </c>
      <c r="I39" s="77">
        <f t="shared" si="10"/>
        <v>4.2500000000000003E-2</v>
      </c>
      <c r="J39" s="77">
        <f t="shared" si="10"/>
        <v>8.5000000000000006E-4</v>
      </c>
      <c r="K39" s="77">
        <f t="shared" si="10"/>
        <v>4.2500000000000003E-3</v>
      </c>
      <c r="L39" s="77">
        <f t="shared" si="10"/>
        <v>1.7000000000000001E-2</v>
      </c>
      <c r="M39" s="77">
        <f t="shared" si="10"/>
        <v>2.5499999999999998E-2</v>
      </c>
      <c r="N39" s="77">
        <f t="shared" si="10"/>
        <v>0</v>
      </c>
      <c r="O39" s="77">
        <f t="shared" si="10"/>
        <v>0</v>
      </c>
      <c r="P39" s="77">
        <f t="shared" si="10"/>
        <v>28.815000000000001</v>
      </c>
      <c r="Q39" s="77">
        <f t="shared" si="11"/>
        <v>31.45</v>
      </c>
      <c r="R39" s="77">
        <f t="shared" si="12"/>
        <v>0</v>
      </c>
      <c r="S39" s="77">
        <f t="shared" si="12"/>
        <v>0</v>
      </c>
      <c r="T39" s="77">
        <f t="shared" si="12"/>
        <v>0</v>
      </c>
      <c r="U39" s="77">
        <f t="shared" si="12"/>
        <v>0</v>
      </c>
      <c r="AB39" s="59"/>
      <c r="AC39" s="59"/>
      <c r="AD39" s="59"/>
      <c r="AE39" s="59"/>
      <c r="AF39" s="59"/>
      <c r="AG39" s="59"/>
      <c r="AH39" s="59"/>
      <c r="AI39" s="59"/>
    </row>
    <row r="40" spans="1:35" s="72" customFormat="1" x14ac:dyDescent="0.25">
      <c r="A40" s="13" t="str">
        <f>L8</f>
        <v>H2455</v>
      </c>
      <c r="B40" s="15">
        <v>85</v>
      </c>
      <c r="C40" s="77">
        <f t="shared" si="6"/>
        <v>161.5</v>
      </c>
      <c r="D40" s="77">
        <f t="shared" si="7"/>
        <v>80.036085</v>
      </c>
      <c r="E40" s="77">
        <f t="shared" si="8"/>
        <v>22.943200000000001</v>
      </c>
      <c r="F40" s="77">
        <f t="shared" si="9"/>
        <v>5.7640369999999992</v>
      </c>
      <c r="G40" s="77">
        <f t="shared" si="10"/>
        <v>1.7000000000000001E-2</v>
      </c>
      <c r="H40" s="77">
        <f t="shared" si="10"/>
        <v>0.11219999999999999</v>
      </c>
      <c r="I40" s="77">
        <f t="shared" si="10"/>
        <v>4.2500000000000003E-2</v>
      </c>
      <c r="J40" s="77">
        <f t="shared" si="10"/>
        <v>8.5000000000000006E-4</v>
      </c>
      <c r="K40" s="77">
        <f t="shared" si="10"/>
        <v>4.2500000000000003E-3</v>
      </c>
      <c r="L40" s="77">
        <f t="shared" si="10"/>
        <v>1.7000000000000001E-2</v>
      </c>
      <c r="M40" s="77">
        <f t="shared" si="10"/>
        <v>2.5499999999999998E-2</v>
      </c>
      <c r="N40" s="77">
        <f t="shared" si="10"/>
        <v>0</v>
      </c>
      <c r="O40" s="77">
        <f t="shared" si="10"/>
        <v>0</v>
      </c>
      <c r="P40" s="77">
        <f t="shared" si="10"/>
        <v>28.815000000000001</v>
      </c>
      <c r="Q40" s="77">
        <f t="shared" si="11"/>
        <v>31.45</v>
      </c>
      <c r="R40" s="77">
        <f t="shared" si="12"/>
        <v>0</v>
      </c>
      <c r="S40" s="77">
        <f t="shared" si="12"/>
        <v>0</v>
      </c>
      <c r="T40" s="77">
        <f t="shared" si="12"/>
        <v>0</v>
      </c>
      <c r="U40" s="77">
        <f t="shared" si="12"/>
        <v>0</v>
      </c>
      <c r="AB40" s="59"/>
      <c r="AC40" s="59"/>
      <c r="AD40" s="59"/>
      <c r="AE40" s="59"/>
      <c r="AF40" s="59"/>
      <c r="AG40" s="59"/>
      <c r="AH40" s="59"/>
      <c r="AI40" s="59"/>
    </row>
    <row r="41" spans="1:35" s="72" customFormat="1" x14ac:dyDescent="0.25">
      <c r="A41" s="13" t="str">
        <f>M8</f>
        <v>H4067</v>
      </c>
      <c r="B41" s="15">
        <v>85</v>
      </c>
      <c r="C41" s="77">
        <f t="shared" si="6"/>
        <v>161.5</v>
      </c>
      <c r="D41" s="77">
        <f t="shared" si="7"/>
        <v>80.036085</v>
      </c>
      <c r="E41" s="77">
        <f t="shared" si="8"/>
        <v>22.943200000000001</v>
      </c>
      <c r="F41" s="77">
        <f t="shared" si="9"/>
        <v>5.7640369999999992</v>
      </c>
      <c r="G41" s="77">
        <f t="shared" si="10"/>
        <v>1.7000000000000001E-2</v>
      </c>
      <c r="H41" s="77">
        <f t="shared" si="10"/>
        <v>0.11219999999999999</v>
      </c>
      <c r="I41" s="77">
        <f t="shared" si="10"/>
        <v>4.2500000000000003E-2</v>
      </c>
      <c r="J41" s="77">
        <f t="shared" si="10"/>
        <v>8.5000000000000006E-4</v>
      </c>
      <c r="K41" s="77">
        <f t="shared" si="10"/>
        <v>4.2500000000000003E-3</v>
      </c>
      <c r="L41" s="77">
        <f t="shared" si="10"/>
        <v>1.7000000000000001E-2</v>
      </c>
      <c r="M41" s="77">
        <f t="shared" si="10"/>
        <v>2.5499999999999998E-2</v>
      </c>
      <c r="N41" s="77">
        <f t="shared" si="10"/>
        <v>0</v>
      </c>
      <c r="O41" s="77">
        <f t="shared" si="10"/>
        <v>0</v>
      </c>
      <c r="P41" s="77">
        <f t="shared" si="10"/>
        <v>28.815000000000001</v>
      </c>
      <c r="Q41" s="77">
        <f t="shared" si="11"/>
        <v>31.45</v>
      </c>
      <c r="R41" s="77">
        <f t="shared" si="12"/>
        <v>0</v>
      </c>
      <c r="S41" s="77">
        <f t="shared" si="12"/>
        <v>0</v>
      </c>
      <c r="T41" s="77">
        <f t="shared" si="12"/>
        <v>0</v>
      </c>
      <c r="U41" s="77">
        <f t="shared" si="12"/>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"&amp;(VLOOKUP(C14,Table24[],6,FALSE))</f>
        <v>Medium/Clay I Arable</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x14ac:dyDescent="0.2">
      <c r="A59" s="111" t="s">
        <v>132</v>
      </c>
      <c r="B59" s="76">
        <f>VLOOKUP(C$14,Table24[],5,FALSE)</f>
        <v>6.7</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66</v>
      </c>
      <c r="C62" s="77">
        <f>B32</f>
        <v>85</v>
      </c>
      <c r="D62" s="77">
        <f>B33</f>
        <v>85</v>
      </c>
      <c r="E62" s="77">
        <f>B34</f>
        <v>85</v>
      </c>
      <c r="F62" s="77">
        <f>B35</f>
        <v>85</v>
      </c>
      <c r="G62" s="77">
        <f>B36</f>
        <v>85</v>
      </c>
      <c r="H62" s="77">
        <f>B37</f>
        <v>85</v>
      </c>
      <c r="I62" s="77">
        <f>B38</f>
        <v>131</v>
      </c>
      <c r="J62" s="77">
        <f>B39</f>
        <v>85</v>
      </c>
      <c r="K62" s="77">
        <f>B40</f>
        <v>85</v>
      </c>
      <c r="L62" s="77">
        <f>B41</f>
        <v>85</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62:U66 B31:B50">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F2" sqref="F2"/>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v>5.84</v>
      </c>
      <c r="J1" s="128" t="s">
        <v>153</v>
      </c>
      <c r="K1" s="128"/>
      <c r="L1" s="97">
        <v>173</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t="s">
        <v>177</v>
      </c>
      <c r="G2" s="126" t="s">
        <v>110</v>
      </c>
      <c r="H2" s="127"/>
      <c r="I2" s="118"/>
      <c r="J2" s="128" t="s">
        <v>158</v>
      </c>
      <c r="K2" s="128"/>
      <c r="L2" s="97">
        <v>0.11</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t="s">
        <v>78</v>
      </c>
      <c r="G3" s="128" t="s">
        <v>159</v>
      </c>
      <c r="H3" s="128"/>
      <c r="I3" s="118">
        <v>680</v>
      </c>
      <c r="J3" s="124" t="s">
        <v>154</v>
      </c>
      <c r="K3" s="125"/>
      <c r="L3" s="97">
        <f>(L1/(L2*10000))*100</f>
        <v>15.727272727272728</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t="s">
        <v>178</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62.214395999999994</v>
      </c>
      <c r="D18" s="16">
        <f>$D32</f>
        <v>78.269723999999997</v>
      </c>
      <c r="E18" s="16">
        <f>$D33</f>
        <v>78.269723999999997</v>
      </c>
      <c r="F18" s="16">
        <f>$D34</f>
        <v>78.269723999999997</v>
      </c>
      <c r="G18" s="16">
        <f>$D35</f>
        <v>78.269723999999997</v>
      </c>
      <c r="H18" s="16">
        <f>$D36</f>
        <v>78.269723999999997</v>
      </c>
      <c r="I18" s="16">
        <f>$D37</f>
        <v>78.269723999999997</v>
      </c>
      <c r="J18" s="16">
        <f>$D38</f>
        <v>182.62935599999997</v>
      </c>
      <c r="K18" s="16">
        <f>$D39</f>
        <v>78.269723999999997</v>
      </c>
      <c r="L18" s="16">
        <f>$D40</f>
        <v>78.269723999999997</v>
      </c>
      <c r="M18" s="16">
        <f>$D41</f>
        <v>78.269723999999997</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-0.7856039999999993</v>
      </c>
      <c r="D19" s="16">
        <f t="shared" ref="D19:V19" si="1">D18-D17</f>
        <v>-1.630275999999995</v>
      </c>
      <c r="E19" s="16">
        <f t="shared" si="1"/>
        <v>-1.630275999999995</v>
      </c>
      <c r="F19" s="16">
        <f t="shared" si="1"/>
        <v>-1.630275999999995</v>
      </c>
      <c r="G19" s="16">
        <f t="shared" si="1"/>
        <v>-1.630275999999995</v>
      </c>
      <c r="H19" s="16">
        <f t="shared" si="1"/>
        <v>-1.630275999999995</v>
      </c>
      <c r="I19" s="16">
        <f t="shared" si="1"/>
        <v>-1.630275999999995</v>
      </c>
      <c r="J19" s="16">
        <f t="shared" si="1"/>
        <v>102.72935599999998</v>
      </c>
      <c r="K19" s="16">
        <f t="shared" si="1"/>
        <v>-1.630275999999995</v>
      </c>
      <c r="L19" s="16">
        <f t="shared" si="1"/>
        <v>-1.630275999999995</v>
      </c>
      <c r="M19" s="16">
        <f t="shared" si="1"/>
        <v>-1.630275999999995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INCREASE</v>
      </c>
      <c r="K20" s="26" t="str">
        <f>IF($B39="","",IF(K$19&gt;=0,"INCREASE","DECREASE"))</f>
        <v>DECREASE</v>
      </c>
      <c r="L20" s="26" t="str">
        <f>IF($B40="","",IF(L$19&gt;=0,"INCREASE","DECREASE"))</f>
        <v>DECREASE</v>
      </c>
      <c r="M20" s="26" t="str">
        <f>IF($B41="","",IF(M$19&gt;=0,"INCREASE","DECREASE"))</f>
        <v>DECREASE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18.042465</v>
      </c>
      <c r="D22" s="16">
        <f>$E32</f>
        <v>22.698585000000001</v>
      </c>
      <c r="E22" s="16">
        <f>$E33</f>
        <v>22.698585000000001</v>
      </c>
      <c r="F22" s="16">
        <f>$E34</f>
        <v>22.698585000000001</v>
      </c>
      <c r="G22" s="16">
        <f>$E35</f>
        <v>22.698585000000001</v>
      </c>
      <c r="H22" s="16">
        <f>$E36</f>
        <v>22.698585000000001</v>
      </c>
      <c r="I22" s="16">
        <f>$E37</f>
        <v>22.698585000000001</v>
      </c>
      <c r="J22" s="16">
        <f>$E38</f>
        <v>52.963364999999996</v>
      </c>
      <c r="K22" s="16">
        <f>$E39</f>
        <v>22.698585000000001</v>
      </c>
      <c r="L22" s="16">
        <f>$E40</f>
        <v>22.698585000000001</v>
      </c>
      <c r="M22" s="16">
        <f>$E41</f>
        <v>22.698585000000001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-179.95753500000004</v>
      </c>
      <c r="D23" s="16">
        <f t="shared" ref="D23:V23" si="3">D22-D21</f>
        <v>-259.30141500000002</v>
      </c>
      <c r="E23" s="16">
        <f t="shared" si="3"/>
        <v>-259.30141500000002</v>
      </c>
      <c r="F23" s="16">
        <f t="shared" si="3"/>
        <v>-259.30141500000002</v>
      </c>
      <c r="G23" s="16">
        <f t="shared" si="3"/>
        <v>-259.30141500000002</v>
      </c>
      <c r="H23" s="16">
        <f t="shared" si="3"/>
        <v>-259.30141500000002</v>
      </c>
      <c r="I23" s="16">
        <f t="shared" si="3"/>
        <v>-259.30141500000002</v>
      </c>
      <c r="J23" s="16">
        <f t="shared" si="3"/>
        <v>-229.03663499999999</v>
      </c>
      <c r="K23" s="16">
        <f t="shared" si="3"/>
        <v>-259.30141500000002</v>
      </c>
      <c r="L23" s="16">
        <f t="shared" si="3"/>
        <v>-259.30141500000002</v>
      </c>
      <c r="M23" s="16">
        <f t="shared" si="3"/>
        <v>-259.30141500000002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1.77</v>
      </c>
      <c r="C28" s="15">
        <v>0.11</v>
      </c>
      <c r="D28" s="15">
        <v>876</v>
      </c>
      <c r="E28" s="15">
        <v>483</v>
      </c>
      <c r="F28" s="15">
        <v>58.2</v>
      </c>
      <c r="G28" s="15">
        <v>0.2</v>
      </c>
      <c r="H28" s="15">
        <v>2.2200000000000002</v>
      </c>
      <c r="I28" s="15">
        <v>0.5</v>
      </c>
      <c r="J28" s="15">
        <v>0.01</v>
      </c>
      <c r="K28" s="23">
        <v>0.05</v>
      </c>
      <c r="L28" s="15">
        <v>0.2</v>
      </c>
      <c r="M28" s="15">
        <v>0.24</v>
      </c>
      <c r="N28" s="15"/>
      <c r="O28" s="15"/>
      <c r="P28" s="15">
        <v>257</v>
      </c>
      <c r="Q28" s="15">
        <v>109</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v>31</v>
      </c>
      <c r="C31" s="77">
        <f>IF(C$27="%w/w SAR",((C$28*10)*$B31),IF(C$27="%w/w DM",(((C$28*10)*($B$28/100))*$B31),IF(C$27="kg/t SAR",(C$28*$B31),IF(C$27="kg/t DM",((C$28*($B$28/100))*$B31),IF(C$27="mg/kg SAR",((C$28*0.001)*$B31),IF(C$27="mg/kg DM",(((C$28*0.001)*($B$28/100))*$B31),0))))))</f>
        <v>34.1</v>
      </c>
      <c r="D31" s="77">
        <f>(IF(D$27="%w/w SAR",((D$28*10)*$B31),IF(D$27="%w/w DM",(((D$28*10)*($B$28/100))*$B31),IF(D$27="kg/t SAR",(D$28*$B31),IF(D$27="kg/t DM",((D$28*($B$28/100))*$B31),IF(D$27="mg/kg SAR",((D$28*0.001)*$B31),IF(D$27="mg/kg DM",(((D$28*0.001)*($B$28/100))*$B31),"0")))))))*2.291</f>
        <v>62.214395999999994</v>
      </c>
      <c r="E31" s="77">
        <f>(IF(E$27="%w/w SAR",((E$28*10)*$B31),IF(E$27="%w/w DM",(((E$28*10)*($B$28/100))*$B31),IF(E$27="kg/t SAR",(E$28*$B31),IF(E$27="kg/t DM",((E$28*($B$28/100))*$B31),IF(E$27="mg/kg SAR",((E$28*0.001)*$B31),IF(E$27="mg/kg DM",(((E$28*0.001)*($B$28/100))*$B31),"0")))))))*1.205</f>
        <v>18.042465</v>
      </c>
      <c r="F31" s="77">
        <f>(IF(F$27="%w/w SAR",((F$28*10)*$B31),IF(F$27="%w/w DM",(((F$28*10)*($B$28/100))*$B31),IF(F$27="kg/t SAR",(F$28*$B31),IF(F$27="kg/t DM",((F$28*($B$28/100))*$B31),IF(F$27="mg/kg SAR",((F$28*0.001)*$B31),IF(F$27="mg/kg DM",(((F$28*0.001)*($B$28/100))*$B31),"0")))))))*1.658</f>
        <v>2.9913635999999997</v>
      </c>
      <c r="G31" s="77">
        <f t="shared" ref="G31:P46" si="5">IF(G$27="%w/w SAR",((G$28*10)*$B31),IF(G$27="%w/w DM",(((G$28*10)*($B$28/100))*$B31),IF(G$27="kg/t SAR",(G$28*$B31),IF(G$27="kg/t DM",((G$28*($B$28/100))*$B31),IF(G$27="mg/kg SAR",((G$28*0.001)*$B31),IF(G$27="mg/kg DM",(((G$28*0.001)*($B$28/100))*$B31),0))))))</f>
        <v>6.2000000000000006E-3</v>
      </c>
      <c r="H31" s="77">
        <f t="shared" si="5"/>
        <v>6.8820000000000006E-2</v>
      </c>
      <c r="I31" s="77">
        <f t="shared" si="5"/>
        <v>1.55E-2</v>
      </c>
      <c r="J31" s="77">
        <f t="shared" si="5"/>
        <v>3.1E-4</v>
      </c>
      <c r="K31" s="77">
        <f t="shared" si="5"/>
        <v>1.5500000000000002E-3</v>
      </c>
      <c r="L31" s="77">
        <f t="shared" si="5"/>
        <v>6.2000000000000006E-3</v>
      </c>
      <c r="M31" s="77">
        <f t="shared" si="5"/>
        <v>7.4400000000000004E-3</v>
      </c>
      <c r="N31" s="77">
        <f t="shared" si="5"/>
        <v>0</v>
      </c>
      <c r="O31" s="77">
        <f t="shared" si="5"/>
        <v>0</v>
      </c>
      <c r="P31" s="77">
        <f t="shared" si="5"/>
        <v>7.9670000000000005</v>
      </c>
      <c r="Q31" s="77">
        <f>(IF(Q$27="%w/w SAR",((Q$28*10)*$B31),IF(Q$27="%w/w DM",(((Q$28*10)*($B$28/100))*$B31),IF(Q$27="kg/t SAR",(Q$28*$B31),IF(Q$27="kg/t DM",((Q$28*($B$28/100))*$B31),IF(Q$27="mg/kg SAR",((Q$28*0.001)*$B31),IF(Q$27="mg/kg DM",(((Q$28*0.001)*($B$28/100))*$B31),0)))))))*2.5</f>
        <v>8.4474999999999998</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v>39</v>
      </c>
      <c r="C32" s="77">
        <f t="shared" ref="C32:C50" si="6">IF(C$27="%w/w SAR",((C$28*10)*$B32),IF(C$27="%w/w DM",(((C$28*10)*($B$28/100))*$B32),IF(C$27="kg/t SAR",(C$28*$B32),IF(C$27="kg/t DM",((C$28*($B$28/100))*$B32),IF(C$27="mg/kg SAR",((C$28*0.001)*$B32),IF(C$27="mg/kg DM",(((C$28*0.001)*($B$28/100))*$B32),0))))))</f>
        <v>42.900000000000006</v>
      </c>
      <c r="D32" s="77">
        <f t="shared" ref="D32:D50" si="7">(IF(D$27="%w/w SAR",((D$28*10)*$B32),IF(D$27="%w/w DM",(((D$28*10)*($B$28/100))*$B32),IF(D$27="kg/t SAR",(D$28*$B32),IF(D$27="kg/t DM",((D$28*($B$28/100))*$B32),IF(D$27="mg/kg SAR",((D$28*0.001)*$B32),IF(D$27="mg/kg DM",(((D$28*0.001)*($B$28/100))*$B32),"0")))))))*2.291</f>
        <v>78.269723999999997</v>
      </c>
      <c r="E32" s="77">
        <f t="shared" ref="E32:E50" si="8">(IF(E$27="%w/w SAR",((E$28*10)*$B32),IF(E$27="%w/w DM",(((E$28*10)*($B$28/100))*$B32),IF(E$27="kg/t SAR",(E$28*$B32),IF(E$27="kg/t DM",((E$28*($B$28/100))*$B32),IF(E$27="mg/kg SAR",((E$28*0.001)*$B32),IF(E$27="mg/kg DM",(((E$28*0.001)*($B$28/100))*$B32),"0")))))))*1.205</f>
        <v>22.698585000000001</v>
      </c>
      <c r="F32" s="77">
        <f t="shared" ref="F32:F50" si="9">(IF(F$27="%w/w SAR",((F$28*10)*$B32),IF(F$27="%w/w DM",(((F$28*10)*($B$28/100))*$B32),IF(F$27="kg/t SAR",(F$28*$B32),IF(F$27="kg/t DM",((F$28*($B$28/100))*$B32),IF(F$27="mg/kg SAR",((F$28*0.001)*$B32),IF(F$27="mg/kg DM",(((F$28*0.001)*($B$28/100))*$B32),"0")))))))*1.658</f>
        <v>3.7633283999999998</v>
      </c>
      <c r="G32" s="77">
        <f t="shared" si="5"/>
        <v>7.8000000000000005E-3</v>
      </c>
      <c r="H32" s="77">
        <f t="shared" si="5"/>
        <v>8.6580000000000004E-2</v>
      </c>
      <c r="I32" s="77">
        <f t="shared" si="5"/>
        <v>1.95E-2</v>
      </c>
      <c r="J32" s="77">
        <f t="shared" si="5"/>
        <v>3.9000000000000005E-4</v>
      </c>
      <c r="K32" s="77">
        <f t="shared" si="5"/>
        <v>1.9500000000000001E-3</v>
      </c>
      <c r="L32" s="77">
        <f t="shared" si="5"/>
        <v>7.8000000000000005E-3</v>
      </c>
      <c r="M32" s="77">
        <f t="shared" si="5"/>
        <v>9.3600000000000003E-3</v>
      </c>
      <c r="N32" s="77">
        <f t="shared" si="5"/>
        <v>0</v>
      </c>
      <c r="O32" s="77">
        <f t="shared" si="5"/>
        <v>0</v>
      </c>
      <c r="P32" s="77">
        <f t="shared" si="5"/>
        <v>10.023</v>
      </c>
      <c r="Q32" s="77">
        <f t="shared" ref="Q32:Q50" si="10">(IF(Q$27="%w/w SAR",((Q$28*10)*$B32),IF(Q$27="%w/w DM",(((Q$28*10)*($B$28/100))*$B32),IF(Q$27="kg/t SAR",(Q$28*$B32),IF(Q$27="kg/t DM",((Q$28*($B$28/100))*$B32),IF(Q$27="mg/kg SAR",((Q$28*0.001)*$B32),IF(Q$27="mg/kg DM",(((Q$28*0.001)*($B$28/100))*$B32),0)))))))*2.5</f>
        <v>10.627500000000001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v>39</v>
      </c>
      <c r="C33" s="77">
        <f t="shared" si="6"/>
        <v>42.900000000000006</v>
      </c>
      <c r="D33" s="77">
        <f t="shared" si="7"/>
        <v>78.269723999999997</v>
      </c>
      <c r="E33" s="77">
        <f t="shared" si="8"/>
        <v>22.698585000000001</v>
      </c>
      <c r="F33" s="77">
        <f t="shared" si="9"/>
        <v>3.7633283999999998</v>
      </c>
      <c r="G33" s="77">
        <f t="shared" si="5"/>
        <v>7.8000000000000005E-3</v>
      </c>
      <c r="H33" s="77">
        <f t="shared" si="5"/>
        <v>8.6580000000000004E-2</v>
      </c>
      <c r="I33" s="77">
        <f t="shared" si="5"/>
        <v>1.95E-2</v>
      </c>
      <c r="J33" s="77">
        <f t="shared" si="5"/>
        <v>3.9000000000000005E-4</v>
      </c>
      <c r="K33" s="77">
        <f t="shared" si="5"/>
        <v>1.9500000000000001E-3</v>
      </c>
      <c r="L33" s="77">
        <f t="shared" si="5"/>
        <v>7.8000000000000005E-3</v>
      </c>
      <c r="M33" s="77">
        <f t="shared" si="5"/>
        <v>9.3600000000000003E-3</v>
      </c>
      <c r="N33" s="77">
        <f t="shared" si="5"/>
        <v>0</v>
      </c>
      <c r="O33" s="77">
        <f t="shared" si="5"/>
        <v>0</v>
      </c>
      <c r="P33" s="77">
        <f t="shared" si="5"/>
        <v>10.023</v>
      </c>
      <c r="Q33" s="77">
        <f t="shared" si="10"/>
        <v>10.627500000000001</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v>39</v>
      </c>
      <c r="C34" s="77">
        <f t="shared" si="6"/>
        <v>42.900000000000006</v>
      </c>
      <c r="D34" s="77">
        <f t="shared" si="7"/>
        <v>78.269723999999997</v>
      </c>
      <c r="E34" s="77">
        <f t="shared" si="8"/>
        <v>22.698585000000001</v>
      </c>
      <c r="F34" s="77">
        <f t="shared" si="9"/>
        <v>3.7633283999999998</v>
      </c>
      <c r="G34" s="77">
        <f t="shared" si="5"/>
        <v>7.8000000000000005E-3</v>
      </c>
      <c r="H34" s="77">
        <f t="shared" si="5"/>
        <v>8.6580000000000004E-2</v>
      </c>
      <c r="I34" s="77">
        <f t="shared" si="5"/>
        <v>1.95E-2</v>
      </c>
      <c r="J34" s="77">
        <f t="shared" si="5"/>
        <v>3.9000000000000005E-4</v>
      </c>
      <c r="K34" s="77">
        <f t="shared" si="5"/>
        <v>1.9500000000000001E-3</v>
      </c>
      <c r="L34" s="77">
        <f t="shared" si="5"/>
        <v>7.8000000000000005E-3</v>
      </c>
      <c r="M34" s="77">
        <f t="shared" si="5"/>
        <v>9.3600000000000003E-3</v>
      </c>
      <c r="N34" s="77">
        <f t="shared" si="5"/>
        <v>0</v>
      </c>
      <c r="O34" s="77">
        <f t="shared" si="5"/>
        <v>0</v>
      </c>
      <c r="P34" s="77">
        <f t="shared" si="5"/>
        <v>10.023</v>
      </c>
      <c r="Q34" s="77">
        <f t="shared" si="10"/>
        <v>10.627500000000001</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v>39</v>
      </c>
      <c r="C35" s="77">
        <f t="shared" si="6"/>
        <v>42.900000000000006</v>
      </c>
      <c r="D35" s="77">
        <f t="shared" si="7"/>
        <v>78.269723999999997</v>
      </c>
      <c r="E35" s="77">
        <f t="shared" si="8"/>
        <v>22.698585000000001</v>
      </c>
      <c r="F35" s="77">
        <f t="shared" si="9"/>
        <v>3.7633283999999998</v>
      </c>
      <c r="G35" s="77">
        <f t="shared" si="5"/>
        <v>7.8000000000000005E-3</v>
      </c>
      <c r="H35" s="77">
        <f t="shared" si="5"/>
        <v>8.6580000000000004E-2</v>
      </c>
      <c r="I35" s="77">
        <f t="shared" si="5"/>
        <v>1.95E-2</v>
      </c>
      <c r="J35" s="77">
        <f t="shared" si="5"/>
        <v>3.9000000000000005E-4</v>
      </c>
      <c r="K35" s="77">
        <f t="shared" si="5"/>
        <v>1.9500000000000001E-3</v>
      </c>
      <c r="L35" s="77">
        <f t="shared" si="5"/>
        <v>7.8000000000000005E-3</v>
      </c>
      <c r="M35" s="77">
        <f t="shared" si="5"/>
        <v>9.3600000000000003E-3</v>
      </c>
      <c r="N35" s="77">
        <f t="shared" si="5"/>
        <v>0</v>
      </c>
      <c r="O35" s="77">
        <f t="shared" si="5"/>
        <v>0</v>
      </c>
      <c r="P35" s="77">
        <f t="shared" si="5"/>
        <v>10.023</v>
      </c>
      <c r="Q35" s="77">
        <f t="shared" si="10"/>
        <v>10.627500000000001</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v>39</v>
      </c>
      <c r="C36" s="77">
        <f t="shared" si="6"/>
        <v>42.900000000000006</v>
      </c>
      <c r="D36" s="77">
        <f t="shared" si="7"/>
        <v>78.269723999999997</v>
      </c>
      <c r="E36" s="77">
        <f t="shared" si="8"/>
        <v>22.698585000000001</v>
      </c>
      <c r="F36" s="77">
        <f t="shared" si="9"/>
        <v>3.7633283999999998</v>
      </c>
      <c r="G36" s="77">
        <f t="shared" si="5"/>
        <v>7.8000000000000005E-3</v>
      </c>
      <c r="H36" s="77">
        <f t="shared" si="5"/>
        <v>8.6580000000000004E-2</v>
      </c>
      <c r="I36" s="77">
        <f t="shared" si="5"/>
        <v>1.95E-2</v>
      </c>
      <c r="J36" s="77">
        <f t="shared" si="5"/>
        <v>3.9000000000000005E-4</v>
      </c>
      <c r="K36" s="77">
        <f t="shared" si="5"/>
        <v>1.9500000000000001E-3</v>
      </c>
      <c r="L36" s="77">
        <f t="shared" si="5"/>
        <v>7.8000000000000005E-3</v>
      </c>
      <c r="M36" s="77">
        <f t="shared" si="5"/>
        <v>9.3600000000000003E-3</v>
      </c>
      <c r="N36" s="77">
        <f t="shared" si="5"/>
        <v>0</v>
      </c>
      <c r="O36" s="77">
        <f t="shared" si="5"/>
        <v>0</v>
      </c>
      <c r="P36" s="77">
        <f t="shared" si="5"/>
        <v>10.023</v>
      </c>
      <c r="Q36" s="77">
        <f t="shared" si="10"/>
        <v>10.627500000000001</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v>39</v>
      </c>
      <c r="C37" s="77">
        <f t="shared" si="6"/>
        <v>42.900000000000006</v>
      </c>
      <c r="D37" s="77">
        <f t="shared" si="7"/>
        <v>78.269723999999997</v>
      </c>
      <c r="E37" s="77">
        <f t="shared" si="8"/>
        <v>22.698585000000001</v>
      </c>
      <c r="F37" s="77">
        <f t="shared" si="9"/>
        <v>3.7633283999999998</v>
      </c>
      <c r="G37" s="77">
        <f t="shared" si="5"/>
        <v>7.8000000000000005E-3</v>
      </c>
      <c r="H37" s="77">
        <f t="shared" si="5"/>
        <v>8.6580000000000004E-2</v>
      </c>
      <c r="I37" s="77">
        <f t="shared" si="5"/>
        <v>1.95E-2</v>
      </c>
      <c r="J37" s="77">
        <f t="shared" si="5"/>
        <v>3.9000000000000005E-4</v>
      </c>
      <c r="K37" s="77">
        <f t="shared" si="5"/>
        <v>1.9500000000000001E-3</v>
      </c>
      <c r="L37" s="77">
        <f t="shared" si="5"/>
        <v>7.8000000000000005E-3</v>
      </c>
      <c r="M37" s="77">
        <f t="shared" si="5"/>
        <v>9.3600000000000003E-3</v>
      </c>
      <c r="N37" s="77">
        <f t="shared" si="5"/>
        <v>0</v>
      </c>
      <c r="O37" s="77">
        <f t="shared" si="5"/>
        <v>0</v>
      </c>
      <c r="P37" s="77">
        <f t="shared" si="5"/>
        <v>10.023</v>
      </c>
      <c r="Q37" s="77">
        <f t="shared" si="10"/>
        <v>10.627500000000001</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v>91</v>
      </c>
      <c r="C38" s="77">
        <f t="shared" si="6"/>
        <v>100.10000000000001</v>
      </c>
      <c r="D38" s="77">
        <f t="shared" si="7"/>
        <v>182.62935599999997</v>
      </c>
      <c r="E38" s="77">
        <f t="shared" si="8"/>
        <v>52.963364999999996</v>
      </c>
      <c r="F38" s="77">
        <f t="shared" si="9"/>
        <v>8.7810995999999992</v>
      </c>
      <c r="G38" s="77">
        <f t="shared" si="5"/>
        <v>1.8200000000000001E-2</v>
      </c>
      <c r="H38" s="77">
        <f t="shared" si="5"/>
        <v>0.20202000000000001</v>
      </c>
      <c r="I38" s="77">
        <f t="shared" si="5"/>
        <v>4.5499999999999999E-2</v>
      </c>
      <c r="J38" s="77">
        <f t="shared" si="5"/>
        <v>9.1000000000000011E-4</v>
      </c>
      <c r="K38" s="77">
        <f t="shared" si="5"/>
        <v>4.5500000000000002E-3</v>
      </c>
      <c r="L38" s="77">
        <f t="shared" si="5"/>
        <v>1.8200000000000001E-2</v>
      </c>
      <c r="M38" s="77">
        <f t="shared" si="5"/>
        <v>2.1840000000000002E-2</v>
      </c>
      <c r="N38" s="77">
        <f t="shared" si="5"/>
        <v>0</v>
      </c>
      <c r="O38" s="77">
        <f t="shared" si="5"/>
        <v>0</v>
      </c>
      <c r="P38" s="77">
        <f t="shared" si="5"/>
        <v>23.387</v>
      </c>
      <c r="Q38" s="77">
        <f t="shared" si="10"/>
        <v>24.797499999999999</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v>39</v>
      </c>
      <c r="C39" s="77">
        <f t="shared" si="6"/>
        <v>42.900000000000006</v>
      </c>
      <c r="D39" s="77">
        <f t="shared" si="7"/>
        <v>78.269723999999997</v>
      </c>
      <c r="E39" s="77">
        <f t="shared" si="8"/>
        <v>22.698585000000001</v>
      </c>
      <c r="F39" s="77">
        <f t="shared" si="9"/>
        <v>3.7633283999999998</v>
      </c>
      <c r="G39" s="77">
        <f t="shared" si="5"/>
        <v>7.8000000000000005E-3</v>
      </c>
      <c r="H39" s="77">
        <f t="shared" si="5"/>
        <v>8.6580000000000004E-2</v>
      </c>
      <c r="I39" s="77">
        <f t="shared" si="5"/>
        <v>1.95E-2</v>
      </c>
      <c r="J39" s="77">
        <f t="shared" si="5"/>
        <v>3.9000000000000005E-4</v>
      </c>
      <c r="K39" s="77">
        <f t="shared" si="5"/>
        <v>1.9500000000000001E-3</v>
      </c>
      <c r="L39" s="77">
        <f t="shared" si="5"/>
        <v>7.8000000000000005E-3</v>
      </c>
      <c r="M39" s="77">
        <f t="shared" si="5"/>
        <v>9.3600000000000003E-3</v>
      </c>
      <c r="N39" s="77">
        <f t="shared" si="5"/>
        <v>0</v>
      </c>
      <c r="O39" s="77">
        <f t="shared" si="5"/>
        <v>0</v>
      </c>
      <c r="P39" s="77">
        <f t="shared" si="5"/>
        <v>10.023</v>
      </c>
      <c r="Q39" s="77">
        <f t="shared" si="10"/>
        <v>10.627500000000001</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v>39</v>
      </c>
      <c r="C40" s="77">
        <f t="shared" si="6"/>
        <v>42.900000000000006</v>
      </c>
      <c r="D40" s="77">
        <f t="shared" si="7"/>
        <v>78.269723999999997</v>
      </c>
      <c r="E40" s="77">
        <f t="shared" si="8"/>
        <v>22.698585000000001</v>
      </c>
      <c r="F40" s="77">
        <f t="shared" si="9"/>
        <v>3.7633283999999998</v>
      </c>
      <c r="G40" s="77">
        <f t="shared" si="5"/>
        <v>7.8000000000000005E-3</v>
      </c>
      <c r="H40" s="77">
        <f t="shared" si="5"/>
        <v>8.6580000000000004E-2</v>
      </c>
      <c r="I40" s="77">
        <f t="shared" si="5"/>
        <v>1.95E-2</v>
      </c>
      <c r="J40" s="77">
        <f t="shared" si="5"/>
        <v>3.9000000000000005E-4</v>
      </c>
      <c r="K40" s="77">
        <f t="shared" si="5"/>
        <v>1.9500000000000001E-3</v>
      </c>
      <c r="L40" s="77">
        <f t="shared" si="5"/>
        <v>7.8000000000000005E-3</v>
      </c>
      <c r="M40" s="77">
        <f t="shared" si="5"/>
        <v>9.3600000000000003E-3</v>
      </c>
      <c r="N40" s="77">
        <f t="shared" si="5"/>
        <v>0</v>
      </c>
      <c r="O40" s="77">
        <f t="shared" si="5"/>
        <v>0</v>
      </c>
      <c r="P40" s="77">
        <f t="shared" si="5"/>
        <v>10.023</v>
      </c>
      <c r="Q40" s="77">
        <f t="shared" si="10"/>
        <v>10.627500000000001</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v>39</v>
      </c>
      <c r="C41" s="77">
        <f t="shared" si="6"/>
        <v>42.900000000000006</v>
      </c>
      <c r="D41" s="77">
        <f t="shared" si="7"/>
        <v>78.269723999999997</v>
      </c>
      <c r="E41" s="77">
        <f t="shared" si="8"/>
        <v>22.698585000000001</v>
      </c>
      <c r="F41" s="77">
        <f t="shared" si="9"/>
        <v>3.7633283999999998</v>
      </c>
      <c r="G41" s="77">
        <f t="shared" si="5"/>
        <v>7.8000000000000005E-3</v>
      </c>
      <c r="H41" s="77">
        <f t="shared" si="5"/>
        <v>8.6580000000000004E-2</v>
      </c>
      <c r="I41" s="77">
        <f t="shared" si="5"/>
        <v>1.95E-2</v>
      </c>
      <c r="J41" s="77">
        <f t="shared" si="5"/>
        <v>3.9000000000000005E-4</v>
      </c>
      <c r="K41" s="77">
        <f t="shared" si="5"/>
        <v>1.9500000000000001E-3</v>
      </c>
      <c r="L41" s="77">
        <f t="shared" si="5"/>
        <v>7.8000000000000005E-3</v>
      </c>
      <c r="M41" s="77">
        <f t="shared" si="5"/>
        <v>9.3600000000000003E-3</v>
      </c>
      <c r="N41" s="77">
        <f t="shared" si="5"/>
        <v>0</v>
      </c>
      <c r="O41" s="77">
        <f t="shared" si="5"/>
        <v>0</v>
      </c>
      <c r="P41" s="77">
        <f t="shared" si="5"/>
        <v>10.023</v>
      </c>
      <c r="Q41" s="77">
        <f t="shared" si="10"/>
        <v>10.627500000000001</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"&amp;(VLOOKUP(C14,Table245[],6,FALSE))</f>
        <v>Medium/Clay I Arable</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x14ac:dyDescent="0.2">
      <c r="A59" s="111" t="s">
        <v>132</v>
      </c>
      <c r="B59" s="76">
        <f>VLOOKUP(C$14,Table245[],5,FALSE)</f>
        <v>6.7</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31</v>
      </c>
      <c r="C62" s="77">
        <f>B32</f>
        <v>39</v>
      </c>
      <c r="D62" s="77">
        <f>B33</f>
        <v>39</v>
      </c>
      <c r="E62" s="77">
        <f>B34</f>
        <v>39</v>
      </c>
      <c r="F62" s="77">
        <f>B35</f>
        <v>39</v>
      </c>
      <c r="G62" s="77">
        <f>B36</f>
        <v>39</v>
      </c>
      <c r="H62" s="77">
        <f>B37</f>
        <v>39</v>
      </c>
      <c r="I62" s="77">
        <f>B38</f>
        <v>91</v>
      </c>
      <c r="J62" s="77">
        <f>B39</f>
        <v>39</v>
      </c>
      <c r="K62" s="77">
        <f>B40</f>
        <v>39</v>
      </c>
      <c r="L62" s="77">
        <f>B41</f>
        <v>39</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62:U66 B31:B50">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E21" sqref="E2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v>5.54</v>
      </c>
      <c r="J1" s="128" t="s">
        <v>153</v>
      </c>
      <c r="K1" s="128"/>
      <c r="L1" s="97">
        <v>329</v>
      </c>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t="s">
        <v>177</v>
      </c>
      <c r="G2" s="126" t="s">
        <v>110</v>
      </c>
      <c r="H2" s="127"/>
      <c r="I2" s="118">
        <v>1349</v>
      </c>
      <c r="J2" s="128" t="s">
        <v>158</v>
      </c>
      <c r="K2" s="128"/>
      <c r="L2" s="97">
        <v>0.25</v>
      </c>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t="s">
        <v>78</v>
      </c>
      <c r="G3" s="128" t="s">
        <v>159</v>
      </c>
      <c r="H3" s="128"/>
      <c r="I3" s="118">
        <v>3460</v>
      </c>
      <c r="J3" s="124" t="s">
        <v>154</v>
      </c>
      <c r="K3" s="125"/>
      <c r="L3" s="97">
        <f>(L1/(L2*10000))*100</f>
        <v>13.16</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t="s">
        <v>179</v>
      </c>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60.810012999999998</v>
      </c>
      <c r="D18" s="16">
        <f>$D32</f>
        <v>80.01317499999999</v>
      </c>
      <c r="E18" s="16">
        <f>$D33</f>
        <v>80.01317499999999</v>
      </c>
      <c r="F18" s="16">
        <f>$D34</f>
        <v>80.01317499999999</v>
      </c>
      <c r="G18" s="16">
        <f>$D35</f>
        <v>80.01317499999999</v>
      </c>
      <c r="H18" s="16">
        <f>$D36</f>
        <v>80.01317499999999</v>
      </c>
      <c r="I18" s="16">
        <f>$D37</f>
        <v>80.01317499999999</v>
      </c>
      <c r="J18" s="16">
        <f>$D38</f>
        <v>182.43003899999999</v>
      </c>
      <c r="K18" s="16">
        <f>$D39</f>
        <v>80.01317499999999</v>
      </c>
      <c r="L18" s="16">
        <f>$D40</f>
        <v>80.01317499999999</v>
      </c>
      <c r="M18" s="16">
        <f>$D41</f>
        <v>80.01317499999999</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-2.189986999999995</v>
      </c>
      <c r="D19" s="16">
        <f t="shared" ref="D19:V19" si="1">D18-D17</f>
        <v>0.11317499999999825</v>
      </c>
      <c r="E19" s="16">
        <f t="shared" si="1"/>
        <v>0.11317499999999825</v>
      </c>
      <c r="F19" s="16">
        <f t="shared" si="1"/>
        <v>0.11317499999999825</v>
      </c>
      <c r="G19" s="16">
        <f t="shared" si="1"/>
        <v>0.11317499999999825</v>
      </c>
      <c r="H19" s="16">
        <f t="shared" si="1"/>
        <v>0.11317499999999825</v>
      </c>
      <c r="I19" s="16">
        <f t="shared" si="1"/>
        <v>0.11317499999999825</v>
      </c>
      <c r="J19" s="16">
        <f t="shared" si="1"/>
        <v>102.530039</v>
      </c>
      <c r="K19" s="16">
        <f t="shared" si="1"/>
        <v>0.11317499999999825</v>
      </c>
      <c r="L19" s="16">
        <f t="shared" si="1"/>
        <v>0.11317499999999825</v>
      </c>
      <c r="M19" s="16">
        <f t="shared" si="1"/>
        <v>0.11317499999999825</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DECREASE</v>
      </c>
      <c r="D20" s="26" t="str">
        <f>IF($B32="","",IF(D$19&gt;=0,"INCREASE","DECREASE"))</f>
        <v>INCREASE</v>
      </c>
      <c r="E20" s="26" t="str">
        <f>IF($B33="","",IF(E$19&gt;=0,"INCREASE","DECREASE"))</f>
        <v>INCREASE</v>
      </c>
      <c r="F20" s="26" t="str">
        <f>IF($B34="","",IF(F$19&gt;=0,"INCREASE","DECREASE"))</f>
        <v>INCREASE</v>
      </c>
      <c r="G20" s="26" t="str">
        <f>IF($B35="","",IF(G$19&gt;=0,"INCREASE","DECREASE"))</f>
        <v>INCREASE</v>
      </c>
      <c r="H20" s="26" t="str">
        <f>IF($B36="","",IF(H$19&gt;=0,"INCREASE","DECREASE"))</f>
        <v>INCREASE</v>
      </c>
      <c r="I20" s="26" t="str">
        <f>IF($B37="","",IF(I$19&gt;=0,"INCREASE","DECREASE"))</f>
        <v>INCREASE</v>
      </c>
      <c r="J20" s="26" t="str">
        <f>IF($B38="","",IF(J$19&gt;=0,"INCREASE","DECREASE"))</f>
        <v>INCREASE</v>
      </c>
      <c r="K20" s="26" t="str">
        <f>IF($B39="","",IF(K$19&gt;=0,"INCREASE","DECREASE"))</f>
        <v>INCREASE</v>
      </c>
      <c r="L20" s="26" t="str">
        <f>IF($B40="","",IF(L$19&gt;=0,"INCREASE","DECREASE"))</f>
        <v>INCREASE</v>
      </c>
      <c r="M20" s="26" t="str">
        <f>IF($B41="","",IF(M$19&gt;=0,"INCREASE","DECREASE"))</f>
        <v>INCREASE</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(VLOOKUP(D$14,$AI2:$AK24,3,FALSE))*D$15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10.691965000000001</v>
      </c>
      <c r="D22" s="16">
        <f>$E32</f>
        <v>14.068375000000001</v>
      </c>
      <c r="E22" s="16">
        <f>$E33</f>
        <v>14.068375000000001</v>
      </c>
      <c r="F22" s="16">
        <f>$E34</f>
        <v>14.068375000000001</v>
      </c>
      <c r="G22" s="16">
        <f>$E35</f>
        <v>14.068375000000001</v>
      </c>
      <c r="H22" s="16">
        <f>$E36</f>
        <v>14.068375000000001</v>
      </c>
      <c r="I22" s="16">
        <f>$E37</f>
        <v>14.068375000000001</v>
      </c>
      <c r="J22" s="16">
        <f>$E38</f>
        <v>32.075895000000003</v>
      </c>
      <c r="K22" s="16">
        <f>$E39</f>
        <v>14.068375000000001</v>
      </c>
      <c r="L22" s="16">
        <f>$E40</f>
        <v>14.068375000000001</v>
      </c>
      <c r="M22" s="16">
        <f>$E41</f>
        <v>14.068375000000001</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-187.30803500000002</v>
      </c>
      <c r="D23" s="16">
        <f t="shared" ref="D23:V23" si="3">D22-D21</f>
        <v>-267.931625</v>
      </c>
      <c r="E23" s="16">
        <f t="shared" si="3"/>
        <v>-267.931625</v>
      </c>
      <c r="F23" s="16">
        <f t="shared" si="3"/>
        <v>-267.931625</v>
      </c>
      <c r="G23" s="16">
        <f t="shared" si="3"/>
        <v>-267.931625</v>
      </c>
      <c r="H23" s="16">
        <f t="shared" si="3"/>
        <v>-267.931625</v>
      </c>
      <c r="I23" s="16">
        <f t="shared" si="3"/>
        <v>-267.931625</v>
      </c>
      <c r="J23" s="16">
        <f t="shared" si="3"/>
        <v>-249.924105</v>
      </c>
      <c r="K23" s="16">
        <f t="shared" si="3"/>
        <v>-267.931625</v>
      </c>
      <c r="L23" s="16">
        <f t="shared" si="3"/>
        <v>-267.931625</v>
      </c>
      <c r="M23" s="16">
        <f t="shared" si="3"/>
        <v>-267.931625</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25">
      <c r="A28" s="108"/>
      <c r="B28" s="24">
        <v>5.78</v>
      </c>
      <c r="C28" s="15">
        <v>0.25</v>
      </c>
      <c r="D28" s="15">
        <v>1397</v>
      </c>
      <c r="E28" s="15">
        <v>467</v>
      </c>
      <c r="F28" s="15">
        <v>57.9</v>
      </c>
      <c r="G28" s="15">
        <v>0.23200000000000001</v>
      </c>
      <c r="H28" s="15">
        <v>3.17</v>
      </c>
      <c r="I28" s="15">
        <v>0.5</v>
      </c>
      <c r="J28" s="15">
        <v>0.01</v>
      </c>
      <c r="K28" s="23">
        <v>0.05</v>
      </c>
      <c r="L28" s="15">
        <v>0.2</v>
      </c>
      <c r="M28" s="15">
        <v>0.31900000000000001</v>
      </c>
      <c r="N28" s="15"/>
      <c r="O28" s="15"/>
      <c r="P28" s="15">
        <v>1133</v>
      </c>
      <c r="Q28" s="15">
        <v>1146</v>
      </c>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v>19</v>
      </c>
      <c r="C31" s="77">
        <f>IF(C$27="%w/w SAR",((C$28*10)*$B31),IF(C$27="%w/w DM",(((C$28*10)*($B$28/100))*$B31),IF(C$27="kg/t SAR",(C$28*$B31),IF(C$27="kg/t DM",((C$28*($B$28/100))*$B31),IF(C$27="mg/kg SAR",((C$28*0.001)*$B31),IF(C$27="mg/kg DM",(((C$28*0.001)*($B$28/100))*$B31),0))))))</f>
        <v>47.5</v>
      </c>
      <c r="D31" s="77">
        <f>(IF(D$27="%w/w SAR",((D$28*10)*$B31),IF(D$27="%w/w DM",(((D$28*10)*($B$28/100))*$B31),IF(D$27="kg/t SAR",(D$28*$B31),IF(D$27="kg/t DM",((D$28*($B$28/100))*$B31),IF(D$27="mg/kg SAR",((D$28*0.001)*$B31),IF(D$27="mg/kg DM",(((D$28*0.001)*($B$28/100))*$B31),"0")))))))*2.291</f>
        <v>60.810012999999998</v>
      </c>
      <c r="E31" s="77">
        <f>(IF(E$27="%w/w SAR",((E$28*10)*$B31),IF(E$27="%w/w DM",(((E$28*10)*($B$28/100))*$B31),IF(E$27="kg/t SAR",(E$28*$B31),IF(E$27="kg/t DM",((E$28*($B$28/100))*$B31),IF(E$27="mg/kg SAR",((E$28*0.001)*$B31),IF(E$27="mg/kg DM",(((E$28*0.001)*($B$28/100))*$B31),"0")))))))*1.205</f>
        <v>10.691965000000001</v>
      </c>
      <c r="F31" s="77">
        <f>(IF(F$27="%w/w SAR",((F$28*10)*$B31),IF(F$27="%w/w DM",(((F$28*10)*($B$28/100))*$B31),IF(F$27="kg/t SAR",(F$28*$B31),IF(F$27="kg/t DM",((F$28*($B$28/100))*$B31),IF(F$27="mg/kg SAR",((F$28*0.001)*$B31),IF(F$27="mg/kg DM",(((F$28*0.001)*($B$28/100))*$B31),"0")))))))*1.658</f>
        <v>1.8239658000000001</v>
      </c>
      <c r="G31" s="77">
        <f t="shared" ref="G31:P46" si="5">IF(G$27="%w/w SAR",((G$28*10)*$B31),IF(G$27="%w/w DM",(((G$28*10)*($B$28/100))*$B31),IF(G$27="kg/t SAR",(G$28*$B31),IF(G$27="kg/t DM",((G$28*($B$28/100))*$B31),IF(G$27="mg/kg SAR",((G$28*0.001)*$B31),IF(G$27="mg/kg DM",(((G$28*0.001)*($B$28/100))*$B31),0))))))</f>
        <v>4.4080000000000005E-3</v>
      </c>
      <c r="H31" s="77">
        <f t="shared" si="5"/>
        <v>6.0229999999999999E-2</v>
      </c>
      <c r="I31" s="77">
        <f t="shared" si="5"/>
        <v>9.4999999999999998E-3</v>
      </c>
      <c r="J31" s="77">
        <f t="shared" si="5"/>
        <v>1.9000000000000001E-4</v>
      </c>
      <c r="K31" s="77">
        <f t="shared" si="5"/>
        <v>9.5E-4</v>
      </c>
      <c r="L31" s="77">
        <f t="shared" si="5"/>
        <v>3.8E-3</v>
      </c>
      <c r="M31" s="77">
        <f t="shared" si="5"/>
        <v>6.0610000000000004E-3</v>
      </c>
      <c r="N31" s="77">
        <f t="shared" si="5"/>
        <v>0</v>
      </c>
      <c r="O31" s="77">
        <f t="shared" si="5"/>
        <v>0</v>
      </c>
      <c r="P31" s="77">
        <f t="shared" si="5"/>
        <v>21.527000000000001</v>
      </c>
      <c r="Q31" s="77">
        <f>(IF(Q$27="%w/w SAR",((Q$28*10)*$B31),IF(Q$27="%w/w DM",(((Q$28*10)*($B$28/100))*$B31),IF(Q$27="kg/t SAR",(Q$28*$B31),IF(Q$27="kg/t DM",((Q$28*($B$28/100))*$B31),IF(Q$27="mg/kg SAR",((Q$28*0.001)*$B31),IF(Q$27="mg/kg DM",(((Q$28*0.001)*($B$28/100))*$B31),0)))))))*2.5</f>
        <v>54.435000000000002</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v>25</v>
      </c>
      <c r="C32" s="77">
        <f t="shared" ref="C32:C50" si="6">IF(C$27="%w/w SAR",((C$28*10)*$B32),IF(C$27="%w/w DM",(((C$28*10)*($B$28/100))*$B32),IF(C$27="kg/t SAR",(C$28*$B32),IF(C$27="kg/t DM",((C$28*($B$28/100))*$B32),IF(C$27="mg/kg SAR",((C$28*0.001)*$B32),IF(C$27="mg/kg DM",(((C$28*0.001)*($B$28/100))*$B32),0))))))</f>
        <v>62.5</v>
      </c>
      <c r="D32" s="77">
        <f t="shared" ref="D32:D50" si="7">(IF(D$27="%w/w SAR",((D$28*10)*$B32),IF(D$27="%w/w DM",(((D$28*10)*($B$28/100))*$B32),IF(D$27="kg/t SAR",(D$28*$B32),IF(D$27="kg/t DM",((D$28*($B$28/100))*$B32),IF(D$27="mg/kg SAR",((D$28*0.001)*$B32),IF(D$27="mg/kg DM",(((D$28*0.001)*($B$28/100))*$B32),"0")))))))*2.291</f>
        <v>80.01317499999999</v>
      </c>
      <c r="E32" s="77">
        <f t="shared" ref="E32:E50" si="8">(IF(E$27="%w/w SAR",((E$28*10)*$B32),IF(E$27="%w/w DM",(((E$28*10)*($B$28/100))*$B32),IF(E$27="kg/t SAR",(E$28*$B32),IF(E$27="kg/t DM",((E$28*($B$28/100))*$B32),IF(E$27="mg/kg SAR",((E$28*0.001)*$B32),IF(E$27="mg/kg DM",(((E$28*0.001)*($B$28/100))*$B32),"0")))))))*1.205</f>
        <v>14.068375000000001</v>
      </c>
      <c r="F32" s="77">
        <f t="shared" ref="F32:F50" si="9">(IF(F$27="%w/w SAR",((F$28*10)*$B32),IF(F$27="%w/w DM",(((F$28*10)*($B$28/100))*$B32),IF(F$27="kg/t SAR",(F$28*$B32),IF(F$27="kg/t DM",((F$28*($B$28/100))*$B32),IF(F$27="mg/kg SAR",((F$28*0.001)*$B32),IF(F$27="mg/kg DM",(((F$28*0.001)*($B$28/100))*$B32),"0")))))))*1.658</f>
        <v>2.3999549999999998</v>
      </c>
      <c r="G32" s="77">
        <f t="shared" si="5"/>
        <v>5.8000000000000005E-3</v>
      </c>
      <c r="H32" s="77">
        <f t="shared" si="5"/>
        <v>7.9250000000000001E-2</v>
      </c>
      <c r="I32" s="77">
        <f t="shared" si="5"/>
        <v>1.2500000000000001E-2</v>
      </c>
      <c r="J32" s="77">
        <f t="shared" si="5"/>
        <v>2.5000000000000001E-4</v>
      </c>
      <c r="K32" s="77">
        <f t="shared" si="5"/>
        <v>1.25E-3</v>
      </c>
      <c r="L32" s="77">
        <f t="shared" si="5"/>
        <v>5.0000000000000001E-3</v>
      </c>
      <c r="M32" s="77">
        <f t="shared" si="5"/>
        <v>7.9749999999999995E-3</v>
      </c>
      <c r="N32" s="77">
        <f t="shared" si="5"/>
        <v>0</v>
      </c>
      <c r="O32" s="77">
        <f t="shared" si="5"/>
        <v>0</v>
      </c>
      <c r="P32" s="77">
        <f t="shared" si="5"/>
        <v>28.324999999999999</v>
      </c>
      <c r="Q32" s="77">
        <f t="shared" ref="Q32:Q50" si="10">(IF(Q$27="%w/w SAR",((Q$28*10)*$B32),IF(Q$27="%w/w DM",(((Q$28*10)*($B$28/100))*$B32),IF(Q$27="kg/t SAR",(Q$28*$B32),IF(Q$27="kg/t DM",((Q$28*($B$28/100))*$B32),IF(Q$27="mg/kg SAR",((Q$28*0.001)*$B32),IF(Q$27="mg/kg DM",(((Q$28*0.001)*($B$28/100))*$B32),0)))))))*2.5</f>
        <v>71.625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v>25</v>
      </c>
      <c r="C33" s="77">
        <f t="shared" si="6"/>
        <v>62.5</v>
      </c>
      <c r="D33" s="77">
        <f t="shared" si="7"/>
        <v>80.01317499999999</v>
      </c>
      <c r="E33" s="77">
        <f t="shared" si="8"/>
        <v>14.068375000000001</v>
      </c>
      <c r="F33" s="77">
        <f t="shared" si="9"/>
        <v>2.3999549999999998</v>
      </c>
      <c r="G33" s="77">
        <f t="shared" si="5"/>
        <v>5.8000000000000005E-3</v>
      </c>
      <c r="H33" s="77">
        <f t="shared" si="5"/>
        <v>7.9250000000000001E-2</v>
      </c>
      <c r="I33" s="77">
        <f t="shared" si="5"/>
        <v>1.2500000000000001E-2</v>
      </c>
      <c r="J33" s="77">
        <f t="shared" si="5"/>
        <v>2.5000000000000001E-4</v>
      </c>
      <c r="K33" s="77">
        <f t="shared" si="5"/>
        <v>1.25E-3</v>
      </c>
      <c r="L33" s="77">
        <f t="shared" si="5"/>
        <v>5.0000000000000001E-3</v>
      </c>
      <c r="M33" s="77">
        <f t="shared" si="5"/>
        <v>7.9749999999999995E-3</v>
      </c>
      <c r="N33" s="77">
        <f t="shared" si="5"/>
        <v>0</v>
      </c>
      <c r="O33" s="77">
        <f t="shared" si="5"/>
        <v>0</v>
      </c>
      <c r="P33" s="77">
        <f t="shared" si="5"/>
        <v>28.324999999999999</v>
      </c>
      <c r="Q33" s="77">
        <f t="shared" si="10"/>
        <v>71.625</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v>25</v>
      </c>
      <c r="C34" s="77">
        <f t="shared" si="6"/>
        <v>62.5</v>
      </c>
      <c r="D34" s="77">
        <f t="shared" si="7"/>
        <v>80.01317499999999</v>
      </c>
      <c r="E34" s="77">
        <f t="shared" si="8"/>
        <v>14.068375000000001</v>
      </c>
      <c r="F34" s="77">
        <f t="shared" si="9"/>
        <v>2.3999549999999998</v>
      </c>
      <c r="G34" s="77">
        <f t="shared" si="5"/>
        <v>5.8000000000000005E-3</v>
      </c>
      <c r="H34" s="77">
        <f t="shared" si="5"/>
        <v>7.9250000000000001E-2</v>
      </c>
      <c r="I34" s="77">
        <f t="shared" si="5"/>
        <v>1.2500000000000001E-2</v>
      </c>
      <c r="J34" s="77">
        <f t="shared" si="5"/>
        <v>2.5000000000000001E-4</v>
      </c>
      <c r="K34" s="77">
        <f t="shared" si="5"/>
        <v>1.25E-3</v>
      </c>
      <c r="L34" s="77">
        <f t="shared" si="5"/>
        <v>5.0000000000000001E-3</v>
      </c>
      <c r="M34" s="77">
        <f t="shared" si="5"/>
        <v>7.9749999999999995E-3</v>
      </c>
      <c r="N34" s="77">
        <f t="shared" si="5"/>
        <v>0</v>
      </c>
      <c r="O34" s="77">
        <f t="shared" si="5"/>
        <v>0</v>
      </c>
      <c r="P34" s="77">
        <f t="shared" si="5"/>
        <v>28.324999999999999</v>
      </c>
      <c r="Q34" s="77">
        <f t="shared" si="10"/>
        <v>71.625</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v>25</v>
      </c>
      <c r="C35" s="77">
        <f t="shared" si="6"/>
        <v>62.5</v>
      </c>
      <c r="D35" s="77">
        <f t="shared" si="7"/>
        <v>80.01317499999999</v>
      </c>
      <c r="E35" s="77">
        <f t="shared" si="8"/>
        <v>14.068375000000001</v>
      </c>
      <c r="F35" s="77">
        <f t="shared" si="9"/>
        <v>2.3999549999999998</v>
      </c>
      <c r="G35" s="77">
        <f t="shared" si="5"/>
        <v>5.8000000000000005E-3</v>
      </c>
      <c r="H35" s="77">
        <f t="shared" si="5"/>
        <v>7.9250000000000001E-2</v>
      </c>
      <c r="I35" s="77">
        <f t="shared" si="5"/>
        <v>1.2500000000000001E-2</v>
      </c>
      <c r="J35" s="77">
        <f t="shared" si="5"/>
        <v>2.5000000000000001E-4</v>
      </c>
      <c r="K35" s="77">
        <f t="shared" si="5"/>
        <v>1.25E-3</v>
      </c>
      <c r="L35" s="77">
        <f t="shared" si="5"/>
        <v>5.0000000000000001E-3</v>
      </c>
      <c r="M35" s="77">
        <f t="shared" si="5"/>
        <v>7.9749999999999995E-3</v>
      </c>
      <c r="N35" s="77">
        <f t="shared" si="5"/>
        <v>0</v>
      </c>
      <c r="O35" s="77">
        <f t="shared" si="5"/>
        <v>0</v>
      </c>
      <c r="P35" s="77">
        <f t="shared" si="5"/>
        <v>28.324999999999999</v>
      </c>
      <c r="Q35" s="77">
        <f t="shared" si="10"/>
        <v>71.625</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v>25</v>
      </c>
      <c r="C36" s="77">
        <f t="shared" si="6"/>
        <v>62.5</v>
      </c>
      <c r="D36" s="77">
        <f t="shared" si="7"/>
        <v>80.01317499999999</v>
      </c>
      <c r="E36" s="77">
        <f t="shared" si="8"/>
        <v>14.068375000000001</v>
      </c>
      <c r="F36" s="77">
        <f t="shared" si="9"/>
        <v>2.3999549999999998</v>
      </c>
      <c r="G36" s="77">
        <f t="shared" si="5"/>
        <v>5.8000000000000005E-3</v>
      </c>
      <c r="H36" s="77">
        <f t="shared" si="5"/>
        <v>7.9250000000000001E-2</v>
      </c>
      <c r="I36" s="77">
        <f t="shared" si="5"/>
        <v>1.2500000000000001E-2</v>
      </c>
      <c r="J36" s="77">
        <f t="shared" si="5"/>
        <v>2.5000000000000001E-4</v>
      </c>
      <c r="K36" s="77">
        <f t="shared" si="5"/>
        <v>1.25E-3</v>
      </c>
      <c r="L36" s="77">
        <f t="shared" si="5"/>
        <v>5.0000000000000001E-3</v>
      </c>
      <c r="M36" s="77">
        <f t="shared" si="5"/>
        <v>7.9749999999999995E-3</v>
      </c>
      <c r="N36" s="77">
        <f t="shared" si="5"/>
        <v>0</v>
      </c>
      <c r="O36" s="77">
        <f t="shared" si="5"/>
        <v>0</v>
      </c>
      <c r="P36" s="77">
        <f t="shared" si="5"/>
        <v>28.324999999999999</v>
      </c>
      <c r="Q36" s="77">
        <f t="shared" si="10"/>
        <v>71.625</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v>25</v>
      </c>
      <c r="C37" s="77">
        <f t="shared" si="6"/>
        <v>62.5</v>
      </c>
      <c r="D37" s="77">
        <f t="shared" si="7"/>
        <v>80.01317499999999</v>
      </c>
      <c r="E37" s="77">
        <f t="shared" si="8"/>
        <v>14.068375000000001</v>
      </c>
      <c r="F37" s="77">
        <f t="shared" si="9"/>
        <v>2.3999549999999998</v>
      </c>
      <c r="G37" s="77">
        <f t="shared" si="5"/>
        <v>5.8000000000000005E-3</v>
      </c>
      <c r="H37" s="77">
        <f t="shared" si="5"/>
        <v>7.9250000000000001E-2</v>
      </c>
      <c r="I37" s="77">
        <f t="shared" si="5"/>
        <v>1.2500000000000001E-2</v>
      </c>
      <c r="J37" s="77">
        <f t="shared" si="5"/>
        <v>2.5000000000000001E-4</v>
      </c>
      <c r="K37" s="77">
        <f t="shared" si="5"/>
        <v>1.25E-3</v>
      </c>
      <c r="L37" s="77">
        <f t="shared" si="5"/>
        <v>5.0000000000000001E-3</v>
      </c>
      <c r="M37" s="77">
        <f t="shared" si="5"/>
        <v>7.9749999999999995E-3</v>
      </c>
      <c r="N37" s="77">
        <f t="shared" si="5"/>
        <v>0</v>
      </c>
      <c r="O37" s="77">
        <f t="shared" si="5"/>
        <v>0</v>
      </c>
      <c r="P37" s="77">
        <f t="shared" si="5"/>
        <v>28.324999999999999</v>
      </c>
      <c r="Q37" s="77">
        <f t="shared" si="10"/>
        <v>71.625</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v>57</v>
      </c>
      <c r="C38" s="77">
        <f t="shared" si="6"/>
        <v>142.5</v>
      </c>
      <c r="D38" s="77">
        <f t="shared" si="7"/>
        <v>182.43003899999999</v>
      </c>
      <c r="E38" s="77">
        <f t="shared" si="8"/>
        <v>32.075895000000003</v>
      </c>
      <c r="F38" s="77">
        <f t="shared" si="9"/>
        <v>5.4718973999999996</v>
      </c>
      <c r="G38" s="77">
        <f t="shared" si="5"/>
        <v>1.3224000000000001E-2</v>
      </c>
      <c r="H38" s="77">
        <f t="shared" si="5"/>
        <v>0.18069000000000002</v>
      </c>
      <c r="I38" s="77">
        <f t="shared" si="5"/>
        <v>2.8500000000000001E-2</v>
      </c>
      <c r="J38" s="77">
        <f t="shared" si="5"/>
        <v>5.7000000000000009E-4</v>
      </c>
      <c r="K38" s="77">
        <f t="shared" si="5"/>
        <v>2.8500000000000001E-3</v>
      </c>
      <c r="L38" s="77">
        <f t="shared" si="5"/>
        <v>1.14E-2</v>
      </c>
      <c r="M38" s="77">
        <f t="shared" si="5"/>
        <v>1.8183000000000001E-2</v>
      </c>
      <c r="N38" s="77">
        <f t="shared" si="5"/>
        <v>0</v>
      </c>
      <c r="O38" s="77">
        <f t="shared" si="5"/>
        <v>0</v>
      </c>
      <c r="P38" s="77">
        <f t="shared" si="5"/>
        <v>64.581000000000003</v>
      </c>
      <c r="Q38" s="77">
        <f t="shared" si="10"/>
        <v>163.30500000000001</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v>25</v>
      </c>
      <c r="C39" s="77">
        <f t="shared" si="6"/>
        <v>62.5</v>
      </c>
      <c r="D39" s="77">
        <f t="shared" si="7"/>
        <v>80.01317499999999</v>
      </c>
      <c r="E39" s="77">
        <f t="shared" si="8"/>
        <v>14.068375000000001</v>
      </c>
      <c r="F39" s="77">
        <f t="shared" si="9"/>
        <v>2.3999549999999998</v>
      </c>
      <c r="G39" s="77">
        <f t="shared" si="5"/>
        <v>5.8000000000000005E-3</v>
      </c>
      <c r="H39" s="77">
        <f t="shared" si="5"/>
        <v>7.9250000000000001E-2</v>
      </c>
      <c r="I39" s="77">
        <f t="shared" si="5"/>
        <v>1.2500000000000001E-2</v>
      </c>
      <c r="J39" s="77">
        <f t="shared" si="5"/>
        <v>2.5000000000000001E-4</v>
      </c>
      <c r="K39" s="77">
        <f t="shared" si="5"/>
        <v>1.25E-3</v>
      </c>
      <c r="L39" s="77">
        <f t="shared" si="5"/>
        <v>5.0000000000000001E-3</v>
      </c>
      <c r="M39" s="77">
        <f t="shared" si="5"/>
        <v>7.9749999999999995E-3</v>
      </c>
      <c r="N39" s="77">
        <f t="shared" si="5"/>
        <v>0</v>
      </c>
      <c r="O39" s="77">
        <f t="shared" si="5"/>
        <v>0</v>
      </c>
      <c r="P39" s="77">
        <f t="shared" si="5"/>
        <v>28.324999999999999</v>
      </c>
      <c r="Q39" s="77">
        <f t="shared" si="10"/>
        <v>71.625</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v>25</v>
      </c>
      <c r="C40" s="77">
        <f t="shared" si="6"/>
        <v>62.5</v>
      </c>
      <c r="D40" s="77">
        <f t="shared" si="7"/>
        <v>80.01317499999999</v>
      </c>
      <c r="E40" s="77">
        <f t="shared" si="8"/>
        <v>14.068375000000001</v>
      </c>
      <c r="F40" s="77">
        <f t="shared" si="9"/>
        <v>2.3999549999999998</v>
      </c>
      <c r="G40" s="77">
        <f t="shared" si="5"/>
        <v>5.8000000000000005E-3</v>
      </c>
      <c r="H40" s="77">
        <f t="shared" si="5"/>
        <v>7.9250000000000001E-2</v>
      </c>
      <c r="I40" s="77">
        <f t="shared" si="5"/>
        <v>1.2500000000000001E-2</v>
      </c>
      <c r="J40" s="77">
        <f t="shared" si="5"/>
        <v>2.5000000000000001E-4</v>
      </c>
      <c r="K40" s="77">
        <f t="shared" si="5"/>
        <v>1.25E-3</v>
      </c>
      <c r="L40" s="77">
        <f t="shared" si="5"/>
        <v>5.0000000000000001E-3</v>
      </c>
      <c r="M40" s="77">
        <f t="shared" si="5"/>
        <v>7.9749999999999995E-3</v>
      </c>
      <c r="N40" s="77">
        <f t="shared" si="5"/>
        <v>0</v>
      </c>
      <c r="O40" s="77">
        <f t="shared" si="5"/>
        <v>0</v>
      </c>
      <c r="P40" s="77">
        <f t="shared" si="5"/>
        <v>28.324999999999999</v>
      </c>
      <c r="Q40" s="77">
        <f t="shared" si="10"/>
        <v>71.625</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v>25</v>
      </c>
      <c r="C41" s="77">
        <f t="shared" si="6"/>
        <v>62.5</v>
      </c>
      <c r="D41" s="77">
        <f t="shared" si="7"/>
        <v>80.01317499999999</v>
      </c>
      <c r="E41" s="77">
        <f t="shared" si="8"/>
        <v>14.068375000000001</v>
      </c>
      <c r="F41" s="77">
        <f t="shared" si="9"/>
        <v>2.3999549999999998</v>
      </c>
      <c r="G41" s="77">
        <f t="shared" si="5"/>
        <v>5.8000000000000005E-3</v>
      </c>
      <c r="H41" s="77">
        <f t="shared" si="5"/>
        <v>7.9250000000000001E-2</v>
      </c>
      <c r="I41" s="77">
        <f t="shared" si="5"/>
        <v>1.2500000000000001E-2</v>
      </c>
      <c r="J41" s="77">
        <f t="shared" si="5"/>
        <v>2.5000000000000001E-4</v>
      </c>
      <c r="K41" s="77">
        <f t="shared" si="5"/>
        <v>1.25E-3</v>
      </c>
      <c r="L41" s="77">
        <f t="shared" si="5"/>
        <v>5.0000000000000001E-3</v>
      </c>
      <c r="M41" s="77">
        <f t="shared" si="5"/>
        <v>7.9749999999999995E-3</v>
      </c>
      <c r="N41" s="77">
        <f t="shared" si="5"/>
        <v>0</v>
      </c>
      <c r="O41" s="77">
        <f t="shared" si="5"/>
        <v>0</v>
      </c>
      <c r="P41" s="77">
        <f t="shared" si="5"/>
        <v>28.324999999999999</v>
      </c>
      <c r="Q41" s="77">
        <f t="shared" si="10"/>
        <v>71.625</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"&amp;(VLOOKUP(C14,Table245811[],6,FALSE))</f>
        <v>Medium/Clay I Arable</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x14ac:dyDescent="0.2">
      <c r="A59" s="111" t="s">
        <v>132</v>
      </c>
      <c r="B59" s="76">
        <f>VLOOKUP(C$14,Table245811[],5,FALSE)</f>
        <v>6.7</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19</v>
      </c>
      <c r="C62" s="77">
        <f>B32</f>
        <v>25</v>
      </c>
      <c r="D62" s="77">
        <f>B33</f>
        <v>25</v>
      </c>
      <c r="E62" s="77">
        <f>B34</f>
        <v>25</v>
      </c>
      <c r="F62" s="77">
        <f>B35</f>
        <v>25</v>
      </c>
      <c r="G62" s="77">
        <f>B36</f>
        <v>25</v>
      </c>
      <c r="H62" s="77">
        <f>B37</f>
        <v>25</v>
      </c>
      <c r="I62" s="77">
        <f>B38</f>
        <v>57</v>
      </c>
      <c r="J62" s="77">
        <f>B39</f>
        <v>25</v>
      </c>
      <c r="K62" s="77">
        <f>B40</f>
        <v>25</v>
      </c>
      <c r="L62" s="77">
        <f>B41</f>
        <v>25</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-62.999999999999993</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-198.00000000000003</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"&amp;(VLOOKUP(C14,Table24581112[],6,FALSE))</f>
        <v>Medium/Clay I Arable</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x14ac:dyDescent="0.2">
      <c r="A59" s="111" t="s">
        <v>132</v>
      </c>
      <c r="B59" s="76">
        <f>VLOOKUP(C$14,Table24581112[],5,FALSE)</f>
        <v>6.7</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42" width="0" style="11" hidden="1" customWidth="1"/>
    <col min="43"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-62.999999999999993</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-198.00000000000003</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"&amp;(VLOOKUP(C14,Table24581114[],6,FALSE))</f>
        <v>Medium/Clay I Arable</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x14ac:dyDescent="0.2">
      <c r="A59" s="111" t="s">
        <v>132</v>
      </c>
      <c r="B59" s="76">
        <f>VLOOKUP(C$14,Table24581114[],5,FALSE)</f>
        <v>6.7</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I1" sqref="G1:I3"/>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-62.999999999999993</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-198.00000000000003</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"&amp;(VLOOKUP(C14,Table245810[],6,FALSE))</f>
        <v>Medium/Clay I Arable</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x14ac:dyDescent="0.2">
      <c r="A59" s="111" t="s">
        <v>132</v>
      </c>
      <c r="B59" s="76">
        <f>VLOOKUP(C$14,Table245810[],5,FALSE)</f>
        <v>6.7</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6" sqref="F16"/>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-62.999999999999993</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-198.00000000000003</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"&amp;(VLOOKUP(C14,Table2458[],6,FALSE))</f>
        <v>Medium/Clay I Arable</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x14ac:dyDescent="0.2">
      <c r="A59" s="111" t="s">
        <v>132</v>
      </c>
      <c r="B59" s="76">
        <f>VLOOKUP(C$14,Table2458[],5,FALSE)</f>
        <v>6.7</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-62.999999999999993</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-198.00000000000003</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"&amp;(VLOOKUP(C14,Table24581113[],6,FALSE))</f>
        <v>Medium/Clay I Arable</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str">
        <f>L16&amp;" I "&amp;(VLOOKUP(L14,Table24581113[],6,FALSE))</f>
        <v>Medium/Clay I Grass</v>
      </c>
      <c r="L58" s="13" t="str">
        <f>M16&amp;" I "&amp;(VLOOKUP(M14,Table24581113[],6,FALSE))</f>
        <v>Medium/Clay I Grass</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x14ac:dyDescent="0.2">
      <c r="A59" s="111" t="s">
        <v>132</v>
      </c>
      <c r="B59" s="76">
        <f>VLOOKUP(C$14,Table24581113[],5,FALSE)</f>
        <v>6.7</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t="e">
        <f>VLOOKUP(N$14,Table24581113[],5,FALSE)</f>
        <v>#N/A</v>
      </c>
      <c r="N59" s="76" t="e">
        <f>VLOOKUP(O$14,Table24581113[],5,FALSE)</f>
        <v>#N/A</v>
      </c>
      <c r="O59" s="76" t="e">
        <f>VLOOKUP(P$14,Table24581113[],5,FALSE)</f>
        <v>#N/A</v>
      </c>
      <c r="P59" s="76" t="e">
        <f>VLOOKUP(Q$14,Table24581113[],5,FALSE)</f>
        <v>#N/A</v>
      </c>
      <c r="Q59" s="76" t="e">
        <f>VLOOKUP(R$14,Table24581113[],5,FALSE)</f>
        <v>#N/A</v>
      </c>
      <c r="R59" s="76" t="e">
        <f>VLOOKUP(S$14,Table24581113[],5,FALSE)</f>
        <v>#N/A</v>
      </c>
      <c r="S59" s="76" t="e">
        <f>VLOOKUP(T$14,Table24581113[],5,FALSE)</f>
        <v>#N/A</v>
      </c>
      <c r="T59" s="76" t="e">
        <f>VLOOKUP(U$14,Table24581113[],5,FALSE)</f>
        <v>#N/A</v>
      </c>
      <c r="U59" s="76" t="e">
        <f>VLOOKUP(V$14,Table24581113[],5,FALSE)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-62.999999999999993</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-198.00000000000003</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"&amp;(VLOOKUP(C14,Table24567[],6,FALSE))</f>
        <v>Medium/Clay I Arable</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str">
        <f>L16&amp;" I "&amp;(VLOOKUP(L14,Table24567[],6,FALSE))</f>
        <v>Medium/Clay I Grass</v>
      </c>
      <c r="L58" s="13" t="str">
        <f>M16&amp;" I "&amp;(VLOOKUP(M14,Table24567[],6,FALSE))</f>
        <v>Medium/Clay I Grass</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x14ac:dyDescent="0.2">
      <c r="A59" s="111" t="s">
        <v>132</v>
      </c>
      <c r="B59" s="76">
        <f>VLOOKUP(C$14,Table24567[],5,FALSE)</f>
        <v>6.7</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40625" defaultRowHeight="12.75" x14ac:dyDescent="0.25"/>
  <cols>
    <col min="1" max="1" width="13.140625" style="11"/>
    <col min="2" max="2" width="15.85546875" style="11" customWidth="1"/>
    <col min="3" max="3" width="20.5703125" style="11" customWidth="1"/>
    <col min="4" max="4" width="20.28515625" style="11" bestFit="1" customWidth="1"/>
    <col min="5" max="22" width="21.28515625" style="11" customWidth="1"/>
    <col min="23" max="26" width="13.140625" style="11"/>
    <col min="27" max="27" width="0" style="11" hidden="1" customWidth="1"/>
    <col min="28" max="29" width="10.7109375" style="19" hidden="1" customWidth="1"/>
    <col min="30" max="30" width="19.7109375" style="19" hidden="1" customWidth="1"/>
    <col min="31" max="34" width="12.42578125" style="19" hidden="1" customWidth="1"/>
    <col min="35" max="35" width="27.7109375" style="19" hidden="1" customWidth="1"/>
    <col min="36" max="40" width="0" style="11" hidden="1" customWidth="1"/>
    <col min="41" max="41" width="67.28515625" style="11" hidden="1" customWidth="1"/>
    <col min="42" max="16384" width="13.140625" style="11"/>
  </cols>
  <sheetData>
    <row r="1" spans="1:41" x14ac:dyDescent="0.2">
      <c r="A1" s="128" t="s">
        <v>41</v>
      </c>
      <c r="B1" s="128"/>
      <c r="C1" s="141" t="str">
        <f>'Field data and Waste 1'!C1:D1</f>
        <v>PAN-023141</v>
      </c>
      <c r="D1" s="142"/>
      <c r="E1" s="93" t="s">
        <v>45</v>
      </c>
      <c r="F1" s="39">
        <f>'Field data and Waste 1'!F1</f>
        <v>47.4</v>
      </c>
      <c r="G1" s="124" t="s">
        <v>43</v>
      </c>
      <c r="H1" s="125"/>
      <c r="I1" s="118"/>
      <c r="J1" s="128" t="s">
        <v>153</v>
      </c>
      <c r="K1" s="128"/>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2">
      <c r="A2" s="128" t="s">
        <v>87</v>
      </c>
      <c r="B2" s="128"/>
      <c r="C2" s="143" t="str">
        <f>'Field data and Waste 1'!C2:D2</f>
        <v>EPR/AB3891CX</v>
      </c>
      <c r="D2" s="144"/>
      <c r="E2" s="93" t="s">
        <v>109</v>
      </c>
      <c r="F2" s="96"/>
      <c r="G2" s="126" t="s">
        <v>110</v>
      </c>
      <c r="H2" s="127"/>
      <c r="I2" s="118"/>
      <c r="J2" s="128" t="s">
        <v>158</v>
      </c>
      <c r="K2" s="128"/>
      <c r="L2" s="97"/>
      <c r="AB2" s="30" t="s">
        <v>56</v>
      </c>
      <c r="AC2" s="17"/>
      <c r="AD2" s="30" t="s">
        <v>70</v>
      </c>
      <c r="AE2" s="17"/>
      <c r="AF2" s="17"/>
      <c r="AG2" s="44" t="s">
        <v>76</v>
      </c>
      <c r="AH2" s="18"/>
      <c r="AI2" s="45" t="s">
        <v>126</v>
      </c>
      <c r="AJ2" s="46">
        <v>0</v>
      </c>
      <c r="AK2" s="47">
        <v>0</v>
      </c>
      <c r="AL2" s="10">
        <v>0</v>
      </c>
      <c r="AM2" s="11">
        <v>0</v>
      </c>
      <c r="AN2" s="11">
        <v>0</v>
      </c>
    </row>
    <row r="3" spans="1:41" x14ac:dyDescent="0.2">
      <c r="A3" s="124" t="s">
        <v>42</v>
      </c>
      <c r="B3" s="125"/>
      <c r="C3" s="143" t="str">
        <f>'Field data and Waste 1'!C3:D3</f>
        <v>Mr Daniel and Mrs Carys James</v>
      </c>
      <c r="D3" s="144"/>
      <c r="E3" s="93" t="s">
        <v>108</v>
      </c>
      <c r="F3" s="31"/>
      <c r="G3" s="128" t="s">
        <v>159</v>
      </c>
      <c r="H3" s="128"/>
      <c r="I3" s="118"/>
      <c r="J3" s="124" t="s">
        <v>154</v>
      </c>
      <c r="K3" s="125"/>
      <c r="L3" s="97" t="e">
        <f>(L1/(L2*10000))*100</f>
        <v>#DIV/0!</v>
      </c>
      <c r="AB3" s="30" t="s">
        <v>57</v>
      </c>
      <c r="AC3" s="17"/>
      <c r="AD3" s="30" t="s">
        <v>71</v>
      </c>
      <c r="AE3" s="17"/>
      <c r="AF3" s="17"/>
      <c r="AG3" s="44" t="s">
        <v>77</v>
      </c>
      <c r="AH3" s="18"/>
      <c r="AI3" s="48" t="s">
        <v>113</v>
      </c>
      <c r="AJ3" s="49">
        <v>1.7</v>
      </c>
      <c r="AK3" s="50">
        <v>6</v>
      </c>
      <c r="AL3" s="51">
        <v>1</v>
      </c>
      <c r="AM3" s="11">
        <v>6.2</v>
      </c>
      <c r="AN3" s="11" t="s">
        <v>112</v>
      </c>
    </row>
    <row r="4" spans="1:41" x14ac:dyDescent="0.2">
      <c r="A4" s="128" t="s">
        <v>0</v>
      </c>
      <c r="B4" s="128"/>
      <c r="C4" s="141" t="str">
        <f>'Field data and Waste 1'!C4:D4</f>
        <v>Hafod Farm, Ferwig, Cardigan, Ceredigion, SA43 1PU</v>
      </c>
      <c r="D4" s="142"/>
      <c r="E4" s="94" t="s">
        <v>1</v>
      </c>
      <c r="F4" s="96"/>
      <c r="G4" s="124"/>
      <c r="H4" s="125"/>
      <c r="I4" s="39"/>
      <c r="J4" s="124"/>
      <c r="K4" s="125"/>
      <c r="L4" s="96"/>
      <c r="AB4" s="30" t="s">
        <v>52</v>
      </c>
      <c r="AC4" s="17"/>
      <c r="AD4" s="52" t="s">
        <v>72</v>
      </c>
      <c r="AE4" s="17"/>
      <c r="AF4" s="17"/>
      <c r="AG4" s="44" t="s">
        <v>78</v>
      </c>
      <c r="AH4" s="18"/>
      <c r="AI4" s="53" t="s">
        <v>124</v>
      </c>
      <c r="AJ4" s="54">
        <v>7</v>
      </c>
      <c r="AK4" s="55">
        <v>10.5</v>
      </c>
      <c r="AL4" s="11">
        <v>2</v>
      </c>
      <c r="AM4" s="11">
        <v>6.7</v>
      </c>
      <c r="AN4" s="11" t="s">
        <v>135</v>
      </c>
    </row>
    <row r="5" spans="1:41" x14ac:dyDescent="0.2">
      <c r="A5" s="128" t="s">
        <v>47</v>
      </c>
      <c r="B5" s="128"/>
      <c r="C5" s="141" t="str">
        <f>'Field data and Waste 1'!C5:D5</f>
        <v>Ethan Banfield</v>
      </c>
      <c r="D5" s="142"/>
      <c r="E5" s="93"/>
      <c r="F5" s="39"/>
      <c r="G5" s="124"/>
      <c r="H5" s="125"/>
      <c r="I5" s="39"/>
      <c r="J5" s="124"/>
      <c r="K5" s="125"/>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x14ac:dyDescent="0.2">
      <c r="A7" s="133" t="s">
        <v>63</v>
      </c>
      <c r="B7" s="133"/>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x14ac:dyDescent="0.2">
      <c r="A8" s="128" t="s">
        <v>2</v>
      </c>
      <c r="B8" s="128"/>
      <c r="C8" s="60" t="str">
        <f>'Field data and Waste 1'!C8</f>
        <v>H8</v>
      </c>
      <c r="D8" s="60" t="str">
        <f>'Field data and Waste 1'!D8</f>
        <v>H0720</v>
      </c>
      <c r="E8" s="60" t="str">
        <f>'Field data and Waste 1'!E8</f>
        <v>B1404</v>
      </c>
      <c r="F8" s="60" t="str">
        <f>'Field data and Waste 1'!F8</f>
        <v>B2611</v>
      </c>
      <c r="G8" s="60" t="str">
        <f>'Field data and Waste 1'!G8</f>
        <v>B2893</v>
      </c>
      <c r="H8" s="60" t="str">
        <f>'Field data and Waste 1'!H8</f>
        <v>H4315</v>
      </c>
      <c r="I8" s="60" t="str">
        <f>'Field data and Waste 1'!I8</f>
        <v xml:space="preserve">H4734 </v>
      </c>
      <c r="J8" s="60" t="str">
        <f>'Field data and Waste 1'!J8</f>
        <v>H5761</v>
      </c>
      <c r="K8" s="60" t="str">
        <f>'Field data and Waste 1'!K8</f>
        <v>H1741</v>
      </c>
      <c r="L8" s="60" t="str">
        <f>'Field data and Waste 1'!L8</f>
        <v>H2455</v>
      </c>
      <c r="M8" s="60" t="str">
        <f>'Field data and Waste 1'!M8</f>
        <v>H4067</v>
      </c>
      <c r="N8" s="60">
        <f>'Field data and Waste 1'!N8</f>
        <v>0</v>
      </c>
      <c r="O8" s="60">
        <f>'Field data and Waste 1'!O8</f>
        <v>0</v>
      </c>
      <c r="P8" s="60">
        <f>'Field data and Waste 1'!P8</f>
        <v>0</v>
      </c>
      <c r="Q8" s="60">
        <f>'Field data and Waste 1'!Q8</f>
        <v>0</v>
      </c>
      <c r="R8" s="60">
        <f>'Field data and Waste 1'!R8</f>
        <v>0</v>
      </c>
      <c r="S8" s="60">
        <f>'Field data and Waste 1'!S8</f>
        <v>0</v>
      </c>
      <c r="T8" s="60">
        <f>'Field data and Waste 1'!T8</f>
        <v>0</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x14ac:dyDescent="0.2">
      <c r="A9" s="128" t="s">
        <v>3</v>
      </c>
      <c r="B9" s="128"/>
      <c r="C9" s="60">
        <f>'Field data and Waste 1'!C9</f>
        <v>1</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f>'Field data and Waste 1'!N9</f>
        <v>0</v>
      </c>
      <c r="O9" s="60">
        <f>'Field data and Waste 1'!O9</f>
        <v>0</v>
      </c>
      <c r="P9" s="60">
        <f>'Field data and Waste 1'!P9</f>
        <v>0</v>
      </c>
      <c r="Q9" s="60">
        <f>'Field data and Waste 1'!Q9</f>
        <v>0</v>
      </c>
      <c r="R9" s="60">
        <f>'Field data and Waste 1'!R9</f>
        <v>0</v>
      </c>
      <c r="S9" s="60">
        <f>'Field data and Waste 1'!S9</f>
        <v>0</v>
      </c>
      <c r="T9" s="60">
        <f>'Field data and Waste 1'!T9</f>
        <v>0</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x14ac:dyDescent="0.2">
      <c r="A10" s="128" t="s">
        <v>4</v>
      </c>
      <c r="B10" s="128"/>
      <c r="C10" s="60">
        <f>'Field data and Waste 1'!C10</f>
        <v>6</v>
      </c>
      <c r="D10" s="60">
        <f>'Field data and Waste 1'!D10</f>
        <v>6.2</v>
      </c>
      <c r="E10" s="60">
        <f>'Field data and Waste 1'!E10</f>
        <v>6.3</v>
      </c>
      <c r="F10" s="60">
        <f>'Field data and Waste 1'!F10</f>
        <v>6.3</v>
      </c>
      <c r="G10" s="60">
        <f>'Field data and Waste 1'!G10</f>
        <v>6.3</v>
      </c>
      <c r="H10" s="60">
        <f>'Field data and Waste 1'!H10</f>
        <v>6.3</v>
      </c>
      <c r="I10" s="60">
        <f>'Field data and Waste 1'!I10</f>
        <v>6.3</v>
      </c>
      <c r="J10" s="60">
        <f>'Field data and Waste 1'!J10</f>
        <v>6.2</v>
      </c>
      <c r="K10" s="60">
        <f>'Field data and Waste 1'!K10</f>
        <v>6.2</v>
      </c>
      <c r="L10" s="60">
        <f>'Field data and Waste 1'!L10</f>
        <v>6.3</v>
      </c>
      <c r="M10" s="60">
        <f>'Field data and Waste 1'!M10</f>
        <v>6.2</v>
      </c>
      <c r="N10" s="60">
        <f>'Field data and Waste 1'!N10</f>
        <v>0</v>
      </c>
      <c r="O10" s="60">
        <f>'Field data and Waste 1'!O10</f>
        <v>0</v>
      </c>
      <c r="P10" s="60">
        <f>'Field data and Waste 1'!P10</f>
        <v>0</v>
      </c>
      <c r="Q10" s="60">
        <f>'Field data and Waste 1'!Q10</f>
        <v>0</v>
      </c>
      <c r="R10" s="60">
        <f>'Field data and Waste 1'!R10</f>
        <v>0</v>
      </c>
      <c r="S10" s="60">
        <f>'Field data and Waste 1'!S10</f>
        <v>0</v>
      </c>
      <c r="T10" s="60">
        <f>'Field data and Waste 1'!T10</f>
        <v>0</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x14ac:dyDescent="0.2">
      <c r="A11" s="128" t="s">
        <v>5</v>
      </c>
      <c r="B11" s="128"/>
      <c r="C11" s="60">
        <f>'Field data and Waste 1'!C11</f>
        <v>2</v>
      </c>
      <c r="D11" s="60">
        <f>'Field data and Waste 1'!D11</f>
        <v>2</v>
      </c>
      <c r="E11" s="60">
        <f>'Field data and Waste 1'!E11</f>
        <v>2</v>
      </c>
      <c r="F11" s="60">
        <f>'Field data and Waste 1'!F11</f>
        <v>2</v>
      </c>
      <c r="G11" s="60">
        <f>'Field data and Waste 1'!G11</f>
        <v>2</v>
      </c>
      <c r="H11" s="60">
        <f>'Field data and Waste 1'!H11</f>
        <v>2</v>
      </c>
      <c r="I11" s="60">
        <f>'Field data and Waste 1'!I11</f>
        <v>2</v>
      </c>
      <c r="J11" s="60">
        <f>'Field data and Waste 1'!J11</f>
        <v>1</v>
      </c>
      <c r="K11" s="60">
        <f>'Field data and Waste 1'!K11</f>
        <v>2</v>
      </c>
      <c r="L11" s="60">
        <f>'Field data and Waste 1'!L11</f>
        <v>2</v>
      </c>
      <c r="M11" s="60">
        <f>'Field data and Waste 1'!M11</f>
        <v>2</v>
      </c>
      <c r="N11" s="60">
        <f>'Field data and Waste 1'!N11</f>
        <v>0</v>
      </c>
      <c r="O11" s="60">
        <f>'Field data and Waste 1'!O11</f>
        <v>0</v>
      </c>
      <c r="P11" s="60">
        <f>'Field data and Waste 1'!P11</f>
        <v>0</v>
      </c>
      <c r="Q11" s="60">
        <f>'Field data and Waste 1'!Q11</f>
        <v>0</v>
      </c>
      <c r="R11" s="60">
        <f>'Field data and Waste 1'!R11</f>
        <v>0</v>
      </c>
      <c r="S11" s="60">
        <f>'Field data and Waste 1'!S11</f>
        <v>0</v>
      </c>
      <c r="T11" s="60">
        <f>'Field data and Waste 1'!T11</f>
        <v>0</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x14ac:dyDescent="0.2">
      <c r="A12" s="128" t="s">
        <v>6</v>
      </c>
      <c r="B12" s="128"/>
      <c r="C12" s="60">
        <f>'Field data and Waste 1'!C12</f>
        <v>1</v>
      </c>
      <c r="D12" s="60">
        <f>'Field data and Waste 1'!D12</f>
        <v>1</v>
      </c>
      <c r="E12" s="60">
        <f>'Field data and Waste 1'!E12</f>
        <v>1</v>
      </c>
      <c r="F12" s="60">
        <f>'Field data and Waste 1'!F12</f>
        <v>2</v>
      </c>
      <c r="G12" s="60">
        <f>'Field data and Waste 1'!G12</f>
        <v>2</v>
      </c>
      <c r="H12" s="60">
        <f>'Field data and Waste 1'!H12</f>
        <v>2</v>
      </c>
      <c r="I12" s="60">
        <f>'Field data and Waste 1'!I12</f>
        <v>1</v>
      </c>
      <c r="J12" s="60">
        <f>'Field data and Waste 1'!J12</f>
        <v>2</v>
      </c>
      <c r="K12" s="60">
        <f>'Field data and Waste 1'!K12</f>
        <v>2</v>
      </c>
      <c r="L12" s="60">
        <f>'Field data and Waste 1'!L12</f>
        <v>1</v>
      </c>
      <c r="M12" s="60">
        <f>'Field data and Waste 1'!M12</f>
        <v>2</v>
      </c>
      <c r="N12" s="60">
        <f>'Field data and Waste 1'!N12</f>
        <v>0</v>
      </c>
      <c r="O12" s="60">
        <f>'Field data and Waste 1'!O12</f>
        <v>0</v>
      </c>
      <c r="P12" s="60">
        <f>'Field data and Waste 1'!P12</f>
        <v>0</v>
      </c>
      <c r="Q12" s="60">
        <f>'Field data and Waste 1'!Q12</f>
        <v>0</v>
      </c>
      <c r="R12" s="60">
        <f>'Field data and Waste 1'!R12</f>
        <v>0</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x14ac:dyDescent="0.2">
      <c r="A13" s="128" t="s">
        <v>7</v>
      </c>
      <c r="B13" s="128"/>
      <c r="C13" s="60">
        <f>'Field data and Waste 1'!C13</f>
        <v>2</v>
      </c>
      <c r="D13" s="60">
        <f>'Field data and Waste 1'!D13</f>
        <v>5</v>
      </c>
      <c r="E13" s="60">
        <f>'Field data and Waste 1'!E13</f>
        <v>5</v>
      </c>
      <c r="F13" s="60">
        <f>'Field data and Waste 1'!F13</f>
        <v>5</v>
      </c>
      <c r="G13" s="60">
        <f>'Field data and Waste 1'!G13</f>
        <v>5</v>
      </c>
      <c r="H13" s="60">
        <f>'Field data and Waste 1'!H13</f>
        <v>5</v>
      </c>
      <c r="I13" s="60">
        <f>'Field data and Waste 1'!I13</f>
        <v>5</v>
      </c>
      <c r="J13" s="60">
        <f>'Field data and Waste 1'!J13</f>
        <v>5</v>
      </c>
      <c r="K13" s="60">
        <f>'Field data and Waste 1'!K13</f>
        <v>5</v>
      </c>
      <c r="L13" s="60">
        <f>'Field data and Waste 1'!L13</f>
        <v>5</v>
      </c>
      <c r="M13" s="60">
        <f>'Field data and Waste 1'!M13</f>
        <v>5</v>
      </c>
      <c r="N13" s="60">
        <f>'Field data and Waste 1'!N13</f>
        <v>0</v>
      </c>
      <c r="O13" s="60">
        <f>'Field data and Waste 1'!O13</f>
        <v>0</v>
      </c>
      <c r="P13" s="60">
        <f>'Field data and Waste 1'!P13</f>
        <v>0</v>
      </c>
      <c r="Q13" s="60">
        <f>'Field data and Waste 1'!Q13</f>
        <v>0</v>
      </c>
      <c r="R13" s="60">
        <f>'Field data and Waste 1'!R13</f>
        <v>0</v>
      </c>
      <c r="S13" s="60">
        <f>'Field data and Waste 1'!S13</f>
        <v>0</v>
      </c>
      <c r="T13" s="60">
        <f>'Field data and Waste 1'!T13</f>
        <v>0</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x14ac:dyDescent="0.2">
      <c r="A14" s="137" t="s">
        <v>8</v>
      </c>
      <c r="B14" s="137"/>
      <c r="C14" s="102" t="str">
        <f>'Field data and Waste 1'!C14</f>
        <v>Maize- Silage (30% DM)</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f>'Field data and Waste 1'!N14</f>
        <v>0</v>
      </c>
      <c r="O14" s="102">
        <f>'Field data and Waste 1'!O14</f>
        <v>0</v>
      </c>
      <c r="P14" s="102">
        <f>'Field data and Waste 1'!P14</f>
        <v>0</v>
      </c>
      <c r="Q14" s="102">
        <f>'Field data and Waste 1'!Q14</f>
        <v>0</v>
      </c>
      <c r="R14" s="102">
        <f>'Field data and Waste 1'!R14</f>
        <v>0</v>
      </c>
      <c r="S14" s="102">
        <f>'Field data and Waste 1'!S14</f>
        <v>0</v>
      </c>
      <c r="T14" s="102">
        <f>'Field data and Waste 1'!T14</f>
        <v>0</v>
      </c>
      <c r="U14" s="102">
        <f>'Field data and Waste 1'!U14</f>
        <v>0</v>
      </c>
      <c r="V14" s="102">
        <f>'Field data and Waste 1'!V14</f>
        <v>0</v>
      </c>
      <c r="AD14" s="30" t="s">
        <v>138</v>
      </c>
      <c r="AE14" s="30">
        <v>6</v>
      </c>
      <c r="AI14" s="53" t="s">
        <v>119</v>
      </c>
      <c r="AJ14" s="54">
        <v>0.8</v>
      </c>
      <c r="AK14" s="55">
        <v>1.7</v>
      </c>
      <c r="AL14" s="11">
        <v>12</v>
      </c>
      <c r="AM14" s="11">
        <v>6.7</v>
      </c>
      <c r="AN14" s="11" t="s">
        <v>135</v>
      </c>
    </row>
    <row r="15" spans="1:41" x14ac:dyDescent="0.2">
      <c r="A15" s="136" t="s">
        <v>9</v>
      </c>
      <c r="B15" s="136"/>
      <c r="C15" s="60">
        <f>'Field data and Waste 1'!C15</f>
        <v>45</v>
      </c>
      <c r="D15" s="60">
        <f>'Field data and Waste 1'!D15</f>
        <v>47</v>
      </c>
      <c r="E15" s="60">
        <f>'Field data and Waste 1'!E15</f>
        <v>47</v>
      </c>
      <c r="F15" s="60">
        <f>'Field data and Waste 1'!F15</f>
        <v>47</v>
      </c>
      <c r="G15" s="60">
        <f>'Field data and Waste 1'!G15</f>
        <v>47</v>
      </c>
      <c r="H15" s="60">
        <f>'Field data and Waste 1'!H15</f>
        <v>47</v>
      </c>
      <c r="I15" s="60">
        <f>'Field data and Waste 1'!I15</f>
        <v>47</v>
      </c>
      <c r="J15" s="60">
        <f>'Field data and Waste 1'!J15</f>
        <v>47</v>
      </c>
      <c r="K15" s="60">
        <f>'Field data and Waste 1'!K15</f>
        <v>47</v>
      </c>
      <c r="L15" s="60">
        <f>'Field data and Waste 1'!L15</f>
        <v>47</v>
      </c>
      <c r="M15" s="60">
        <f>'Field data and Waste 1'!M15</f>
        <v>47</v>
      </c>
      <c r="N15" s="60">
        <f>'Field data and Waste 1'!N15</f>
        <v>0</v>
      </c>
      <c r="O15" s="60">
        <f>'Field data and Waste 1'!O15</f>
        <v>0</v>
      </c>
      <c r="P15" s="60">
        <f>'Field data and Waste 1'!P15</f>
        <v>0</v>
      </c>
      <c r="Q15" s="60">
        <f>'Field data and Waste 1'!Q15</f>
        <v>0</v>
      </c>
      <c r="R15" s="60">
        <f>'Field data and Waste 1'!R15</f>
        <v>0</v>
      </c>
      <c r="S15" s="60">
        <f>'Field data and Waste 1'!S15</f>
        <v>0</v>
      </c>
      <c r="T15" s="60">
        <f>'Field data and Waste 1'!T15</f>
        <v>0</v>
      </c>
      <c r="U15" s="60">
        <f>'Field data and Waste 1'!U15</f>
        <v>0</v>
      </c>
      <c r="V15" s="60">
        <f>'Field data and Waste 1'!V15</f>
        <v>0</v>
      </c>
      <c r="AD15" s="30" t="s">
        <v>144</v>
      </c>
      <c r="AE15" s="30">
        <v>7</v>
      </c>
      <c r="AI15" s="53" t="s">
        <v>101</v>
      </c>
      <c r="AJ15" s="62">
        <v>1.8</v>
      </c>
      <c r="AK15" s="55">
        <v>5.4</v>
      </c>
      <c r="AL15" s="11">
        <v>13</v>
      </c>
      <c r="AM15" s="11">
        <v>6.7</v>
      </c>
      <c r="AN15" s="11" t="s">
        <v>135</v>
      </c>
    </row>
    <row r="16" spans="1:41" ht="13.5" thickBot="1" x14ac:dyDescent="0.25">
      <c r="A16" s="138" t="s">
        <v>44</v>
      </c>
      <c r="B16" s="138"/>
      <c r="C16" s="103" t="str">
        <f>'Field data and Waste 1'!C16</f>
        <v>Medium/Clay</v>
      </c>
      <c r="D16" s="103" t="str">
        <f>'Field data and Waste 1'!D16</f>
        <v>Medium/Clay</v>
      </c>
      <c r="E16" s="103" t="str">
        <f>'Field data and Waste 1'!E16</f>
        <v>Medium/Clay</v>
      </c>
      <c r="F16" s="103" t="str">
        <f>'Field data and Waste 1'!F16</f>
        <v>Medium/Clay</v>
      </c>
      <c r="G16" s="103" t="str">
        <f>'Field data and Waste 1'!G16</f>
        <v>Medium/Clay</v>
      </c>
      <c r="H16" s="103" t="str">
        <f>'Field data and Waste 1'!H16</f>
        <v>Medium/Clay</v>
      </c>
      <c r="I16" s="103" t="str">
        <f>'Field data and Waste 1'!I16</f>
        <v>Medium/Clay</v>
      </c>
      <c r="J16" s="103" t="str">
        <f>'Field data and Waste 1'!J16</f>
        <v>Medium/Clay</v>
      </c>
      <c r="K16" s="103" t="str">
        <f>'Field data and Waste 1'!K16</f>
        <v>Medium/Clay</v>
      </c>
      <c r="L16" s="103" t="str">
        <f>'Field data and Waste 1'!L16</f>
        <v>Medium/Clay</v>
      </c>
      <c r="M16" s="103" t="str">
        <f>'Field data and Waste 1'!M16</f>
        <v>Medium/Clay</v>
      </c>
      <c r="N16" s="103">
        <f>'Field data and Waste 1'!N16</f>
        <v>0</v>
      </c>
      <c r="O16" s="103">
        <f>'Field data and Waste 1'!O16</f>
        <v>0</v>
      </c>
      <c r="P16" s="103">
        <f>'Field data and Waste 1'!P16</f>
        <v>0</v>
      </c>
      <c r="Q16" s="103">
        <f>'Field data and Waste 1'!Q16</f>
        <v>0</v>
      </c>
      <c r="R16" s="103">
        <f>'Field data and Waste 1'!R16</f>
        <v>0</v>
      </c>
      <c r="S16" s="103">
        <f>'Field data and Waste 1'!S16</f>
        <v>0</v>
      </c>
      <c r="T16" s="103">
        <f>'Field data and Waste 1'!T16</f>
        <v>0</v>
      </c>
      <c r="U16" s="103">
        <f>'Field data and Waste 1'!U16</f>
        <v>0</v>
      </c>
      <c r="V16" s="103">
        <f>'Field data and Waste 1'!V16</f>
        <v>0</v>
      </c>
      <c r="AD16" s="52" t="s">
        <v>145</v>
      </c>
      <c r="AE16" s="30">
        <v>8</v>
      </c>
      <c r="AI16" s="53" t="s">
        <v>118</v>
      </c>
      <c r="AJ16" s="54">
        <v>8</v>
      </c>
      <c r="AK16" s="55">
        <v>5.5</v>
      </c>
      <c r="AL16" s="12">
        <v>14</v>
      </c>
      <c r="AM16" s="11">
        <v>6.7</v>
      </c>
      <c r="AN16" s="11" t="s">
        <v>135</v>
      </c>
    </row>
    <row r="17" spans="1:40" x14ac:dyDescent="0.2">
      <c r="A17" s="134" t="s">
        <v>69</v>
      </c>
      <c r="B17" s="135"/>
      <c r="C17" s="28">
        <f>(VLOOKUP(C$14,$AI2:$AK26,2,FALSE))*C$15</f>
        <v>62.999999999999993</v>
      </c>
      <c r="D17" s="28">
        <f t="shared" ref="D17:V17" si="0">(VLOOKUP(D$14,$AI2:$AK26,2,FALSE))*D$15</f>
        <v>79.899999999999991</v>
      </c>
      <c r="E17" s="28">
        <f t="shared" si="0"/>
        <v>79.899999999999991</v>
      </c>
      <c r="F17" s="28">
        <f t="shared" si="0"/>
        <v>79.899999999999991</v>
      </c>
      <c r="G17" s="28">
        <f t="shared" si="0"/>
        <v>79.899999999999991</v>
      </c>
      <c r="H17" s="28">
        <f t="shared" si="0"/>
        <v>79.899999999999991</v>
      </c>
      <c r="I17" s="28">
        <f t="shared" si="0"/>
        <v>79.899999999999991</v>
      </c>
      <c r="J17" s="28">
        <f t="shared" si="0"/>
        <v>79.899999999999991</v>
      </c>
      <c r="K17" s="28">
        <f t="shared" si="0"/>
        <v>79.899999999999991</v>
      </c>
      <c r="L17" s="28">
        <f t="shared" si="0"/>
        <v>79.899999999999991</v>
      </c>
      <c r="M17" s="28">
        <f t="shared" si="0"/>
        <v>79.899999999999991</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x14ac:dyDescent="0.2">
      <c r="A18" s="132" t="s">
        <v>23</v>
      </c>
      <c r="B18" s="133"/>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x14ac:dyDescent="0.2">
      <c r="A19" s="132" t="s">
        <v>90</v>
      </c>
      <c r="B19" s="133"/>
      <c r="C19" s="16">
        <f>C18-C17</f>
        <v>-62.999999999999993</v>
      </c>
      <c r="D19" s="16">
        <f t="shared" ref="D19:V19" si="1">D18-D17</f>
        <v>-79.899999999999991</v>
      </c>
      <c r="E19" s="16">
        <f t="shared" si="1"/>
        <v>-79.899999999999991</v>
      </c>
      <c r="F19" s="16">
        <f t="shared" si="1"/>
        <v>-79.899999999999991</v>
      </c>
      <c r="G19" s="16">
        <f t="shared" si="1"/>
        <v>-79.899999999999991</v>
      </c>
      <c r="H19" s="16">
        <f t="shared" si="1"/>
        <v>-79.899999999999991</v>
      </c>
      <c r="I19" s="16">
        <f t="shared" si="1"/>
        <v>-79.899999999999991</v>
      </c>
      <c r="J19" s="16">
        <f t="shared" si="1"/>
        <v>-79.899999999999991</v>
      </c>
      <c r="K19" s="16">
        <f t="shared" si="1"/>
        <v>-79.899999999999991</v>
      </c>
      <c r="L19" s="16">
        <f t="shared" si="1"/>
        <v>-79.899999999999991</v>
      </c>
      <c r="M19" s="16">
        <f t="shared" si="1"/>
        <v>-79.899999999999991</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25">
      <c r="A20" s="130" t="s">
        <v>91</v>
      </c>
      <c r="B20" s="131"/>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x14ac:dyDescent="0.2">
      <c r="A21" s="134" t="s">
        <v>88</v>
      </c>
      <c r="B21" s="135"/>
      <c r="C21" s="28">
        <f>(VLOOKUP(C$14,$AI2:$AK26,3,FALSE))*C$15</f>
        <v>198.00000000000003</v>
      </c>
      <c r="D21" s="28">
        <f t="shared" ref="D21:V21" si="2">(VLOOKUP(D$14,$AI2:$AK26,3,FALSE))*D$15</f>
        <v>282</v>
      </c>
      <c r="E21" s="28">
        <f t="shared" si="2"/>
        <v>282</v>
      </c>
      <c r="F21" s="28">
        <f t="shared" si="2"/>
        <v>282</v>
      </c>
      <c r="G21" s="28">
        <f t="shared" si="2"/>
        <v>282</v>
      </c>
      <c r="H21" s="28">
        <f t="shared" si="2"/>
        <v>282</v>
      </c>
      <c r="I21" s="28">
        <f t="shared" si="2"/>
        <v>282</v>
      </c>
      <c r="J21" s="28">
        <f t="shared" si="2"/>
        <v>282</v>
      </c>
      <c r="K21" s="28">
        <f t="shared" si="2"/>
        <v>282</v>
      </c>
      <c r="L21" s="28">
        <f t="shared" si="2"/>
        <v>282</v>
      </c>
      <c r="M21" s="28">
        <f t="shared" si="2"/>
        <v>282</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x14ac:dyDescent="0.2">
      <c r="A22" s="132" t="s">
        <v>89</v>
      </c>
      <c r="B22" s="133"/>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x14ac:dyDescent="0.2">
      <c r="A23" s="132" t="s">
        <v>92</v>
      </c>
      <c r="B23" s="133"/>
      <c r="C23" s="16">
        <f>C22-C21</f>
        <v>-198.00000000000003</v>
      </c>
      <c r="D23" s="16">
        <f t="shared" ref="D23:V23" si="3">D22-D21</f>
        <v>-282</v>
      </c>
      <c r="E23" s="16">
        <f t="shared" si="3"/>
        <v>-282</v>
      </c>
      <c r="F23" s="16">
        <f t="shared" si="3"/>
        <v>-282</v>
      </c>
      <c r="G23" s="16">
        <f t="shared" si="3"/>
        <v>-282</v>
      </c>
      <c r="H23" s="16">
        <f t="shared" si="3"/>
        <v>-282</v>
      </c>
      <c r="I23" s="16">
        <f t="shared" si="3"/>
        <v>-282</v>
      </c>
      <c r="J23" s="16">
        <f t="shared" si="3"/>
        <v>-282</v>
      </c>
      <c r="K23" s="16">
        <f t="shared" si="3"/>
        <v>-282</v>
      </c>
      <c r="L23" s="16">
        <f t="shared" si="3"/>
        <v>-282</v>
      </c>
      <c r="M23" s="16">
        <f t="shared" si="3"/>
        <v>-282</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25">
      <c r="A24" s="130" t="s">
        <v>93</v>
      </c>
      <c r="B24" s="131"/>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
      <c r="C25" s="57"/>
      <c r="D25" s="67"/>
      <c r="E25" s="67"/>
      <c r="F25" s="67"/>
      <c r="AI25" s="63" t="s">
        <v>117</v>
      </c>
      <c r="AJ25" s="66">
        <v>1</v>
      </c>
      <c r="AK25" s="65">
        <v>5.8</v>
      </c>
      <c r="AL25" s="29">
        <v>23</v>
      </c>
      <c r="AM25" s="11">
        <v>6.7</v>
      </c>
      <c r="AN25" s="11" t="s">
        <v>135</v>
      </c>
    </row>
    <row r="26" spans="1:40" s="10" customFormat="1" x14ac:dyDescent="0.2">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2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25">
      <c r="A28" s="108"/>
      <c r="B28" s="24"/>
      <c r="C28" s="15"/>
      <c r="D28" s="15"/>
      <c r="E28" s="15"/>
      <c r="F28" s="15"/>
      <c r="G28" s="15"/>
      <c r="H28" s="15"/>
      <c r="I28" s="15"/>
      <c r="J28" s="15"/>
      <c r="K28" s="23"/>
      <c r="L28" s="15"/>
      <c r="M28" s="15"/>
      <c r="N28" s="15"/>
      <c r="O28" s="15"/>
      <c r="P28" s="15"/>
      <c r="Q28" s="15"/>
      <c r="R28" s="15"/>
      <c r="S28" s="15"/>
      <c r="T28" s="15"/>
      <c r="U28" s="15"/>
    </row>
    <row r="29" spans="1:40" s="7" customFormat="1" ht="27" x14ac:dyDescent="0.25">
      <c r="A29" s="13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7" x14ac:dyDescent="0.25">
      <c r="A30" s="14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x14ac:dyDescent="0.25">
      <c r="A31" s="13" t="str">
        <f>C8</f>
        <v>H8</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x14ac:dyDescent="0.25">
      <c r="A32" s="13" t="str">
        <f>D8</f>
        <v>H0720</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x14ac:dyDescent="0.25">
      <c r="A33" s="13" t="str">
        <f>E8</f>
        <v>B1404</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x14ac:dyDescent="0.25">
      <c r="A34" s="13" t="str">
        <f>F8</f>
        <v>B2611</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x14ac:dyDescent="0.25">
      <c r="A35" s="13" t="str">
        <f>G8</f>
        <v>B2893</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x14ac:dyDescent="0.25">
      <c r="A36" s="13" t="str">
        <f>H8</f>
        <v>H4315</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x14ac:dyDescent="0.25">
      <c r="A37" s="13" t="str">
        <f>I8</f>
        <v xml:space="preserve">H4734 </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x14ac:dyDescent="0.25">
      <c r="A38" s="13" t="str">
        <f>J8</f>
        <v>H5761</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x14ac:dyDescent="0.25">
      <c r="A39" s="13" t="str">
        <f>K8</f>
        <v>H1741</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x14ac:dyDescent="0.25">
      <c r="A40" s="13" t="str">
        <f>L8</f>
        <v>H2455</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x14ac:dyDescent="0.25">
      <c r="A41" s="13" t="str">
        <f>M8</f>
        <v>H4067</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x14ac:dyDescent="0.2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x14ac:dyDescent="0.2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x14ac:dyDescent="0.2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x14ac:dyDescent="0.2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x14ac:dyDescent="0.2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x14ac:dyDescent="0.2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x14ac:dyDescent="0.2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x14ac:dyDescent="0.2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3">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x14ac:dyDescent="0.25">
      <c r="A53" s="12" t="s">
        <v>130</v>
      </c>
    </row>
    <row r="54" spans="1:35" ht="25.5" x14ac:dyDescent="0.2">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x14ac:dyDescent="0.2">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x14ac:dyDescent="0.25">
      <c r="A57" s="92" t="s">
        <v>2</v>
      </c>
      <c r="B57" s="8" t="str">
        <f>C8</f>
        <v>H8</v>
      </c>
      <c r="C57" s="8" t="str">
        <f t="shared" ref="C57:U57" si="13">D8</f>
        <v>H0720</v>
      </c>
      <c r="D57" s="8" t="str">
        <f t="shared" si="13"/>
        <v>B1404</v>
      </c>
      <c r="E57" s="8" t="str">
        <f t="shared" si="13"/>
        <v>B2611</v>
      </c>
      <c r="F57" s="8" t="str">
        <f t="shared" si="13"/>
        <v>B2893</v>
      </c>
      <c r="G57" s="8" t="str">
        <f t="shared" si="13"/>
        <v>H4315</v>
      </c>
      <c r="H57" s="8" t="str">
        <f t="shared" si="13"/>
        <v xml:space="preserve">H4734 </v>
      </c>
      <c r="I57" s="8" t="str">
        <f t="shared" si="13"/>
        <v>H5761</v>
      </c>
      <c r="J57" s="8" t="str">
        <f t="shared" si="13"/>
        <v>H1741</v>
      </c>
      <c r="K57" s="8" t="str">
        <f t="shared" si="13"/>
        <v>H2455</v>
      </c>
      <c r="L57" s="8" t="str">
        <f t="shared" si="13"/>
        <v>H4067</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x14ac:dyDescent="0.25">
      <c r="A58" s="92" t="s">
        <v>136</v>
      </c>
      <c r="B58" s="13" t="str">
        <f>C16&amp;" I "&amp;(VLOOKUP(C14,Table2456[],6,FALSE))</f>
        <v>Medium/Clay I Arable</v>
      </c>
      <c r="C58" s="13" t="str">
        <f>D16&amp;" I "&amp;(VLOOKUP(D14,Table2456[],6,FALSE))</f>
        <v>Medium/Clay I Grass</v>
      </c>
      <c r="D58" s="13" t="str">
        <f>E16&amp;" I "&amp;(VLOOKUP(E14,Table2456[],6,FALSE))</f>
        <v>Medium/Clay I Grass</v>
      </c>
      <c r="E58" s="13" t="str">
        <f>F16&amp;" I "&amp;(VLOOKUP(F14,Table2456[],6,FALSE))</f>
        <v>Medium/Clay I Grass</v>
      </c>
      <c r="F58" s="13" t="str">
        <f>G16&amp;" I "&amp;(VLOOKUP(G14,Table2456[],6,FALSE))</f>
        <v>Medium/Clay I Grass</v>
      </c>
      <c r="G58" s="13" t="str">
        <f>H16&amp;" I "&amp;(VLOOKUP(H14,Table2456[],6,FALSE))</f>
        <v>Medium/Clay I Grass</v>
      </c>
      <c r="H58" s="13" t="str">
        <f>I16&amp;" I "&amp;(VLOOKUP(I14,Table2456[],6,FALSE))</f>
        <v>Medium/Clay I Grass</v>
      </c>
      <c r="I58" s="13" t="str">
        <f>J16&amp;" I "&amp;(VLOOKUP(J14,Table2456[],6,FALSE))</f>
        <v>Medium/Clay I Grass</v>
      </c>
      <c r="J58" s="13" t="str">
        <f>K16&amp;" I "&amp;(VLOOKUP(K14,Table2456[],6,FALSE))</f>
        <v>Medium/Clay I Grass</v>
      </c>
      <c r="K58" s="13" t="str">
        <f>L16&amp;" I "&amp;(VLOOKUP(L14,Table2456[],6,FALSE))</f>
        <v>Medium/Clay I Grass</v>
      </c>
      <c r="L58" s="13" t="str">
        <f>M16&amp;" I "&amp;(VLOOKUP(M14,Table2456[],6,FALSE))</f>
        <v>Medium/Clay I Grass</v>
      </c>
      <c r="M58" s="13" t="e">
        <f>N16&amp;" I "&amp;(VLOOKUP(N14,Table2456[],6,FALSE))</f>
        <v>#N/A</v>
      </c>
      <c r="N58" s="13" t="e">
        <f>O16&amp;" I "&amp;(VLOOKUP(O14,Table2456[],6,FALSE))</f>
        <v>#N/A</v>
      </c>
      <c r="O58" s="13" t="e">
        <f>P16&amp;" I "&amp;(VLOOKUP(P14,Table2456[],6,FALSE))</f>
        <v>#N/A</v>
      </c>
      <c r="P58" s="13" t="e">
        <f>Q16&amp;" I "&amp;(VLOOKUP(Q14,Table2456[],6,FALSE))</f>
        <v>#N/A</v>
      </c>
      <c r="Q58" s="13" t="e">
        <f>R16&amp;" I "&amp;(VLOOKUP(R14,Table2456[],6,FALSE))</f>
        <v>#N/A</v>
      </c>
      <c r="R58" s="13" t="e">
        <f>S16&amp;" I "&amp;(VLOOKUP(S14,Table2456[],6,FALSE))</f>
        <v>#N/A</v>
      </c>
      <c r="S58" s="13" t="e">
        <f>T16&amp;" I "&amp;(VLOOKUP(T14,Table2456[],6,FALSE))</f>
        <v>#N/A</v>
      </c>
      <c r="T58" s="13" t="e">
        <f>U16&amp;" I "&amp;(VLOOKUP(U14,Table2456[],6,FALSE))</f>
        <v>#N/A</v>
      </c>
      <c r="U58" s="13" t="e">
        <f>V16&amp;" I "&amp;(VLOOKUP(V14,Table2456[],6,FALSE))</f>
        <v>#N/A</v>
      </c>
    </row>
    <row r="59" spans="1:35" s="19" customFormat="1" x14ac:dyDescent="0.2">
      <c r="A59" s="111" t="s">
        <v>132</v>
      </c>
      <c r="B59" s="76">
        <f>VLOOKUP(C$14,Table2456[],5,FALSE)</f>
        <v>6.7</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t="e">
        <f>VLOOKUP(N$14,Table2456[],5,FALSE)</f>
        <v>#N/A</v>
      </c>
      <c r="N59" s="76" t="e">
        <f>VLOOKUP(O$14,Table2456[],5,FALSE)</f>
        <v>#N/A</v>
      </c>
      <c r="O59" s="76" t="e">
        <f>VLOOKUP(P$14,Table2456[],5,FALSE)</f>
        <v>#N/A</v>
      </c>
      <c r="P59" s="76" t="e">
        <f>VLOOKUP(Q$14,Table2456[],5,FALSE)</f>
        <v>#N/A</v>
      </c>
      <c r="Q59" s="76" t="e">
        <f>VLOOKUP(R$14,Table2456[],5,FALSE)</f>
        <v>#N/A</v>
      </c>
      <c r="R59" s="76" t="e">
        <f>VLOOKUP(S$14,Table2456[],5,FALSE)</f>
        <v>#N/A</v>
      </c>
      <c r="S59" s="76" t="e">
        <f>VLOOKUP(T$14,Table2456[],5,FALSE)</f>
        <v>#N/A</v>
      </c>
      <c r="T59" s="76" t="e">
        <f>VLOOKUP(U$14,Table2456[],5,FALSE)</f>
        <v>#N/A</v>
      </c>
      <c r="U59" s="76" t="e">
        <f>VLOOKUP(V$14,Table2456[],5,FALSE)</f>
        <v>#N/A</v>
      </c>
    </row>
    <row r="60" spans="1:35" s="19" customFormat="1" x14ac:dyDescent="0.2">
      <c r="A60" s="111" t="s">
        <v>4</v>
      </c>
      <c r="B60" s="76">
        <f>C10</f>
        <v>6</v>
      </c>
      <c r="C60" s="76">
        <f t="shared" ref="C60:U60" si="14">D10</f>
        <v>6.2</v>
      </c>
      <c r="D60" s="76">
        <f t="shared" si="14"/>
        <v>6.3</v>
      </c>
      <c r="E60" s="76">
        <f t="shared" si="14"/>
        <v>6.3</v>
      </c>
      <c r="F60" s="76">
        <f t="shared" si="14"/>
        <v>6.3</v>
      </c>
      <c r="G60" s="76">
        <f t="shared" si="14"/>
        <v>6.3</v>
      </c>
      <c r="H60" s="76">
        <f t="shared" si="14"/>
        <v>6.3</v>
      </c>
      <c r="I60" s="76">
        <f t="shared" si="14"/>
        <v>6.2</v>
      </c>
      <c r="J60" s="76">
        <f t="shared" si="14"/>
        <v>6.2</v>
      </c>
      <c r="K60" s="76">
        <f t="shared" si="14"/>
        <v>6.3</v>
      </c>
      <c r="L60" s="76">
        <f t="shared" si="14"/>
        <v>6.2</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x14ac:dyDescent="0.2">
      <c r="A61" s="111" t="s">
        <v>133</v>
      </c>
      <c r="B61" s="76">
        <f t="shared" ref="B61:U61" si="15">VLOOKUP(B58,$AD9:$AE18,2,FALSE)</f>
        <v>8</v>
      </c>
      <c r="C61" s="76">
        <f t="shared" si="15"/>
        <v>6</v>
      </c>
      <c r="D61" s="76">
        <f t="shared" si="15"/>
        <v>6</v>
      </c>
      <c r="E61" s="76">
        <f t="shared" si="15"/>
        <v>6</v>
      </c>
      <c r="F61" s="76">
        <f t="shared" si="15"/>
        <v>6</v>
      </c>
      <c r="G61" s="76">
        <f t="shared" si="15"/>
        <v>6</v>
      </c>
      <c r="H61" s="76">
        <f t="shared" si="15"/>
        <v>6</v>
      </c>
      <c r="I61" s="76">
        <f t="shared" si="15"/>
        <v>6</v>
      </c>
      <c r="J61" s="76">
        <f t="shared" si="15"/>
        <v>6</v>
      </c>
      <c r="K61" s="76">
        <f t="shared" si="15"/>
        <v>6</v>
      </c>
      <c r="L61" s="76">
        <f t="shared" si="15"/>
        <v>6</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x14ac:dyDescent="0.2">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8.25" x14ac:dyDescent="0.2">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63.75" x14ac:dyDescent="0.2">
      <c r="A64" s="112" t="s">
        <v>156</v>
      </c>
      <c r="B64" s="77">
        <f>(B59-B60)*B61</f>
        <v>5.6000000000000014</v>
      </c>
      <c r="C64" s="77">
        <f t="shared" ref="C64:U64" si="17">(C59-C60)*C61</f>
        <v>0</v>
      </c>
      <c r="D64" s="77">
        <f t="shared" si="17"/>
        <v>-0.59999999999999787</v>
      </c>
      <c r="E64" s="77">
        <f t="shared" si="17"/>
        <v>-0.59999999999999787</v>
      </c>
      <c r="F64" s="77">
        <f t="shared" si="17"/>
        <v>-0.59999999999999787</v>
      </c>
      <c r="G64" s="77">
        <f t="shared" si="17"/>
        <v>-0.59999999999999787</v>
      </c>
      <c r="H64" s="77">
        <f t="shared" si="17"/>
        <v>-0.59999999999999787</v>
      </c>
      <c r="I64" s="77">
        <f t="shared" si="17"/>
        <v>0</v>
      </c>
      <c r="J64" s="77">
        <f t="shared" si="17"/>
        <v>0</v>
      </c>
      <c r="K64" s="77">
        <f t="shared" si="17"/>
        <v>-0.59999999999999787</v>
      </c>
      <c r="L64" s="77">
        <f t="shared" si="17"/>
        <v>0</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1" x14ac:dyDescent="0.2">
      <c r="A65" s="112" t="s">
        <v>157</v>
      </c>
      <c r="B65" s="77">
        <f>B63-B64</f>
        <v>-5.6000000000000014</v>
      </c>
      <c r="C65" s="77">
        <f t="shared" ref="C65:U65" si="18">C63-C64</f>
        <v>0</v>
      </c>
      <c r="D65" s="77">
        <f t="shared" si="18"/>
        <v>0.59999999999999787</v>
      </c>
      <c r="E65" s="77">
        <f t="shared" si="18"/>
        <v>0.59999999999999787</v>
      </c>
      <c r="F65" s="77">
        <f t="shared" si="18"/>
        <v>0.59999999999999787</v>
      </c>
      <c r="G65" s="77">
        <f t="shared" si="18"/>
        <v>0.59999999999999787</v>
      </c>
      <c r="H65" s="77">
        <f t="shared" si="18"/>
        <v>0.59999999999999787</v>
      </c>
      <c r="I65" s="77">
        <f t="shared" si="18"/>
        <v>0</v>
      </c>
      <c r="J65" s="77">
        <f t="shared" si="18"/>
        <v>0</v>
      </c>
      <c r="K65" s="77">
        <f t="shared" si="18"/>
        <v>0.59999999999999787</v>
      </c>
      <c r="L65" s="77">
        <f t="shared" si="18"/>
        <v>0</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38.25" x14ac:dyDescent="0.2">
      <c r="A66" s="112" t="s">
        <v>148</v>
      </c>
      <c r="B66" s="78" t="str">
        <f>IF(B64&lt;=B63,"OVER","UNDER")</f>
        <v>UNDER</v>
      </c>
      <c r="C66" s="78" t="str">
        <f t="shared" ref="C66:U66" si="19">IF(C64&lt;=C63,"OVER","UNDER")</f>
        <v>OVER</v>
      </c>
      <c r="D66" s="78" t="str">
        <f t="shared" si="19"/>
        <v>OVER</v>
      </c>
      <c r="E66" s="78" t="str">
        <f t="shared" si="19"/>
        <v>OVER</v>
      </c>
      <c r="F66" s="78" t="str">
        <f t="shared" si="19"/>
        <v>OVER</v>
      </c>
      <c r="G66" s="78" t="str">
        <f t="shared" si="19"/>
        <v>OVER</v>
      </c>
      <c r="H66" s="78" t="str">
        <f t="shared" si="19"/>
        <v>OVER</v>
      </c>
      <c r="I66" s="78" t="str">
        <f t="shared" si="19"/>
        <v>OVER</v>
      </c>
      <c r="J66" s="78" t="str">
        <f t="shared" si="19"/>
        <v>OVER</v>
      </c>
      <c r="K66" s="78" t="str">
        <f t="shared" si="19"/>
        <v>OVER</v>
      </c>
      <c r="L66" s="78" t="str">
        <f t="shared" si="19"/>
        <v>OVER</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79"/>
    <col min="14" max="14" width="9.7109375" style="79" bestFit="1" customWidth="1"/>
    <col min="15" max="19" width="9.140625" style="79"/>
    <col min="20" max="20" width="10" style="79" bestFit="1" customWidth="1"/>
    <col min="21" max="16384" width="9.140625" style="79"/>
  </cols>
  <sheetData>
    <row r="1" spans="1:21" ht="38.25" x14ac:dyDescent="0.2">
      <c r="A1" s="145"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5" x14ac:dyDescent="0.2">
      <c r="A2" s="145"/>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
      <c r="A3" s="36">
        <v>1</v>
      </c>
      <c r="B3" s="33">
        <f>'Field data and Waste 1'!B31</f>
        <v>66</v>
      </c>
      <c r="C3" s="33">
        <f>'Field data and Waste 1'!C31</f>
        <v>125.39999999999999</v>
      </c>
      <c r="D3" s="33">
        <f>'Field data and Waste 1'!D31</f>
        <v>62.145665999999999</v>
      </c>
      <c r="E3" s="33">
        <f>'Field data and Waste 1'!E31</f>
        <v>17.814720000000001</v>
      </c>
      <c r="F3" s="33">
        <f>'Field data and Waste 1'!F31</f>
        <v>4.4756051999999995</v>
      </c>
      <c r="G3" s="33">
        <f>'Field data and Waste 1'!G31</f>
        <v>1.32E-2</v>
      </c>
      <c r="H3" s="33">
        <f>'Field data and Waste 1'!H31</f>
        <v>8.7120000000000003E-2</v>
      </c>
      <c r="I3" s="33">
        <f>'Field data and Waste 1'!I31</f>
        <v>3.3000000000000002E-2</v>
      </c>
      <c r="J3" s="33">
        <f>'Field data and Waste 1'!J31</f>
        <v>6.600000000000001E-4</v>
      </c>
      <c r="K3" s="33">
        <f>'Field data and Waste 1'!K31</f>
        <v>3.3E-3</v>
      </c>
      <c r="L3" s="33">
        <f>'Field data and Waste 1'!L31</f>
        <v>1.32E-2</v>
      </c>
      <c r="M3" s="33">
        <f>'Field data and Waste 1'!M31</f>
        <v>1.9799999999999998E-2</v>
      </c>
      <c r="N3" s="33">
        <f>'Field data and Waste 1'!N31</f>
        <v>0</v>
      </c>
      <c r="O3" s="33">
        <f>'Field data and Waste 1'!O31</f>
        <v>0</v>
      </c>
      <c r="P3" s="33">
        <f>'Field data and Waste 1'!P31</f>
        <v>22.374000000000002</v>
      </c>
      <c r="Q3" s="33">
        <f>'Field data and Waste 1'!Q31</f>
        <v>24.419999999999998</v>
      </c>
      <c r="R3" s="33">
        <f>'Field data and Waste 1'!R31</f>
        <v>0</v>
      </c>
      <c r="S3" s="33">
        <f>'Field data and Waste 1'!S31</f>
        <v>0</v>
      </c>
      <c r="T3" s="33">
        <f>'Field data and Waste 1'!T31</f>
        <v>0</v>
      </c>
      <c r="U3" s="33">
        <f>'Field data and Waste 1'!U31</f>
        <v>0</v>
      </c>
    </row>
    <row r="4" spans="1:21" x14ac:dyDescent="0.2">
      <c r="A4" s="36">
        <v>2</v>
      </c>
      <c r="B4" s="33">
        <f>'Waste 2'!B31</f>
        <v>31</v>
      </c>
      <c r="C4" s="33">
        <f>'Waste 2'!C31</f>
        <v>34.1</v>
      </c>
      <c r="D4" s="33">
        <f>'Waste 2'!D31</f>
        <v>62.214395999999994</v>
      </c>
      <c r="E4" s="33">
        <f>'Waste 2'!E31</f>
        <v>18.042465</v>
      </c>
      <c r="F4" s="33">
        <f>'Waste 2'!F31</f>
        <v>2.9913635999999997</v>
      </c>
      <c r="G4" s="33">
        <f>'Waste 2'!G31</f>
        <v>6.2000000000000006E-3</v>
      </c>
      <c r="H4" s="33">
        <f>'Waste 2'!H31</f>
        <v>6.8820000000000006E-2</v>
      </c>
      <c r="I4" s="33">
        <f>'Waste 2'!I31</f>
        <v>1.55E-2</v>
      </c>
      <c r="J4" s="33">
        <f>'Waste 2'!J31</f>
        <v>3.1E-4</v>
      </c>
      <c r="K4" s="33">
        <f>'Waste 2'!K31</f>
        <v>1.5500000000000002E-3</v>
      </c>
      <c r="L4" s="33">
        <f>'Waste 2'!L31</f>
        <v>6.2000000000000006E-3</v>
      </c>
      <c r="M4" s="33">
        <f>'Waste 2'!M31</f>
        <v>7.4400000000000004E-3</v>
      </c>
      <c r="N4" s="33">
        <f>'Waste 2'!N31</f>
        <v>0</v>
      </c>
      <c r="O4" s="33">
        <f>'Waste 2'!O31</f>
        <v>0</v>
      </c>
      <c r="P4" s="33">
        <f>'Waste 2'!P31</f>
        <v>7.9670000000000005</v>
      </c>
      <c r="Q4" s="33">
        <f>'Waste 2'!Q31</f>
        <v>8.4474999999999998</v>
      </c>
      <c r="R4" s="33">
        <f>'Waste 2'!R31</f>
        <v>0</v>
      </c>
      <c r="S4" s="33">
        <f>'Waste 2'!S31</f>
        <v>0</v>
      </c>
      <c r="T4" s="33">
        <f>'Waste 2'!T31</f>
        <v>0</v>
      </c>
      <c r="U4" s="33">
        <f>'Waste 2'!U31</f>
        <v>0</v>
      </c>
    </row>
    <row r="5" spans="1:21" x14ac:dyDescent="0.2">
      <c r="A5" s="36">
        <v>3</v>
      </c>
      <c r="B5" s="33">
        <f>'Waste 3'!B31</f>
        <v>19</v>
      </c>
      <c r="C5" s="33">
        <f>'Waste 3'!C31</f>
        <v>47.5</v>
      </c>
      <c r="D5" s="33">
        <f>'Waste 3'!D31</f>
        <v>60.810012999999998</v>
      </c>
      <c r="E5" s="33">
        <f>'Waste 3'!E31</f>
        <v>10.691965000000001</v>
      </c>
      <c r="F5" s="33">
        <f>'Waste 3'!F31</f>
        <v>1.8239658000000001</v>
      </c>
      <c r="G5" s="33">
        <f>'Waste 3'!G31</f>
        <v>4.4080000000000005E-3</v>
      </c>
      <c r="H5" s="33">
        <f>'Waste 3'!H31</f>
        <v>6.0229999999999999E-2</v>
      </c>
      <c r="I5" s="33">
        <f>'Waste 3'!I31</f>
        <v>9.4999999999999998E-3</v>
      </c>
      <c r="J5" s="33">
        <f>'Waste 3'!J31</f>
        <v>1.9000000000000001E-4</v>
      </c>
      <c r="K5" s="33">
        <f>'Waste 3'!K31</f>
        <v>9.5E-4</v>
      </c>
      <c r="L5" s="33">
        <f>'Waste 3'!L31</f>
        <v>3.8E-3</v>
      </c>
      <c r="M5" s="33">
        <f>'Waste 3'!M31</f>
        <v>6.0610000000000004E-3</v>
      </c>
      <c r="N5" s="33">
        <f>'Waste 3'!N31</f>
        <v>0</v>
      </c>
      <c r="O5" s="33">
        <f>'Waste 3'!O31</f>
        <v>0</v>
      </c>
      <c r="P5" s="33">
        <f>'Waste 3'!P31</f>
        <v>21.527000000000001</v>
      </c>
      <c r="Q5" s="33">
        <f>'Waste 3'!Q31</f>
        <v>54.435000000000002</v>
      </c>
      <c r="R5" s="33">
        <f>'Waste 3'!R31</f>
        <v>0</v>
      </c>
      <c r="S5" s="33">
        <f>'Waste 3'!S31</f>
        <v>0</v>
      </c>
      <c r="T5" s="33">
        <f>'Waste 3'!T31</f>
        <v>0</v>
      </c>
      <c r="U5" s="33">
        <f>'Waste 3'!U31</f>
        <v>0</v>
      </c>
    </row>
    <row r="6" spans="1:21" x14ac:dyDescent="0.2">
      <c r="A6" s="36">
        <v>4</v>
      </c>
      <c r="B6" s="33">
        <f>'Waste 4'!B31</f>
        <v>0</v>
      </c>
      <c r="C6" s="33">
        <f>'Waste 4'!C31</f>
        <v>0</v>
      </c>
      <c r="D6" s="33">
        <f>'Waste 4'!D31</f>
        <v>0</v>
      </c>
      <c r="E6" s="33">
        <f>'Waste 4'!E31</f>
        <v>0</v>
      </c>
      <c r="F6" s="33">
        <f>'Waste 4'!F31</f>
        <v>0</v>
      </c>
      <c r="G6" s="33">
        <f>'Waste 4'!G31</f>
        <v>0</v>
      </c>
      <c r="H6" s="33">
        <f>'Waste 4'!H31</f>
        <v>0</v>
      </c>
      <c r="I6" s="33">
        <f>'Waste 4'!I31</f>
        <v>0</v>
      </c>
      <c r="J6" s="33">
        <f>'Waste 4'!J31</f>
        <v>0</v>
      </c>
      <c r="K6" s="33">
        <f>'Waste 4'!K31</f>
        <v>0</v>
      </c>
      <c r="L6" s="33">
        <f>'Waste 4'!L31</f>
        <v>0</v>
      </c>
      <c r="M6" s="33">
        <f>'Waste 4'!M31</f>
        <v>0</v>
      </c>
      <c r="N6" s="33">
        <f>'Waste 4'!N31</f>
        <v>0</v>
      </c>
      <c r="O6" s="33">
        <f>'Waste 4'!O31</f>
        <v>0</v>
      </c>
      <c r="P6" s="33">
        <f>'Waste 4'!P31</f>
        <v>0</v>
      </c>
      <c r="Q6" s="33">
        <f>'Waste 4'!Q31</f>
        <v>0</v>
      </c>
      <c r="R6" s="33">
        <f>'Waste 4'!R31</f>
        <v>0</v>
      </c>
      <c r="S6" s="33">
        <f>'Waste 4'!S31</f>
        <v>0</v>
      </c>
      <c r="T6" s="33">
        <f>'Waste 4'!T31</f>
        <v>0</v>
      </c>
      <c r="U6" s="33">
        <f>'Waste 4'!U31</f>
        <v>0</v>
      </c>
    </row>
    <row r="7" spans="1:21" x14ac:dyDescent="0.2">
      <c r="A7" s="36">
        <v>5</v>
      </c>
      <c r="B7" s="33">
        <f>'Waste 5'!B31</f>
        <v>0</v>
      </c>
      <c r="C7" s="33">
        <f>'Waste 5'!C31</f>
        <v>0</v>
      </c>
      <c r="D7" s="33">
        <f>'Waste 5'!D31</f>
        <v>0</v>
      </c>
      <c r="E7" s="33">
        <f>'Waste 5'!E31</f>
        <v>0</v>
      </c>
      <c r="F7" s="33">
        <f>'Waste 5'!F31</f>
        <v>0</v>
      </c>
      <c r="G7" s="33">
        <f>'Waste 5'!G31</f>
        <v>0</v>
      </c>
      <c r="H7" s="33">
        <f>'Waste 5'!H31</f>
        <v>0</v>
      </c>
      <c r="I7" s="33">
        <f>'Waste 5'!I31</f>
        <v>0</v>
      </c>
      <c r="J7" s="33">
        <f>'Waste 5'!J31</f>
        <v>0</v>
      </c>
      <c r="K7" s="33">
        <f>'Waste 5'!K31</f>
        <v>0</v>
      </c>
      <c r="L7" s="33">
        <f>'Waste 5'!L31</f>
        <v>0</v>
      </c>
      <c r="M7" s="33">
        <f>'Waste 5'!M31</f>
        <v>0</v>
      </c>
      <c r="N7" s="33">
        <f>'Waste 5'!N31</f>
        <v>0</v>
      </c>
      <c r="O7" s="33">
        <f>'Waste 5'!O31</f>
        <v>0</v>
      </c>
      <c r="P7" s="33">
        <f>'Waste 5'!P31</f>
        <v>0</v>
      </c>
      <c r="Q7" s="33">
        <f>'Waste 5'!Q31</f>
        <v>0</v>
      </c>
      <c r="R7" s="33">
        <f>'Waste 5'!R31</f>
        <v>0</v>
      </c>
      <c r="S7" s="33">
        <f>'Waste 5'!S31</f>
        <v>0</v>
      </c>
      <c r="T7" s="33">
        <f>'Waste 5'!T31</f>
        <v>0</v>
      </c>
      <c r="U7" s="33">
        <f>'Waste 5'!U31</f>
        <v>0</v>
      </c>
    </row>
    <row r="8" spans="1:21" x14ac:dyDescent="0.2">
      <c r="A8" s="36">
        <v>6</v>
      </c>
      <c r="B8" s="33">
        <f>'Waste 6'!B31</f>
        <v>0</v>
      </c>
      <c r="C8" s="33">
        <f>'Waste 6'!C31</f>
        <v>0</v>
      </c>
      <c r="D8" s="33">
        <f>'Waste 6'!D31</f>
        <v>0</v>
      </c>
      <c r="E8" s="33">
        <f>'Waste 6'!E31</f>
        <v>0</v>
      </c>
      <c r="F8" s="33">
        <f>'Waste 6'!F31</f>
        <v>0</v>
      </c>
      <c r="G8" s="33">
        <f>'Waste 6'!G31</f>
        <v>0</v>
      </c>
      <c r="H8" s="33">
        <f>'Waste 6'!H31</f>
        <v>0</v>
      </c>
      <c r="I8" s="33">
        <f>'Waste 6'!I31</f>
        <v>0</v>
      </c>
      <c r="J8" s="33">
        <f>'Waste 6'!J31</f>
        <v>0</v>
      </c>
      <c r="K8" s="33">
        <f>'Waste 6'!K31</f>
        <v>0</v>
      </c>
      <c r="L8" s="33">
        <f>'Waste 6'!L31</f>
        <v>0</v>
      </c>
      <c r="M8" s="33">
        <f>'Waste 6'!M31</f>
        <v>0</v>
      </c>
      <c r="N8" s="33">
        <f>'Waste 6'!N31</f>
        <v>0</v>
      </c>
      <c r="O8" s="33">
        <f>'Waste 6'!O31</f>
        <v>0</v>
      </c>
      <c r="P8" s="33">
        <f>'Waste 6'!P31</f>
        <v>0</v>
      </c>
      <c r="Q8" s="33">
        <f>'Waste 6'!Q31</f>
        <v>0</v>
      </c>
      <c r="R8" s="33">
        <f>'Waste 6'!R31</f>
        <v>0</v>
      </c>
      <c r="S8" s="33">
        <f>'Waste 6'!S31</f>
        <v>0</v>
      </c>
      <c r="T8" s="33">
        <f>'Waste 6'!T31</f>
        <v>0</v>
      </c>
      <c r="U8" s="33">
        <f>'Waste 6'!U31</f>
        <v>0</v>
      </c>
    </row>
    <row r="9" spans="1:21" x14ac:dyDescent="0.2">
      <c r="A9" s="36">
        <v>7</v>
      </c>
      <c r="B9" s="33">
        <f>'Waste 7'!B31</f>
        <v>0</v>
      </c>
      <c r="C9" s="33">
        <f>'Waste 7'!C31</f>
        <v>0</v>
      </c>
      <c r="D9" s="33">
        <f>'Waste 7'!D31</f>
        <v>0</v>
      </c>
      <c r="E9" s="33">
        <f>'Waste 7'!E31</f>
        <v>0</v>
      </c>
      <c r="F9" s="33">
        <f>'Waste 7'!F31</f>
        <v>0</v>
      </c>
      <c r="G9" s="33">
        <f>'Waste 7'!G31</f>
        <v>0</v>
      </c>
      <c r="H9" s="33">
        <f>'Waste 7'!H31</f>
        <v>0</v>
      </c>
      <c r="I9" s="33">
        <f>'Waste 7'!I31</f>
        <v>0</v>
      </c>
      <c r="J9" s="33">
        <f>'Waste 7'!J31</f>
        <v>0</v>
      </c>
      <c r="K9" s="33">
        <f>'Waste 7'!K31</f>
        <v>0</v>
      </c>
      <c r="L9" s="33">
        <f>'Waste 7'!L31</f>
        <v>0</v>
      </c>
      <c r="M9" s="33">
        <f>'Waste 7'!M31</f>
        <v>0</v>
      </c>
      <c r="N9" s="33">
        <f>'Waste 7'!N31</f>
        <v>0</v>
      </c>
      <c r="O9" s="33">
        <f>'Waste 7'!O31</f>
        <v>0</v>
      </c>
      <c r="P9" s="33">
        <f>'Waste 7'!P31</f>
        <v>0</v>
      </c>
      <c r="Q9" s="33">
        <f>'Waste 7'!Q31</f>
        <v>0</v>
      </c>
      <c r="R9" s="33">
        <f>'Waste 7'!R31</f>
        <v>0</v>
      </c>
      <c r="S9" s="33">
        <f>'Waste 7'!S31</f>
        <v>0</v>
      </c>
      <c r="T9" s="33">
        <f>'Waste 7'!T31</f>
        <v>0</v>
      </c>
      <c r="U9" s="33">
        <f>'Waste 7'!U31</f>
        <v>0</v>
      </c>
    </row>
    <row r="10" spans="1:21" x14ac:dyDescent="0.2">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75" x14ac:dyDescent="0.25">
      <c r="A13" s="80" t="s">
        <v>85</v>
      </c>
      <c r="B13" s="81">
        <f>SUM(B3:B12)</f>
        <v>116</v>
      </c>
      <c r="C13" s="81">
        <f t="shared" ref="C13:U13" si="0">SUM(C3:C12)</f>
        <v>207</v>
      </c>
      <c r="D13" s="81">
        <f t="shared" si="0"/>
        <v>185.170075</v>
      </c>
      <c r="E13" s="81">
        <f t="shared" si="0"/>
        <v>46.549150000000004</v>
      </c>
      <c r="F13" s="81">
        <f t="shared" si="0"/>
        <v>9.2909345999999999</v>
      </c>
      <c r="G13" s="81">
        <f t="shared" si="0"/>
        <v>2.3808000000000003E-2</v>
      </c>
      <c r="H13" s="81">
        <f t="shared" si="0"/>
        <v>0.21617000000000003</v>
      </c>
      <c r="I13" s="81">
        <f t="shared" si="0"/>
        <v>5.8000000000000003E-2</v>
      </c>
      <c r="J13" s="81">
        <f t="shared" si="0"/>
        <v>1.1600000000000002E-3</v>
      </c>
      <c r="K13" s="81">
        <f t="shared" si="0"/>
        <v>5.8000000000000005E-3</v>
      </c>
      <c r="L13" s="81">
        <f t="shared" si="0"/>
        <v>2.3200000000000002E-2</v>
      </c>
      <c r="M13" s="81">
        <f t="shared" si="0"/>
        <v>3.3300999999999997E-2</v>
      </c>
      <c r="N13" s="81">
        <f t="shared" si="0"/>
        <v>0</v>
      </c>
      <c r="O13" s="81">
        <f t="shared" si="0"/>
        <v>0</v>
      </c>
      <c r="P13" s="81">
        <f t="shared" si="0"/>
        <v>51.868000000000002</v>
      </c>
      <c r="Q13" s="81">
        <f t="shared" si="0"/>
        <v>87.302500000000009</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79"/>
    <col min="3" max="3" width="11" style="79" customWidth="1"/>
    <col min="4" max="4" width="9.140625" style="79"/>
    <col min="5" max="5" width="9.7109375" style="79" customWidth="1"/>
    <col min="6" max="14" width="9.140625" style="79"/>
    <col min="15" max="15" width="9.7109375" style="79" bestFit="1" customWidth="1"/>
    <col min="16" max="20" width="9.140625" style="79"/>
    <col min="21" max="21" width="10" style="79" bestFit="1" customWidth="1"/>
    <col min="22" max="16384" width="9.140625" style="79"/>
  </cols>
  <sheetData>
    <row r="1" spans="1:22" s="83" customFormat="1" ht="38.25" x14ac:dyDescent="0.25">
      <c r="A1" s="146"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5" x14ac:dyDescent="0.25">
      <c r="A2" s="146"/>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
      <c r="A3" s="36">
        <v>1</v>
      </c>
      <c r="B3" s="91"/>
      <c r="C3" s="33">
        <f>'Field data and Waste 1'!B31</f>
        <v>66</v>
      </c>
      <c r="D3" s="33">
        <f>'Field data and Waste 1'!C31</f>
        <v>125.39999999999999</v>
      </c>
      <c r="E3" s="33">
        <f>'Field data and Waste 1'!D31</f>
        <v>62.145665999999999</v>
      </c>
      <c r="F3" s="33">
        <f>'Field data and Waste 1'!E31</f>
        <v>17.814720000000001</v>
      </c>
      <c r="G3" s="33">
        <f>'Field data and Waste 1'!F31</f>
        <v>4.4756051999999995</v>
      </c>
      <c r="H3" s="33">
        <f>'Field data and Waste 1'!G31</f>
        <v>1.32E-2</v>
      </c>
      <c r="I3" s="33">
        <f>'Field data and Waste 1'!H31</f>
        <v>8.7120000000000003E-2</v>
      </c>
      <c r="J3" s="33">
        <f>'Field data and Waste 1'!I31</f>
        <v>3.3000000000000002E-2</v>
      </c>
      <c r="K3" s="33">
        <f>'Field data and Waste 1'!J31</f>
        <v>6.600000000000001E-4</v>
      </c>
      <c r="L3" s="33">
        <f>'Field data and Waste 1'!K31</f>
        <v>3.3E-3</v>
      </c>
      <c r="M3" s="33">
        <f>'Field data and Waste 1'!L31</f>
        <v>1.32E-2</v>
      </c>
      <c r="N3" s="33">
        <f>'Field data and Waste 1'!M31</f>
        <v>1.9799999999999998E-2</v>
      </c>
      <c r="O3" s="33">
        <f>'Field data and Waste 1'!N31</f>
        <v>0</v>
      </c>
      <c r="P3" s="33">
        <f>'Field data and Waste 1'!O31</f>
        <v>0</v>
      </c>
      <c r="Q3" s="33">
        <f>'Field data and Waste 1'!P31</f>
        <v>22.374000000000002</v>
      </c>
      <c r="R3" s="33">
        <f>'Field data and Waste 1'!Q31</f>
        <v>24.419999999999998</v>
      </c>
      <c r="S3" s="33">
        <f>'Field data and Waste 1'!R31</f>
        <v>0</v>
      </c>
      <c r="T3" s="33">
        <f>'Field data and Waste 1'!S31</f>
        <v>0</v>
      </c>
      <c r="U3" s="33">
        <f>'Field data and Waste 1'!T31</f>
        <v>0</v>
      </c>
      <c r="V3" s="33">
        <f>'Field data and Waste 1'!U31</f>
        <v>0</v>
      </c>
    </row>
    <row r="4" spans="1:22" x14ac:dyDescent="0.2">
      <c r="A4" s="36">
        <v>2</v>
      </c>
      <c r="B4" s="91"/>
      <c r="C4" s="33">
        <f>'Waste 2'!B31</f>
        <v>31</v>
      </c>
      <c r="D4" s="33">
        <f>'Waste 2'!C31</f>
        <v>34.1</v>
      </c>
      <c r="E4" s="33">
        <f>'Waste 2'!D31</f>
        <v>62.214395999999994</v>
      </c>
      <c r="F4" s="33">
        <f>'Waste 2'!E31</f>
        <v>18.042465</v>
      </c>
      <c r="G4" s="33">
        <f>'Waste 2'!F31</f>
        <v>2.9913635999999997</v>
      </c>
      <c r="H4" s="33">
        <f>'Waste 2'!G31</f>
        <v>6.2000000000000006E-3</v>
      </c>
      <c r="I4" s="33">
        <f>'Waste 2'!H31</f>
        <v>6.8820000000000006E-2</v>
      </c>
      <c r="J4" s="33">
        <f>'Waste 2'!I31</f>
        <v>1.55E-2</v>
      </c>
      <c r="K4" s="33">
        <f>'Waste 2'!J31</f>
        <v>3.1E-4</v>
      </c>
      <c r="L4" s="33">
        <f>'Waste 2'!K31</f>
        <v>1.5500000000000002E-3</v>
      </c>
      <c r="M4" s="33">
        <f>'Waste 2'!L31</f>
        <v>6.2000000000000006E-3</v>
      </c>
      <c r="N4" s="33">
        <f>'Waste 2'!M31</f>
        <v>7.4400000000000004E-3</v>
      </c>
      <c r="O4" s="33">
        <f>'Waste 2'!N31</f>
        <v>0</v>
      </c>
      <c r="P4" s="33">
        <f>'Waste 2'!O31</f>
        <v>0</v>
      </c>
      <c r="Q4" s="33">
        <f>'Waste 2'!P31</f>
        <v>7.9670000000000005</v>
      </c>
      <c r="R4" s="33">
        <f>'Waste 2'!Q31</f>
        <v>8.4474999999999998</v>
      </c>
      <c r="S4" s="33">
        <f>'Waste 2'!R31</f>
        <v>0</v>
      </c>
      <c r="T4" s="33">
        <f>'Waste 2'!S31</f>
        <v>0</v>
      </c>
      <c r="U4" s="33">
        <f>'Waste 2'!T31</f>
        <v>0</v>
      </c>
      <c r="V4" s="33">
        <f>'Waste 2'!U31</f>
        <v>0</v>
      </c>
    </row>
    <row r="5" spans="1:22" x14ac:dyDescent="0.2">
      <c r="A5" s="36">
        <v>3</v>
      </c>
      <c r="B5" s="91"/>
      <c r="C5" s="33">
        <f>'Waste 3'!B31</f>
        <v>19</v>
      </c>
      <c r="D5" s="33">
        <f>'Waste 3'!C31</f>
        <v>47.5</v>
      </c>
      <c r="E5" s="33">
        <f>'Waste 3'!D31</f>
        <v>60.810012999999998</v>
      </c>
      <c r="F5" s="33">
        <f>'Waste 3'!E31</f>
        <v>10.691965000000001</v>
      </c>
      <c r="G5" s="33">
        <f>'Waste 3'!F31</f>
        <v>1.8239658000000001</v>
      </c>
      <c r="H5" s="33">
        <f>'Waste 3'!G31</f>
        <v>4.4080000000000005E-3</v>
      </c>
      <c r="I5" s="33">
        <f>'Waste 3'!H31</f>
        <v>6.0229999999999999E-2</v>
      </c>
      <c r="J5" s="33">
        <f>'Waste 3'!I31</f>
        <v>9.4999999999999998E-3</v>
      </c>
      <c r="K5" s="33">
        <f>'Waste 3'!J31</f>
        <v>1.9000000000000001E-4</v>
      </c>
      <c r="L5" s="33">
        <f>'Waste 3'!K31</f>
        <v>9.5E-4</v>
      </c>
      <c r="M5" s="33">
        <f>'Waste 3'!L31</f>
        <v>3.8E-3</v>
      </c>
      <c r="N5" s="33">
        <f>'Waste 3'!M31</f>
        <v>6.0610000000000004E-3</v>
      </c>
      <c r="O5" s="33">
        <f>'Waste 3'!N31</f>
        <v>0</v>
      </c>
      <c r="P5" s="33">
        <f>'Waste 3'!O31</f>
        <v>0</v>
      </c>
      <c r="Q5" s="33">
        <f>'Waste 3'!P31</f>
        <v>21.527000000000001</v>
      </c>
      <c r="R5" s="33">
        <f>'Waste 3'!Q31</f>
        <v>54.435000000000002</v>
      </c>
      <c r="S5" s="33">
        <f>'Waste 3'!R31</f>
        <v>0</v>
      </c>
      <c r="T5" s="33">
        <f>'Waste 3'!S31</f>
        <v>0</v>
      </c>
      <c r="U5" s="33">
        <f>'Waste 3'!T31</f>
        <v>0</v>
      </c>
      <c r="V5" s="33">
        <f>'Waste 3'!U31</f>
        <v>0</v>
      </c>
    </row>
    <row r="6" spans="1:22" x14ac:dyDescent="0.2">
      <c r="A6" s="36">
        <v>4</v>
      </c>
      <c r="B6" s="91"/>
      <c r="C6" s="33">
        <f>'Waste 4'!B31</f>
        <v>0</v>
      </c>
      <c r="D6" s="33">
        <f>'Waste 4'!C31</f>
        <v>0</v>
      </c>
      <c r="E6" s="33">
        <f>'Waste 4'!D31</f>
        <v>0</v>
      </c>
      <c r="F6" s="33">
        <f>'Waste 4'!E31</f>
        <v>0</v>
      </c>
      <c r="G6" s="33">
        <f>'Waste 4'!F31</f>
        <v>0</v>
      </c>
      <c r="H6" s="33">
        <f>'Waste 4'!G31</f>
        <v>0</v>
      </c>
      <c r="I6" s="33">
        <f>'Waste 4'!H31</f>
        <v>0</v>
      </c>
      <c r="J6" s="33">
        <f>'Waste 4'!I31</f>
        <v>0</v>
      </c>
      <c r="K6" s="33">
        <f>'Waste 4'!J31</f>
        <v>0</v>
      </c>
      <c r="L6" s="33">
        <f>'Waste 4'!K31</f>
        <v>0</v>
      </c>
      <c r="M6" s="33">
        <f>'Waste 4'!L31</f>
        <v>0</v>
      </c>
      <c r="N6" s="33">
        <f>'Waste 4'!M31</f>
        <v>0</v>
      </c>
      <c r="O6" s="33">
        <f>'Waste 4'!N31</f>
        <v>0</v>
      </c>
      <c r="P6" s="33">
        <f>'Waste 4'!O31</f>
        <v>0</v>
      </c>
      <c r="Q6" s="33">
        <f>'Waste 4'!P31</f>
        <v>0</v>
      </c>
      <c r="R6" s="33">
        <f>'Waste 4'!Q31</f>
        <v>0</v>
      </c>
      <c r="S6" s="33">
        <f>'Waste 4'!R31</f>
        <v>0</v>
      </c>
      <c r="T6" s="33">
        <f>'Waste 4'!S31</f>
        <v>0</v>
      </c>
      <c r="U6" s="33">
        <f>'Waste 4'!T31</f>
        <v>0</v>
      </c>
      <c r="V6" s="33">
        <f>'Waste 4'!U31</f>
        <v>0</v>
      </c>
    </row>
    <row r="7" spans="1:22" x14ac:dyDescent="0.2">
      <c r="A7" s="36">
        <v>5</v>
      </c>
      <c r="B7" s="91"/>
      <c r="C7" s="33">
        <f>'Waste 5'!B31</f>
        <v>0</v>
      </c>
      <c r="D7" s="33">
        <f>'Waste 5'!C31</f>
        <v>0</v>
      </c>
      <c r="E7" s="33">
        <f>'Waste 5'!D31</f>
        <v>0</v>
      </c>
      <c r="F7" s="33">
        <f>'Waste 5'!E31</f>
        <v>0</v>
      </c>
      <c r="G7" s="33">
        <f>'Waste 5'!F31</f>
        <v>0</v>
      </c>
      <c r="H7" s="33">
        <f>'Waste 5'!G31</f>
        <v>0</v>
      </c>
      <c r="I7" s="33">
        <f>'Waste 5'!H31</f>
        <v>0</v>
      </c>
      <c r="J7" s="33">
        <f>'Waste 5'!I31</f>
        <v>0</v>
      </c>
      <c r="K7" s="33">
        <f>'Waste 5'!J31</f>
        <v>0</v>
      </c>
      <c r="L7" s="33">
        <f>'Waste 5'!K31</f>
        <v>0</v>
      </c>
      <c r="M7" s="33">
        <f>'Waste 5'!L31</f>
        <v>0</v>
      </c>
      <c r="N7" s="33">
        <f>'Waste 5'!M31</f>
        <v>0</v>
      </c>
      <c r="O7" s="33">
        <f>'Waste 5'!N31</f>
        <v>0</v>
      </c>
      <c r="P7" s="33">
        <f>'Waste 5'!O31</f>
        <v>0</v>
      </c>
      <c r="Q7" s="33">
        <f>'Waste 5'!P31</f>
        <v>0</v>
      </c>
      <c r="R7" s="33">
        <f>'Waste 5'!Q31</f>
        <v>0</v>
      </c>
      <c r="S7" s="33">
        <f>'Waste 5'!R31</f>
        <v>0</v>
      </c>
      <c r="T7" s="33">
        <f>'Waste 5'!S31</f>
        <v>0</v>
      </c>
      <c r="U7" s="33">
        <f>'Waste 5'!T31</f>
        <v>0</v>
      </c>
      <c r="V7" s="33">
        <f>'Waste 5'!U31</f>
        <v>0</v>
      </c>
    </row>
    <row r="8" spans="1:22" x14ac:dyDescent="0.2">
      <c r="A8" s="36">
        <v>6</v>
      </c>
      <c r="B8" s="91"/>
      <c r="C8" s="33">
        <f>'Waste 6'!B31</f>
        <v>0</v>
      </c>
      <c r="D8" s="33">
        <f>'Waste 6'!C31</f>
        <v>0</v>
      </c>
      <c r="E8" s="33">
        <f>'Waste 6'!D31</f>
        <v>0</v>
      </c>
      <c r="F8" s="33">
        <f>'Waste 6'!E31</f>
        <v>0</v>
      </c>
      <c r="G8" s="33">
        <f>'Waste 6'!F31</f>
        <v>0</v>
      </c>
      <c r="H8" s="33">
        <f>'Waste 6'!G31</f>
        <v>0</v>
      </c>
      <c r="I8" s="33">
        <f>'Waste 6'!H31</f>
        <v>0</v>
      </c>
      <c r="J8" s="33">
        <f>'Waste 6'!I31</f>
        <v>0</v>
      </c>
      <c r="K8" s="33">
        <f>'Waste 6'!J31</f>
        <v>0</v>
      </c>
      <c r="L8" s="33">
        <f>'Waste 6'!K31</f>
        <v>0</v>
      </c>
      <c r="M8" s="33">
        <f>'Waste 6'!L31</f>
        <v>0</v>
      </c>
      <c r="N8" s="33">
        <f>'Waste 6'!M31</f>
        <v>0</v>
      </c>
      <c r="O8" s="33">
        <f>'Waste 6'!N31</f>
        <v>0</v>
      </c>
      <c r="P8" s="33">
        <f>'Waste 6'!O31</f>
        <v>0</v>
      </c>
      <c r="Q8" s="33">
        <f>'Waste 6'!P31</f>
        <v>0</v>
      </c>
      <c r="R8" s="33">
        <f>'Waste 6'!Q31</f>
        <v>0</v>
      </c>
      <c r="S8" s="33">
        <f>'Waste 6'!R31</f>
        <v>0</v>
      </c>
      <c r="T8" s="33">
        <f>'Waste 6'!S31</f>
        <v>0</v>
      </c>
      <c r="U8" s="33">
        <f>'Waste 6'!T31</f>
        <v>0</v>
      </c>
      <c r="V8" s="33">
        <f>'Waste 6'!U31</f>
        <v>0</v>
      </c>
    </row>
    <row r="9" spans="1:22" x14ac:dyDescent="0.2">
      <c r="A9" s="36">
        <v>7</v>
      </c>
      <c r="B9" s="91"/>
      <c r="C9" s="33">
        <f>'Waste 7'!B31</f>
        <v>0</v>
      </c>
      <c r="D9" s="33">
        <f>'Waste 7'!C31</f>
        <v>0</v>
      </c>
      <c r="E9" s="33">
        <f>'Waste 7'!D31</f>
        <v>0</v>
      </c>
      <c r="F9" s="33">
        <f>'Waste 7'!E31</f>
        <v>0</v>
      </c>
      <c r="G9" s="33">
        <f>'Waste 7'!F31</f>
        <v>0</v>
      </c>
      <c r="H9" s="33">
        <f>'Waste 7'!G31</f>
        <v>0</v>
      </c>
      <c r="I9" s="33">
        <f>'Waste 7'!H31</f>
        <v>0</v>
      </c>
      <c r="J9" s="33">
        <f>'Waste 7'!I31</f>
        <v>0</v>
      </c>
      <c r="K9" s="33">
        <f>'Waste 7'!J31</f>
        <v>0</v>
      </c>
      <c r="L9" s="33">
        <f>'Waste 7'!K31</f>
        <v>0</v>
      </c>
      <c r="M9" s="33">
        <f>'Waste 7'!L31</f>
        <v>0</v>
      </c>
      <c r="N9" s="33">
        <f>'Waste 7'!M31</f>
        <v>0</v>
      </c>
      <c r="O9" s="33">
        <f>'Waste 7'!N31</f>
        <v>0</v>
      </c>
      <c r="P9" s="33">
        <f>'Waste 7'!O31</f>
        <v>0</v>
      </c>
      <c r="Q9" s="33">
        <f>'Waste 7'!P31</f>
        <v>0</v>
      </c>
      <c r="R9" s="33">
        <f>'Waste 7'!Q31</f>
        <v>0</v>
      </c>
      <c r="S9" s="33">
        <f>'Waste 7'!R31</f>
        <v>0</v>
      </c>
      <c r="T9" s="33">
        <f>'Waste 7'!S31</f>
        <v>0</v>
      </c>
      <c r="U9" s="33">
        <f>'Waste 7'!T31</f>
        <v>0</v>
      </c>
      <c r="V9" s="33">
        <f>'Waste 7'!U31</f>
        <v>0</v>
      </c>
    </row>
    <row r="10" spans="1:22" x14ac:dyDescent="0.2">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
      <c r="B13" s="37"/>
      <c r="C13" s="22"/>
      <c r="D13" s="22"/>
      <c r="E13" s="22"/>
      <c r="F13" s="22"/>
      <c r="G13" s="22"/>
      <c r="H13" s="22"/>
      <c r="I13" s="22"/>
      <c r="J13" s="22"/>
      <c r="K13" s="22"/>
      <c r="L13" s="22"/>
      <c r="M13" s="22"/>
      <c r="N13" s="22"/>
      <c r="O13" s="22"/>
      <c r="P13" s="22"/>
      <c r="Q13" s="22"/>
      <c r="R13" s="22"/>
      <c r="S13" s="22"/>
      <c r="T13" s="22"/>
      <c r="U13" s="22"/>
      <c r="V13" s="22"/>
    </row>
    <row r="14" spans="1:22" x14ac:dyDescent="0.2">
      <c r="A14" s="84" t="s">
        <v>86</v>
      </c>
      <c r="C14" s="84"/>
      <c r="D14" s="84"/>
      <c r="E14" s="84"/>
      <c r="F14" s="84"/>
      <c r="G14" s="84"/>
      <c r="H14" s="84"/>
      <c r="I14" s="84"/>
      <c r="J14" s="84"/>
      <c r="K14" s="84"/>
      <c r="L14" s="84"/>
      <c r="M14" s="84"/>
      <c r="N14" s="84"/>
    </row>
    <row r="15" spans="1:22" ht="38.25" x14ac:dyDescent="0.2">
      <c r="A15" s="145" t="s">
        <v>84</v>
      </c>
      <c r="B15" s="35" t="s">
        <v>152</v>
      </c>
      <c r="C15" s="35">
        <f>'Field data and Waste 1'!B43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5" x14ac:dyDescent="0.2">
      <c r="A16" s="145"/>
      <c r="B16" s="32" t="s">
        <v>46</v>
      </c>
      <c r="C16" s="35">
        <f>'Field data and Waste 1'!B44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
      <c r="A17" s="85">
        <v>1</v>
      </c>
      <c r="B17" s="86">
        <f>B3</f>
        <v>0</v>
      </c>
      <c r="C17" s="87">
        <f>C3</f>
        <v>66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
      <c r="A18" s="85">
        <v>2</v>
      </c>
      <c r="B18" s="86">
        <f t="shared" ref="B18:C18" si="3">B4</f>
        <v>0</v>
      </c>
      <c r="C18" s="87">
        <f t="shared" si="3"/>
        <v>31</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
      <c r="A19" s="85">
        <v>3</v>
      </c>
      <c r="B19" s="86">
        <f t="shared" ref="B19:C19" si="5">B5</f>
        <v>0</v>
      </c>
      <c r="C19" s="87">
        <f t="shared" si="5"/>
        <v>19</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
      <c r="A20" s="85">
        <v>4</v>
      </c>
      <c r="B20" s="86">
        <f t="shared" ref="B20:C20" si="7">B6</f>
        <v>0</v>
      </c>
      <c r="C20" s="87">
        <f t="shared" si="7"/>
        <v>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
      <c r="A22" s="85">
        <v>6</v>
      </c>
      <c r="B22" s="86">
        <f t="shared" ref="B22:C22" si="11">B8</f>
        <v>0</v>
      </c>
      <c r="C22" s="87">
        <f t="shared" si="11"/>
        <v>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
      <c r="A23" s="85">
        <v>7</v>
      </c>
      <c r="B23" s="86">
        <f t="shared" ref="B23:C23" si="13">B9</f>
        <v>0</v>
      </c>
      <c r="C23" s="87">
        <f t="shared" si="13"/>
        <v>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75" x14ac:dyDescent="0.25">
      <c r="A27" s="147" t="s">
        <v>85</v>
      </c>
      <c r="B27" s="147"/>
      <c r="C27" s="147"/>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81" ma:contentTypeDescription="Permitting &amp; Compliance Word Document" ma:contentTypeScope="" ma:versionID="3d1b258d1827d218d2a9abfe27e990d8">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4aab4209057fb04725d201500bf0bb7f"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element ref="ns4:lcf76f155ced4ddcb4097134ff3c332f" minOccurs="0"/>
                <xsd:element ref="ns2:TaxCatchAll" minOccurs="0"/>
                <xsd:element ref="ns4:MediaServiceObjectDetectorVersions" minOccurs="0"/>
                <xsd:element ref="ns4: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7"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36"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MediaServiceDateTaken" ma:index="39"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REGU-195-6520304</_dlc_DocId>
    <_dlc_DocIdUrl xmlns="9be56660-2c31-41ef-bc00-23e72f632f2a">
      <Url>https://cyfoethnaturiolcymru.sharepoint.com/teams/Regulatory/Permitting/_layouts/15/DocIdRedir.aspx?ID=REGU-195-6520304</Url>
      <Description>REGU-195-6520304</Description>
    </_dlc_DocIdUrl>
    <Site_x0020_Name xmlns="859f7ad6-93f6-4205-b62b-a17f28acbbac">Stepside Agri Mobile Plant</Site_x0020_Name>
    <Internal_x002f_External xmlns="859f7ad6-93f6-4205-b62b-a17f28acbbac">Internal document</Internal_x002f_External>
    <Post_x0020_code xmlns="859f7ad6-93f6-4205-b62b-a17f28acbbac" xsi:nil="true"/>
    <TaxCatchAll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2023-11-01T00:00:00+00:00</Document_x0020_Date>
    <Facility_x0020_Address xmlns="859f7ad6-93f6-4205-b62b-a17f28acbbac">Mobile Plant</Facility_x0020_Address>
    <lcf76f155ced4ddcb4097134ff3c332f xmlns="0a3f541d-ab69-4573-98e7-35881639f867">
      <Terms xmlns="http://schemas.microsoft.com/office/infopath/2007/PartnerControls"/>
    </lcf76f155ced4ddcb4097134ff3c332f>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AD4A07E-8484-411D-9603-78ACA96AA294}"/>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DA11F978-0102-450C-9A72-296930EB5144}"/>
</file>

<file path=customXml/itemProps4.xml><?xml version="1.0" encoding="utf-8"?>
<ds:datastoreItem xmlns:ds="http://schemas.openxmlformats.org/officeDocument/2006/customXml" ds:itemID="{3EB88BFD-E29A-4849-A8E6-116EB74B98EA}">
  <ds:schemaRefs>
    <ds:schemaRef ds:uri="http://schemas.microsoft.com/office/2006/metadata/properties"/>
    <ds:schemaRef ds:uri="http://purl.org/dc/terms/"/>
    <ds:schemaRef ds:uri="http://schemas.openxmlformats.org/package/2006/metadata/core-properties"/>
    <ds:schemaRef ds:uri="http://purl.org/dc/dcmitype/"/>
    <ds:schemaRef ds:uri="http://schemas.microsoft.com/office/2006/documentManagement/types"/>
    <ds:schemaRef ds:uri="http://purl.org/dc/elements/1.1/"/>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Bailey, Louise</cp:lastModifiedBy>
  <dcterms:created xsi:type="dcterms:W3CDTF">2016-09-26T10:07:59Z</dcterms:created>
  <dcterms:modified xsi:type="dcterms:W3CDTF">2023-10-19T07:54:21Z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7d67050d-fa21-4c43-aae9-31ba3ea353d7</vt:lpwstr>
  </property>
  <property fmtid="{D5CDD505-2E9C-101B-9397-08002B2CF9AE}" pid="4" name="Order">
    <vt:r8>652030400</vt:r8>
  </property>
  <property fmtid="{D5CDD505-2E9C-101B-9397-08002B2CF9AE}" pid="5" name="MediaServiceImageTags">
    <vt:lpwstr/>
  </property>
</Properties>
</file>