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3688/"/>
    </mc:Choice>
  </mc:AlternateContent>
  <xr:revisionPtr revIDLastSave="0" documentId="13_ncr:1_{05D9A53D-A203-4346-B206-89D5E02AC207}" xr6:coauthVersionLast="47" xr6:coauthVersionMax="47" xr10:uidLastSave="{00000000-0000-0000-0000-000000000000}"/>
  <bookViews>
    <workbookView xWindow="-28920" yWindow="-120" windowWidth="29040" windowHeight="15840" tabRatio="870" activeTab="5"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M22" i="30"/>
  <c r="I22" i="30"/>
  <c r="E22" i="30"/>
  <c r="V20" i="30"/>
  <c r="U20" i="30"/>
  <c r="T20" i="30"/>
  <c r="S20" i="30"/>
  <c r="R20" i="30"/>
  <c r="Q20" i="30"/>
  <c r="P20" i="30"/>
  <c r="O20" i="30"/>
  <c r="N20" i="30"/>
  <c r="M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M20" i="27"/>
  <c r="U18" i="27"/>
  <c r="T18" i="27"/>
  <c r="S18" i="27"/>
  <c r="R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V20" i="26"/>
  <c r="U20" i="26"/>
  <c r="T20" i="26"/>
  <c r="S20" i="26"/>
  <c r="R20" i="26"/>
  <c r="Q20" i="26"/>
  <c r="P20" i="26"/>
  <c r="O20" i="26"/>
  <c r="N20" i="26"/>
  <c r="M20"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23" i="24" s="1"/>
  <c r="H17" i="24"/>
  <c r="H19"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19" i="29" s="1"/>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19"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17" i="24"/>
  <c r="R59" i="24"/>
  <c r="S21" i="24"/>
  <c r="S23" i="24" s="1"/>
  <c r="S17" i="24"/>
  <c r="G21" i="26"/>
  <c r="G23" i="26" s="1"/>
  <c r="G24" i="26" s="1"/>
  <c r="G17" i="26"/>
  <c r="G19" i="26" s="1"/>
  <c r="G20" i="26" s="1"/>
  <c r="O17" i="26"/>
  <c r="O21" i="26"/>
  <c r="E59" i="27"/>
  <c r="F17" i="27"/>
  <c r="F19" i="27" s="1"/>
  <c r="F20" i="27" s="1"/>
  <c r="M59" i="27"/>
  <c r="N17" i="27"/>
  <c r="U59" i="27"/>
  <c r="V17" i="27"/>
  <c r="E59" i="28"/>
  <c r="F17" i="28"/>
  <c r="F19" i="28" s="1"/>
  <c r="F20" i="28" s="1"/>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1" i="29"/>
  <c r="F23" i="29" s="1"/>
  <c r="M59" i="29"/>
  <c r="N17" i="29"/>
  <c r="N21" i="29"/>
  <c r="U59" i="29"/>
  <c r="V17" i="29"/>
  <c r="V21" i="29"/>
  <c r="V23" i="29"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E23" i="24" s="1"/>
  <c r="L59" i="24"/>
  <c r="M17" i="24"/>
  <c r="M19" i="24" s="1"/>
  <c r="M21" i="24"/>
  <c r="M23" i="24" s="1"/>
  <c r="T59" i="24"/>
  <c r="U21" i="24"/>
  <c r="U17" i="24"/>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19" i="29" s="1"/>
  <c r="G21" i="29"/>
  <c r="G23"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J65"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J64" i="30" s="1"/>
  <c r="J65"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H64" i="30" s="1"/>
  <c r="H65"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N19" i="30"/>
  <c r="V19" i="30"/>
  <c r="F23" i="30"/>
  <c r="F24" i="30" s="1"/>
  <c r="N23" i="30"/>
  <c r="N24" i="30" s="1"/>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J23" i="29"/>
  <c r="F57" i="29"/>
  <c r="N57" i="29"/>
  <c r="F59" i="29"/>
  <c r="N59" i="29"/>
  <c r="F63" i="29"/>
  <c r="N63" i="29"/>
  <c r="H63"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N19" i="29"/>
  <c r="V19" i="29"/>
  <c r="N23" i="29"/>
  <c r="B63" i="29"/>
  <c r="J63" i="29"/>
  <c r="R63" i="29"/>
  <c r="L19" i="29"/>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L19" i="28"/>
  <c r="L20" i="28" s="1"/>
  <c r="L23" i="28"/>
  <c r="L24" i="28" s="1"/>
  <c r="T23" i="28"/>
  <c r="T24" i="28" s="1"/>
  <c r="H59" i="28"/>
  <c r="P59" i="28"/>
  <c r="H63" i="28"/>
  <c r="P63" i="28"/>
  <c r="M19" i="28"/>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Q19" i="27"/>
  <c r="E63" i="27"/>
  <c r="M63" i="27"/>
  <c r="U64" i="26"/>
  <c r="U66" i="26" s="1"/>
  <c r="O23" i="26"/>
  <c r="O24" i="26" s="1"/>
  <c r="J23" i="26"/>
  <c r="J24" i="26" s="1"/>
  <c r="H64" i="26"/>
  <c r="H65"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E23" i="26"/>
  <c r="E24" i="26" s="1"/>
  <c r="M23" i="26"/>
  <c r="M24" i="26" s="1"/>
  <c r="I57" i="26"/>
  <c r="Q57" i="26"/>
  <c r="I59" i="26"/>
  <c r="I64" i="26" s="1"/>
  <c r="I65" i="26" s="1"/>
  <c r="Q59" i="26"/>
  <c r="Q64" i="26" s="1"/>
  <c r="I63" i="26"/>
  <c r="Q63" i="26"/>
  <c r="N19" i="26"/>
  <c r="N23" i="26"/>
  <c r="N24" i="26" s="1"/>
  <c r="V23" i="26"/>
  <c r="V24" i="26" s="1"/>
  <c r="B63" i="26"/>
  <c r="J63" i="26"/>
  <c r="R63" i="26"/>
  <c r="O19" i="26"/>
  <c r="A32" i="26"/>
  <c r="A34" i="26"/>
  <c r="A40" i="26"/>
  <c r="A42" i="26"/>
  <c r="A48" i="26"/>
  <c r="A50" i="26"/>
  <c r="C63" i="26"/>
  <c r="K63" i="26"/>
  <c r="S63" i="26"/>
  <c r="P19" i="26"/>
  <c r="D63" i="26"/>
  <c r="L63" i="26"/>
  <c r="I19" i="26"/>
  <c r="I20" i="26" s="1"/>
  <c r="J23" i="24"/>
  <c r="P23" i="24"/>
  <c r="K19" i="24"/>
  <c r="S19" i="24"/>
  <c r="K23" i="24"/>
  <c r="A31" i="24"/>
  <c r="A33" i="24"/>
  <c r="A37" i="24"/>
  <c r="A39" i="24"/>
  <c r="A41" i="24"/>
  <c r="A45" i="24"/>
  <c r="A47" i="24"/>
  <c r="A49" i="24"/>
  <c r="G57" i="24"/>
  <c r="O57" i="24"/>
  <c r="G59" i="24"/>
  <c r="O59" i="24"/>
  <c r="G63" i="24"/>
  <c r="O63" i="24"/>
  <c r="H59" i="24"/>
  <c r="P59" i="24"/>
  <c r="H63" i="24"/>
  <c r="P63" i="24"/>
  <c r="U19"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N23" i="23"/>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6" l="1"/>
  <c r="E65" i="30"/>
  <c r="D65" i="28"/>
  <c r="K65" i="28"/>
  <c r="J65" i="28"/>
  <c r="I65" i="28"/>
  <c r="E65" i="27"/>
  <c r="K65" i="27"/>
  <c r="C65" i="27"/>
  <c r="K65" i="21"/>
  <c r="C65" i="21"/>
  <c r="G64" i="30"/>
  <c r="G65" i="30" s="1"/>
  <c r="F64" i="26"/>
  <c r="E64" i="23"/>
  <c r="E65" i="23" s="1"/>
  <c r="D64" i="30"/>
  <c r="D65" i="30" s="1"/>
  <c r="D64" i="24"/>
  <c r="D65" i="24" s="1"/>
  <c r="D64" i="27"/>
  <c r="D65" i="27" s="1"/>
  <c r="C64" i="30"/>
  <c r="C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C66" i="22"/>
  <c r="T66" i="21"/>
  <c r="S66" i="23"/>
  <c r="H66" i="30"/>
  <c r="E66" i="30"/>
  <c r="S66" i="24"/>
  <c r="L66" i="21"/>
  <c r="S66" i="26"/>
  <c r="L66" i="28"/>
  <c r="L66" i="26"/>
  <c r="T66" i="30"/>
  <c r="C66" i="29"/>
  <c r="H66" i="22"/>
  <c r="R66" i="28"/>
  <c r="N64" i="26"/>
  <c r="N66" i="26" s="1"/>
  <c r="O64" i="29"/>
  <c r="O66" i="29" s="1"/>
  <c r="P64" i="29"/>
  <c r="P66" i="29" s="1"/>
  <c r="S64" i="1"/>
  <c r="R66" i="26"/>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P66" i="24"/>
  <c r="D66" i="24"/>
  <c r="M66" i="24"/>
  <c r="I66" i="23"/>
  <c r="N66" i="23"/>
  <c r="I66" i="22"/>
  <c r="M66" i="22"/>
  <c r="S66" i="22"/>
  <c r="K66" i="22"/>
  <c r="T66" i="22"/>
  <c r="M66" i="21"/>
  <c r="K66" i="21"/>
  <c r="C66" i="21"/>
  <c r="D66" i="21"/>
  <c r="R66" i="21"/>
  <c r="N64" i="1"/>
  <c r="M64" i="1"/>
  <c r="T64" i="1"/>
  <c r="L64" i="1"/>
  <c r="J64" i="1"/>
  <c r="K64" i="1"/>
  <c r="O64" i="1"/>
  <c r="C64" i="1"/>
  <c r="I64" i="1"/>
  <c r="I65" i="1" s="1"/>
  <c r="H64" i="1"/>
  <c r="G64" i="1"/>
  <c r="F64" i="1"/>
  <c r="F65" i="1" s="1"/>
  <c r="E64" i="1"/>
  <c r="E65" i="1" s="1"/>
  <c r="D64" i="1"/>
  <c r="B64" i="1"/>
  <c r="B65" i="1" s="1"/>
  <c r="D63" i="1"/>
  <c r="L63" i="1"/>
  <c r="F63" i="1"/>
  <c r="R63" i="1"/>
  <c r="J63" i="1"/>
  <c r="Q63" i="1"/>
  <c r="Q66" i="1" s="1"/>
  <c r="I63" i="1"/>
  <c r="C63" i="1"/>
  <c r="K63" i="1"/>
  <c r="P63" i="1"/>
  <c r="H63" i="1"/>
  <c r="T63" i="1"/>
  <c r="T66" i="1" s="1"/>
  <c r="S63" i="1"/>
  <c r="O63" i="1"/>
  <c r="G63" i="1"/>
  <c r="N63" i="1"/>
  <c r="E63" i="1"/>
  <c r="B63" i="1"/>
  <c r="U63" i="1"/>
  <c r="M63" i="1"/>
  <c r="C65" i="1" l="1"/>
  <c r="H65" i="1"/>
  <c r="D65" i="1"/>
  <c r="K65" i="1"/>
  <c r="J65" i="1"/>
  <c r="G65" i="1"/>
  <c r="E66" i="23"/>
  <c r="I66" i="24"/>
  <c r="K66" i="29"/>
  <c r="K65" i="29"/>
  <c r="J66" i="22"/>
  <c r="J65" i="22"/>
  <c r="I66" i="21"/>
  <c r="I65" i="21"/>
  <c r="H66" i="24"/>
  <c r="H65" i="24"/>
  <c r="H66" i="28"/>
  <c r="H65" i="28"/>
  <c r="H66" i="29"/>
  <c r="H65" i="29"/>
  <c r="H66" i="21"/>
  <c r="K66" i="26"/>
  <c r="K65" i="26"/>
  <c r="K66" i="23"/>
  <c r="K65" i="23"/>
  <c r="J66" i="21"/>
  <c r="J65" i="21"/>
  <c r="K66" i="24"/>
  <c r="J66" i="26"/>
  <c r="J66" i="29"/>
  <c r="J65" i="29"/>
  <c r="H66" i="27"/>
  <c r="H65" i="27"/>
  <c r="G66" i="30"/>
  <c r="G66" i="24"/>
  <c r="G65" i="24"/>
  <c r="G66" i="28"/>
  <c r="G65" i="28"/>
  <c r="G66" i="27"/>
  <c r="G65" i="27"/>
  <c r="G66" i="22"/>
  <c r="G65" i="22"/>
  <c r="G66" i="29"/>
  <c r="G65" i="29"/>
  <c r="G66" i="21"/>
  <c r="G65" i="21"/>
  <c r="G66" i="23"/>
  <c r="G65" i="23"/>
  <c r="G66" i="26"/>
  <c r="G65" i="26"/>
  <c r="F66" i="22"/>
  <c r="F65" i="22"/>
  <c r="F66" i="27"/>
  <c r="F65" i="27"/>
  <c r="F66" i="26"/>
  <c r="F65" i="26"/>
  <c r="F66" i="28"/>
  <c r="F65" i="28"/>
  <c r="F66" i="23"/>
  <c r="F65" i="23"/>
  <c r="F66" i="24"/>
  <c r="F65" i="24"/>
  <c r="F66" i="29"/>
  <c r="F65" i="29"/>
  <c r="F66" i="30"/>
  <c r="F65" i="30"/>
  <c r="F66" i="21"/>
  <c r="F65" i="21"/>
  <c r="E66" i="24"/>
  <c r="E65" i="24"/>
  <c r="E66" i="28"/>
  <c r="E65" i="28"/>
  <c r="E66" i="29"/>
  <c r="E65" i="29"/>
  <c r="E66" i="26"/>
  <c r="E65" i="26"/>
  <c r="E66" i="21"/>
  <c r="E65" i="21"/>
  <c r="D66" i="27"/>
  <c r="D66" i="29"/>
  <c r="D66" i="23"/>
  <c r="D66" i="22"/>
  <c r="D66" i="26"/>
  <c r="C66" i="28"/>
  <c r="C65" i="28"/>
  <c r="C66" i="24"/>
  <c r="C65" i="24"/>
  <c r="B66" i="27"/>
  <c r="B65" i="27"/>
  <c r="B66" i="23"/>
  <c r="B65" i="23"/>
  <c r="B66" i="21"/>
  <c r="B65" i="21"/>
  <c r="B66" i="26"/>
  <c r="B65" i="26"/>
  <c r="B66" i="28"/>
  <c r="B65" i="28"/>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<sst xmlns="http://schemas.openxmlformats.org/spreadsheetml/2006/main" count="2203" uniqueCount="187">
  <si>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</si>
  <si>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</si>
  <si>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</si>
  <si>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</si>
  <si>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</si>
  <si>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</si>
  <si>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</si>
  <si>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</si>
  <si>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</si>
  <si>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</si>
  <si>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</si>
  <si>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</si>
  <si>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</si>
  <si>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</si>
  <si>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</si>
  <si>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</si>
  <si>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</si>
  <si>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</si>
  <si>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</si>
  <si>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</si>
  <si>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</si>
  <si>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</si>
  <si>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</si>
  <si>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</si>
  <si>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</si>
  <si>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</si>
  <si>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</si>
  <si>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</si>
  <si>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</si>
  <si>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</si>
  <si>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</si>
  <si>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</si>
  <si>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</si>
  <si>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</si>
  <si>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</si>
  <si>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</si>
  <si>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</si>
  <si>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</si>
  <si>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</si>
  <si>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</si>
  <si>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</si>
  <si>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</si>
  <si>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</si>
  <si>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</si>
  <si>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</si>
  <si>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</si>
  <si>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</si>
  <si>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</si>
  <si>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</si>
  <si>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</si>
  <si>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</si>
  <si>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</si>
  <si>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</si>
  <si>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</si>
  <si>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</si>
  <si>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</si>
  <si>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</si>
  <si>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</si>
  <si>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</si>
  <si>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</si>
  <si>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</si>
  <si>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</si>
  <si>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</si>
  <si>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</si>
  <si>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</si>
  <si>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</si>
  <si>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</si>
  <si>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</si>
  <si>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</si>
  <si>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</si>
  <si>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</si>
  <si>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</si>
  <si>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</si>
  <si>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</si>
  <si>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</si>
  <si>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</si>
  <si>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</si>
  <si>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</si>
  <si>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</si>
  <si>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</si>
  <si>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</si>
  <si>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</si>
  <si>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</si>
  <si>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</si>
  <si>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</si>
  <si>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</si>
  <si>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</si>
  <si>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</si>
  <si>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</si>
  <si>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</si>
  <si>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</si>
  <si>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</si>
  <si>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</si>
  <si>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</si>
  <si>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</si>
  <si>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</si>
  <si>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</si>
  <si>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</si>
  <si>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</si>
  <si>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</si>
  <si>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</si>
  <si>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</si>
  <si>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</si>
  <si>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</si>
  <si>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</si>
  <si>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</si>
  <si>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</si>
  <si>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</si>
  <si>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</si>
  <si>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</si>
  <si>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</si>
  <si>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</si>
  <si>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</si>
  <si>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</si>
  <si>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</si>
  <si>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</si>
  <si>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</si>
  <si>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</si>
  <si>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</si>
  <si>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</si>
  <si>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</si>
  <si>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</si>
  <si>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</si>
  <si>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</si>
  <si>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</si>
  <si>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</si>
  <si>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</si>
  <si>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</si>
  <si>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</si>
  <si>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</si>
  <si>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</si>
  <si>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</si>
  <si>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</si>
  <si>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</si>
  <si>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</si>
  <si>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</si>
  <si>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</si>
  <si>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</si>
  <si>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</si>
  <si>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</si>
  <si>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</si>
  <si>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</si>
  <si>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</si>
  <si>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</si>
  <si>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</si>
  <si>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</si>
  <si>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</si>
  <si>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</si>
  <si>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</si>
  <si>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</si>
  <si>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</si>
  <si>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</si>
  <si>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</si>
  <si>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</si>
  <si>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</si>
  <si>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</si>
  <si>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</si>
  <si>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</si>
  <si>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</si>
  <si>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</si>
  <si>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PAN-023688 </t>
  </si>
  <si>
    <t>B1</t>
  </si>
  <si>
    <t>B2</t>
  </si>
  <si>
    <t>B3</t>
  </si>
  <si>
    <t>B4</t>
  </si>
  <si>
    <t>B5</t>
  </si>
  <si>
    <t>S1</t>
  </si>
  <si>
    <t>S2</t>
  </si>
  <si>
    <t>S3</t>
  </si>
  <si>
    <t>S4</t>
  </si>
  <si>
    <t>S5</t>
  </si>
  <si>
    <t>Moderate</t>
  </si>
  <si>
    <t>FB3606GC</t>
  </si>
  <si>
    <t>Agrispread</t>
  </si>
  <si>
    <t xml:space="preserve">Ethan Banfield </t>
  </si>
  <si>
    <t xml:space="preserve">Maelor </t>
  </si>
  <si>
    <t>02 02 04</t>
  </si>
  <si>
    <t>Secanim</t>
  </si>
  <si>
    <t>07 07 12</t>
  </si>
  <si>
    <t>Croda Goole</t>
  </si>
  <si>
    <t>02 03 05</t>
  </si>
  <si>
    <t>Croda Widnes</t>
  </si>
  <si>
    <t xml:space="preserve">Encirc Elton </t>
  </si>
  <si>
    <t>02 07 05</t>
  </si>
  <si>
    <t>Birchenfields Farm, Sealand Road, Flintshire, CH1 6BS</t>
  </si>
  <si>
    <t>19 09 02</t>
  </si>
  <si>
    <t xml:space="preserve">Huntington WTW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</si>
</sst>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49" sqref="C4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50</v>
      </c>
      <c r="G1" s="123" t="s">
        <v>43</v>
      </c>
      <c r="H1" s="124"/>
      <c r="I1" s="96">
        <v>7.13</v>
      </c>
      <c r="J1" s="127" t="s">
        <v>153</v>
      </c>
      <c r="K1" s="127"/>
      <c r="L1" s="96">
        <v>669</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172</v>
      </c>
      <c r="D2" s="120"/>
      <c r="E2" s="93" t="s">
        <v>109</v>
      </c>
      <c r="F2" s="96" t="s">
        <v>176</v>
      </c>
      <c r="G2" s="125" t="s">
        <v>110</v>
      </c>
      <c r="H2" s="126"/>
      <c r="I2" s="96">
        <v>1253</v>
      </c>
      <c r="J2" s="127" t="s">
        <v>158</v>
      </c>
      <c r="K2" s="127"/>
      <c r="L2" s="96">
        <v>0.18</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173</v>
      </c>
      <c r="D3" s="120"/>
      <c r="E3" s="93" t="s">
        <v>108</v>
      </c>
      <c r="F3" s="31" t="s">
        <v>78</v>
      </c>
      <c r="G3" s="127" t="s">
        <v>159</v>
      </c>
      <c r="H3" s="127"/>
      <c r="I3" s="96">
        <v>1300</v>
      </c>
      <c r="J3" s="123" t="s">
        <v>154</v>
      </c>
      <c r="K3" s="124"/>
      <c r="L3" s="96">
        <f>(L1/(L2*10000))*100</f>
        <v>37.166666666666664</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184</v>
      </c>
      <c r="D4" s="122"/>
      <c r="E4" s="94" t="s">
        <v>1</v>
      </c>
      <c r="F4" s="95" t="s">
        <v>175</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174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161</v>
      </c>
      <c r="D8" s="15" t="s">
        <v>162</v>
      </c>
      <c r="E8" s="15" t="s">
        <v>163</v>
      </c>
      <c r="F8" s="15" t="s">
        <v>164</v>
      </c>
      <c r="G8" s="15" t="s">
        <v>165</v>
      </c>
      <c r="H8" s="15" t="s">
        <v>166</v>
      </c>
      <c r="I8" s="15" t="s">
        <v>167</v>
      </c>
      <c r="J8" s="15" t="s">
        <v>168</v>
      </c>
      <c r="K8" s="15" t="s">
        <v>169</v>
      </c>
      <c r="L8" s="15" t="s">
        <v>170</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171</v>
      </c>
      <c r="D9" s="15">
        <v>1</v>
      </c>
      <c r="E9" s="15">
        <v>1</v>
      </c>
      <c r="F9" s="15">
        <v>1</v>
      </c>
      <c r="G9" s="15">
        <v>1</v>
      </c>
      <c r="H9" s="15" t="s">
        <v>171</v>
      </c>
      <c r="I9" s="15" t="s">
        <v>171</v>
      </c>
      <c r="J9" s="15" t="s">
        <v>171</v>
      </c>
      <c r="K9" s="15" t="s">
        <v>171</v>
      </c>
      <c r="L9" s="15" t="s">
        <v>171</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5.9</v>
      </c>
      <c r="D10" s="15">
        <v>6.1</v>
      </c>
      <c r="E10" s="15">
        <v>6.6</v>
      </c>
      <c r="F10" s="15">
        <v>5.8</v>
      </c>
      <c r="G10" s="15">
        <v>5.6</v>
      </c>
      <c r="H10" s="15">
        <v>5.7</v>
      </c>
      <c r="I10" s="15">
        <v>5.6</v>
      </c>
      <c r="J10" s="15">
        <v>5.5</v>
      </c>
      <c r="K10" s="15">
        <v>5.6</v>
      </c>
      <c r="L10" s="15">
        <v>5.5</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1</v>
      </c>
      <c r="E11" s="15">
        <v>2</v>
      </c>
      <c r="F11" s="15">
        <v>2</v>
      </c>
      <c r="G11" s="15">
        <v>0</v>
      </c>
      <c r="H11" s="15">
        <v>3</v>
      </c>
      <c r="I11" s="15">
        <v>0</v>
      </c>
      <c r="J11" s="15">
        <v>3</v>
      </c>
      <c r="K11" s="15">
        <v>3</v>
      </c>
      <c r="L11" s="15">
        <v>3</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1</v>
      </c>
      <c r="E12" s="15">
        <v>3</v>
      </c>
      <c r="F12" s="15">
        <v>1</v>
      </c>
      <c r="G12" s="15">
        <v>0</v>
      </c>
      <c r="H12" s="15">
        <v>2</v>
      </c>
      <c r="I12" s="15">
        <v>0</v>
      </c>
      <c r="J12" s="15">
        <v>2</v>
      </c>
      <c r="K12" s="15">
        <v>2</v>
      </c>
      <c r="L12" s="15">
        <v>2</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3</v>
      </c>
      <c r="F13" s="15">
        <v>2</v>
      </c>
      <c r="G13" s="15">
        <v>2</v>
      </c>
      <c r="H13" s="15">
        <v>2</v>
      </c>
      <c r="I13" s="15">
        <v>2</v>
      </c>
      <c r="J13" s="15">
        <v>2</v>
      </c>
      <c r="K13" s="15">
        <v>2</v>
      </c>
      <c r="L13" s="15">
        <v>2</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105</v>
      </c>
      <c r="E14" s="100" t="s">
        <v>120</v>
      </c>
      <c r="F14" s="100" t="s">
        <v>68</v>
      </c>
      <c r="G14" s="100" t="s">
        <v>105</v>
      </c>
      <c r="H14" s="100" t="s">
        <v>113</v>
      </c>
      <c r="I14" s="100" t="s">
        <v>113</v>
      </c>
      <c r="J14" s="100" t="s">
        <v>113</v>
      </c>
      <c r="K14" s="100" t="s">
        <v>113</v>
      </c>
      <c r="L14" s="100" t="s">
        <v>113</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40</v>
      </c>
      <c r="E15" s="15">
        <v>60</v>
      </c>
      <c r="F15" s="15">
        <v>6</v>
      </c>
      <c r="G15" s="15">
        <v>40</v>
      </c>
      <c r="H15" s="15">
        <v>38</v>
      </c>
      <c r="I15" s="15">
        <v>38</v>
      </c>
      <c r="J15" s="15">
        <v>38</v>
      </c>
      <c r="K15" s="15">
        <v>38</v>
      </c>
      <c r="L15" s="15">
        <v>38</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71</v>
      </c>
      <c r="D16" s="101" t="s">
        <v>71</v>
      </c>
      <c r="E16" s="101" t="s">
        <v>71</v>
      </c>
      <c r="F16" s="101" t="s">
        <v>71</v>
      </c>
      <c r="G16" s="101" t="s">
        <v>71</v>
      </c>
      <c r="H16" s="101" t="s">
        <v>71</v>
      </c>
      <c r="I16" s="101" t="s">
        <v>71</v>
      </c>
      <c r="J16" s="101" t="s">
        <v>71</v>
      </c>
      <c r="K16" s="101" t="s">
        <v>71</v>
      </c>
      <c r="L16" s="101" t="s">
        <v>71</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2.6320153499999996</v>
      </c>
      <c r="D18" s="16">
        <f>$D32</f>
        <v>2.6320153499999996</v>
      </c>
      <c r="E18" s="16">
        <f>$D33</f>
        <v>2.6320153499999996</v>
      </c>
      <c r="F18" s="16">
        <f>$D34</f>
        <v>2.6320153499999996</v>
      </c>
      <c r="G18" s="16">
        <f>$D35</f>
        <v>2.6320153499999996</v>
      </c>
      <c r="H18" s="16">
        <f>$D36</f>
        <v>2.6320153499999996</v>
      </c>
      <c r="I18" s="16">
        <f>$D37</f>
        <v>2.6320153499999996</v>
      </c>
      <c r="J18" s="16">
        <f>$D38</f>
        <v>2.6320153499999996</v>
      </c>
      <c r="K18" s="16">
        <f>$D39</f>
        <v>2.6320153499999996</v>
      </c>
      <c r="L18" s="16">
        <f>$D40</f>
        <v>2.6320153499999996</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-61.967984649999991</v>
      </c>
      <c r="D19" s="16">
        <f t="shared" ref="D19:V19" si="1">D18-D17</f>
        <v>-53.367984649999997</v>
      </c>
      <c r="E19" s="16">
        <f t="shared" si="1"/>
        <v>-111.36798465</v>
      </c>
      <c r="F19" s="16">
        <f t="shared" si="1"/>
        <v>-48.367984649999997</v>
      </c>
      <c r="G19" s="16">
        <f t="shared" si="1"/>
        <v>-53.367984649999997</v>
      </c>
      <c r="H19" s="16">
        <f t="shared" si="1"/>
        <v>-61.967984649999991</v>
      </c>
      <c r="I19" s="16">
        <f t="shared" si="1"/>
        <v>-61.967984649999991</v>
      </c>
      <c r="J19" s="16">
        <f t="shared" si="1"/>
        <v>-61.967984649999991</v>
      </c>
      <c r="K19" s="16">
        <f t="shared" si="1"/>
        <v>-61.967984649999991</v>
      </c>
      <c r="L19" s="16">
        <f t="shared" si="1"/>
        <v>-61.967984649999991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13.990050000000002</v>
      </c>
      <c r="D22" s="16">
        <f>$E32</f>
        <v>13.990050000000002</v>
      </c>
      <c r="E22" s="16">
        <f>$E33</f>
        <v>13.990050000000002</v>
      </c>
      <c r="F22" s="16">
        <f>$E34</f>
        <v>13.990050000000002</v>
      </c>
      <c r="G22" s="16">
        <f>$E35</f>
        <v>13.990050000000002</v>
      </c>
      <c r="H22" s="16">
        <f>$E36</f>
        <v>13.990050000000002</v>
      </c>
      <c r="I22" s="16">
        <f>$E37</f>
        <v>13.990050000000002</v>
      </c>
      <c r="J22" s="16">
        <f>$E38</f>
        <v>13.990050000000002</v>
      </c>
      <c r="K22" s="16">
        <f>$E39</f>
        <v>13.990050000000002</v>
      </c>
      <c r="L22" s="16">
        <f>$E40</f>
        <v>13.990050000000002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-214.00995</v>
      </c>
      <c r="D23" s="16">
        <f t="shared" ref="D23:V23" si="3">D22-D21</f>
        <v>-162.00995</v>
      </c>
      <c r="E23" s="16">
        <f t="shared" si="3"/>
        <v>-436.00995</v>
      </c>
      <c r="F23" s="16">
        <f t="shared" si="3"/>
        <v>-58.009949999999996</v>
      </c>
      <c r="G23" s="16">
        <f t="shared" si="3"/>
        <v>-162.00995</v>
      </c>
      <c r="H23" s="16">
        <f t="shared" si="3"/>
        <v>-214.00995</v>
      </c>
      <c r="I23" s="16">
        <f t="shared" si="3"/>
        <v>-214.00995</v>
      </c>
      <c r="J23" s="16">
        <f t="shared" si="3"/>
        <v>-214.00995</v>
      </c>
      <c r="K23" s="16">
        <f t="shared" si="3"/>
        <v>-214.00995</v>
      </c>
      <c r="L23" s="16">
        <f t="shared" si="3"/>
        <v>-214.00995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2.67</v>
      </c>
      <c r="C28" s="15">
        <v>0.18</v>
      </c>
      <c r="D28" s="15">
        <v>8.51</v>
      </c>
      <c r="E28" s="15">
        <v>86</v>
      </c>
      <c r="F28" s="15">
        <v>66.8</v>
      </c>
      <c r="G28" s="15">
        <v>0.2</v>
      </c>
      <c r="H28" s="15">
        <v>0.58799999999999997</v>
      </c>
      <c r="I28" s="15">
        <v>0.5</v>
      </c>
      <c r="J28" s="15">
        <v>0.01</v>
      </c>
      <c r="K28" s="23">
        <v>0.05</v>
      </c>
      <c r="L28" s="15">
        <v>0.2</v>
      </c>
      <c r="M28" s="15">
        <v>0.2</v>
      </c>
      <c r="N28" s="15"/>
      <c r="O28" s="15"/>
      <c r="P28" s="15">
        <v>449</v>
      </c>
      <c r="Q28" s="15">
        <v>32.1</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v>135</v>
      </c>
      <c r="C31" s="77">
        <f>IF(C$27="%w/w SAR",((C$28*10)*$B31),IF(C$27="%w/w DM",(((C$28*10)*($B$28/100))*$B31),IF(C$27="kg/t SAR",(C$28*$B31),IF(C$27="kg/t DM",((C$28*($B$28/100))*$B31),IF(C$27="mg/kg SAR",((C$28*0.001)*$B31),IF(C$27="mg/kg DM",(((C$28*0.001)*($B$28/100))*$B31),0))))))</f>
        <v>242.99999999999997</v>
      </c>
      <c r="D31" s="77">
        <f>(IF(D$27="%w/w SAR",((D$28*10)*$B31),IF(D$27="%w/w DM",(((D$28*10)*($B$28/100))*$B31),IF(D$27="kg/t SAR",(D$28*$B31),IF(D$27="kg/t DM",((D$28*($B$28/100))*$B31),IF(D$27="mg/kg SAR",((D$28*0.001)*$B31),IF(D$27="mg/kg DM",(((D$28*0.001)*($B$28/100))*$B31),"0")))))))*2.291</f>
        <v>2.6320153499999996</v>
      </c>
      <c r="E31" s="77">
        <f>(IF(E$27="%w/w SAR",((E$28*10)*$B31),IF(E$27="%w/w DM",(((E$28*10)*($B$28/100))*$B31),IF(E$27="kg/t SAR",(E$28*$B31),IF(E$27="kg/t DM",((E$28*($B$28/100))*$B31),IF(E$27="mg/kg SAR",((E$28*0.001)*$B31),IF(E$27="mg/kg DM",(((E$28*0.001)*($B$28/100))*$B31),"0")))))))*1.205</f>
        <v>13.990050000000002</v>
      </c>
      <c r="F31" s="77">
        <f>(IF(F$27="%w/w SAR",((F$28*10)*$B31),IF(F$27="%w/w DM",(((F$28*10)*($B$28/100))*$B31),IF(F$27="kg/t SAR",(F$28*$B31),IF(F$27="kg/t DM",((F$28*($B$28/100))*$B31),IF(F$27="mg/kg SAR",((F$28*0.001)*$B31),IF(F$27="mg/kg DM",(((F$28*0.001)*($B$28/100))*$B31),"0")))))))*1.658</f>
        <v>14.951843999999998</v>
      </c>
      <c r="G31" s="77">
        <f t="shared" ref="G31:P31" si="5">IF(G$27="%w/w SAR",((G$28*10)*$B31),IF(G$27="%w/w DM",(((G$28*10)*($B$28/100))*$B31),IF(G$27="kg/t SAR",(G$28*$B31),IF(G$27="kg/t DM",((G$28*($B$28/100))*$B31),IF(G$27="mg/kg SAR",((G$28*0.001)*$B31),IF(G$27="mg/kg DM",(((G$28*0.001)*($B$28/100))*$B31),0))))))</f>
        <v>2.7E-2</v>
      </c>
      <c r="H31" s="77">
        <f t="shared" si="5"/>
        <v>7.9379999999999992E-2</v>
      </c>
      <c r="I31" s="77">
        <f t="shared" si="5"/>
        <v>6.7500000000000004E-2</v>
      </c>
      <c r="J31" s="77">
        <f t="shared" si="5"/>
        <v>1.3500000000000001E-3</v>
      </c>
      <c r="K31" s="77">
        <f t="shared" si="5"/>
        <v>6.7499999999999999E-3</v>
      </c>
      <c r="L31" s="77">
        <f t="shared" si="5"/>
        <v>2.7E-2</v>
      </c>
      <c r="M31" s="77">
        <f t="shared" si="5"/>
        <v>2.7E-2</v>
      </c>
      <c r="N31" s="77">
        <f t="shared" si="5"/>
        <v>0</v>
      </c>
      <c r="O31" s="77">
        <f t="shared" si="5"/>
        <v>0</v>
      </c>
      <c r="P31" s="77">
        <f t="shared" si="5"/>
        <v>60.615000000000002</v>
      </c>
      <c r="Q31" s="77">
        <f>(IF(Q$27="%w/w SAR",((Q$28*10)*$B31),IF(Q$27="%w/w DM",(((Q$28*10)*($B$28/100))*$B31),IF(Q$27="kg/t SAR",(Q$28*$B31),IF(Q$27="kg/t DM",((Q$28*($B$28/100))*$B31),IF(Q$27="mg/kg SAR",((Q$28*0.001)*$B31),IF(Q$27="mg/kg DM",(((Q$28*0.001)*($B$28/100))*$B31),0)))))))*2.5</f>
        <v>10.833750000000002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v>135</v>
      </c>
      <c r="C32" s="77">
        <f t="shared" ref="C32:C50" si="6">IF(C$27="%w/w SAR",((C$28*10)*$B32),IF(C$27="%w/w DM",(((C$28*10)*($B$28/100))*$B32),IF(C$27="kg/t SAR",(C$28*$B32),IF(C$27="kg/t DM",((C$28*($B$28/100))*$B32),IF(C$27="mg/kg SAR",((C$28*0.001)*$B32),IF(C$27="mg/kg DM",(((C$28*0.001)*($B$28/100))*$B32),0))))))</f>
        <v>242.99999999999997</v>
      </c>
      <c r="D32" s="77">
        <f t="shared" ref="D32:D50" si="7">(IF(D$27="%w/w SAR",((D$28*10)*$B32),IF(D$27="%w/w DM",(((D$28*10)*($B$28/100))*$B32),IF(D$27="kg/t SAR",(D$28*$B32),IF(D$27="kg/t DM",((D$28*($B$28/100))*$B32),IF(D$27="mg/kg SAR",((D$28*0.001)*$B32),IF(D$27="mg/kg DM",(((D$28*0.001)*($B$28/100))*$B32),"0")))))))*2.291</f>
        <v>2.6320153499999996</v>
      </c>
      <c r="E32" s="77">
        <f t="shared" ref="E32:E50" si="8">(IF(E$27="%w/w SAR",((E$28*10)*$B32),IF(E$27="%w/w DM",(((E$28*10)*($B$28/100))*$B32),IF(E$27="kg/t SAR",(E$28*$B32),IF(E$27="kg/t DM",((E$28*($B$28/100))*$B32),IF(E$27="mg/kg SAR",((E$28*0.001)*$B32),IF(E$27="mg/kg DM",(((E$28*0.001)*($B$28/100))*$B32),"0")))))))*1.205</f>
        <v>13.990050000000002</v>
      </c>
      <c r="F32" s="77">
        <f t="shared" ref="F32:F50" si="9">(IF(F$27="%w/w SAR",((F$28*10)*$B32),IF(F$27="%w/w DM",(((F$28*10)*($B$28/100))*$B32),IF(F$27="kg/t SAR",(F$28*$B32),IF(F$27="kg/t DM",((F$28*($B$28/100))*$B32),IF(F$27="mg/kg SAR",((F$28*0.001)*$B32),IF(F$27="mg/kg DM",(((F$28*0.001)*($B$28/100))*$B32),"0")))))))*1.658</f>
        <v>14.951843999999998</v>
      </c>
      <c r="G32" s="77">
        <f t="shared" ref="G32:P50" si="10">IF(G$27="%w/w SAR",((G$28*10)*$B32),IF(G$27="%w/w DM",(((G$28*10)*($B$28/100))*$B32),IF(G$27="kg/t SAR",(G$28*$B32),IF(G$27="kg/t DM",((G$28*($B$28/100))*$B32),IF(G$27="mg/kg SAR",((G$28*0.001)*$B32),IF(G$27="mg/kg DM",(((G$28*0.001)*($B$28/100))*$B32),0))))))</f>
        <v>2.7E-2</v>
      </c>
      <c r="H32" s="77">
        <f t="shared" si="10"/>
        <v>7.9379999999999992E-2</v>
      </c>
      <c r="I32" s="77">
        <f t="shared" si="10"/>
        <v>6.7500000000000004E-2</v>
      </c>
      <c r="J32" s="77">
        <f t="shared" si="10"/>
        <v>1.3500000000000001E-3</v>
      </c>
      <c r="K32" s="77">
        <f t="shared" si="10"/>
        <v>6.7499999999999999E-3</v>
      </c>
      <c r="L32" s="77">
        <f t="shared" si="10"/>
        <v>2.7E-2</v>
      </c>
      <c r="M32" s="77">
        <f t="shared" si="10"/>
        <v>2.7E-2</v>
      </c>
      <c r="N32" s="77">
        <f t="shared" si="10"/>
        <v>0</v>
      </c>
      <c r="O32" s="77">
        <f t="shared" si="10"/>
        <v>0</v>
      </c>
      <c r="P32" s="77">
        <f t="shared" si="10"/>
        <v>60.615000000000002</v>
      </c>
      <c r="Q32" s="77">
        <f t="shared" ref="Q32:Q50" si="11">(IF(Q$27="%w/w SAR",((Q$28*10)*$B32),IF(Q$27="%w/w DM",(((Q$28*10)*($B$28/100))*$B32),IF(Q$27="kg/t SAR",(Q$28*$B32),IF(Q$27="kg/t DM",((Q$28*($B$28/100))*$B32),IF(Q$27="mg/kg SAR",((Q$28*0.001)*$B32),IF(Q$27="mg/kg DM",(((Q$28*0.001)*($B$28/100))*$B32),0)))))))*2.5</f>
        <v>10.833750000000002</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B3</v>
      </c>
      <c r="B33" s="15">
        <v>135</v>
      </c>
      <c r="C33" s="77">
        <f t="shared" si="6"/>
        <v>242.99999999999997</v>
      </c>
      <c r="D33" s="77">
        <f t="shared" si="7"/>
        <v>2.6320153499999996</v>
      </c>
      <c r="E33" s="77">
        <f t="shared" si="8"/>
        <v>13.990050000000002</v>
      </c>
      <c r="F33" s="77">
        <f t="shared" si="9"/>
        <v>14.951843999999998</v>
      </c>
      <c r="G33" s="77">
        <f t="shared" si="10"/>
        <v>2.7E-2</v>
      </c>
      <c r="H33" s="77">
        <f t="shared" si="10"/>
        <v>7.9379999999999992E-2</v>
      </c>
      <c r="I33" s="77">
        <f t="shared" si="10"/>
        <v>6.7500000000000004E-2</v>
      </c>
      <c r="J33" s="77">
        <f t="shared" si="10"/>
        <v>1.3500000000000001E-3</v>
      </c>
      <c r="K33" s="77">
        <f t="shared" si="10"/>
        <v>6.7499999999999999E-3</v>
      </c>
      <c r="L33" s="77">
        <f t="shared" si="10"/>
        <v>2.7E-2</v>
      </c>
      <c r="M33" s="77">
        <f t="shared" si="10"/>
        <v>2.7E-2</v>
      </c>
      <c r="N33" s="77">
        <f t="shared" si="10"/>
        <v>0</v>
      </c>
      <c r="O33" s="77">
        <f t="shared" si="10"/>
        <v>0</v>
      </c>
      <c r="P33" s="77">
        <f t="shared" si="10"/>
        <v>60.615000000000002</v>
      </c>
      <c r="Q33" s="77">
        <f t="shared" si="11"/>
        <v>10.833750000000002</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B4</v>
      </c>
      <c r="B34" s="15">
        <v>135</v>
      </c>
      <c r="C34" s="77">
        <f t="shared" si="6"/>
        <v>242.99999999999997</v>
      </c>
      <c r="D34" s="77">
        <f t="shared" si="7"/>
        <v>2.6320153499999996</v>
      </c>
      <c r="E34" s="77">
        <f t="shared" si="8"/>
        <v>13.990050000000002</v>
      </c>
      <c r="F34" s="77">
        <f t="shared" si="9"/>
        <v>14.951843999999998</v>
      </c>
      <c r="G34" s="77">
        <f t="shared" si="10"/>
        <v>2.7E-2</v>
      </c>
      <c r="H34" s="77">
        <f t="shared" si="10"/>
        <v>7.9379999999999992E-2</v>
      </c>
      <c r="I34" s="77">
        <f t="shared" si="10"/>
        <v>6.7500000000000004E-2</v>
      </c>
      <c r="J34" s="77">
        <f t="shared" si="10"/>
        <v>1.3500000000000001E-3</v>
      </c>
      <c r="K34" s="77">
        <f t="shared" si="10"/>
        <v>6.7499999999999999E-3</v>
      </c>
      <c r="L34" s="77">
        <f t="shared" si="10"/>
        <v>2.7E-2</v>
      </c>
      <c r="M34" s="77">
        <f t="shared" si="10"/>
        <v>2.7E-2</v>
      </c>
      <c r="N34" s="77">
        <f t="shared" si="10"/>
        <v>0</v>
      </c>
      <c r="O34" s="77">
        <f t="shared" si="10"/>
        <v>0</v>
      </c>
      <c r="P34" s="77">
        <f t="shared" si="10"/>
        <v>60.615000000000002</v>
      </c>
      <c r="Q34" s="77">
        <f t="shared" si="11"/>
        <v>10.833750000000002</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B5</v>
      </c>
      <c r="B35" s="15">
        <v>135</v>
      </c>
      <c r="C35" s="77">
        <f t="shared" si="6"/>
        <v>242.99999999999997</v>
      </c>
      <c r="D35" s="77">
        <f t="shared" si="7"/>
        <v>2.6320153499999996</v>
      </c>
      <c r="E35" s="77">
        <f t="shared" si="8"/>
        <v>13.990050000000002</v>
      </c>
      <c r="F35" s="77">
        <f t="shared" si="9"/>
        <v>14.951843999999998</v>
      </c>
      <c r="G35" s="77">
        <f t="shared" si="10"/>
        <v>2.7E-2</v>
      </c>
      <c r="H35" s="77">
        <f t="shared" si="10"/>
        <v>7.9379999999999992E-2</v>
      </c>
      <c r="I35" s="77">
        <f t="shared" si="10"/>
        <v>6.7500000000000004E-2</v>
      </c>
      <c r="J35" s="77">
        <f t="shared" si="10"/>
        <v>1.3500000000000001E-3</v>
      </c>
      <c r="K35" s="77">
        <f t="shared" si="10"/>
        <v>6.7499999999999999E-3</v>
      </c>
      <c r="L35" s="77">
        <f t="shared" si="10"/>
        <v>2.7E-2</v>
      </c>
      <c r="M35" s="77">
        <f t="shared" si="10"/>
        <v>2.7E-2</v>
      </c>
      <c r="N35" s="77">
        <f t="shared" si="10"/>
        <v>0</v>
      </c>
      <c r="O35" s="77">
        <f t="shared" si="10"/>
        <v>0</v>
      </c>
      <c r="P35" s="77">
        <f t="shared" si="10"/>
        <v>60.615000000000002</v>
      </c>
      <c r="Q35" s="77">
        <f t="shared" si="11"/>
        <v>10.833750000000002</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S1</v>
      </c>
      <c r="B36" s="15">
        <v>135</v>
      </c>
      <c r="C36" s="77">
        <f t="shared" si="6"/>
        <v>242.99999999999997</v>
      </c>
      <c r="D36" s="77">
        <f t="shared" si="7"/>
        <v>2.6320153499999996</v>
      </c>
      <c r="E36" s="77">
        <f t="shared" si="8"/>
        <v>13.990050000000002</v>
      </c>
      <c r="F36" s="77">
        <f t="shared" si="9"/>
        <v>14.951843999999998</v>
      </c>
      <c r="G36" s="77">
        <f t="shared" si="10"/>
        <v>2.7E-2</v>
      </c>
      <c r="H36" s="77">
        <f t="shared" si="10"/>
        <v>7.9379999999999992E-2</v>
      </c>
      <c r="I36" s="77">
        <f t="shared" si="10"/>
        <v>6.7500000000000004E-2</v>
      </c>
      <c r="J36" s="77">
        <f t="shared" si="10"/>
        <v>1.3500000000000001E-3</v>
      </c>
      <c r="K36" s="77">
        <f t="shared" si="10"/>
        <v>6.7499999999999999E-3</v>
      </c>
      <c r="L36" s="77">
        <f t="shared" si="10"/>
        <v>2.7E-2</v>
      </c>
      <c r="M36" s="77">
        <f t="shared" si="10"/>
        <v>2.7E-2</v>
      </c>
      <c r="N36" s="77">
        <f t="shared" si="10"/>
        <v>0</v>
      </c>
      <c r="O36" s="77">
        <f t="shared" si="10"/>
        <v>0</v>
      </c>
      <c r="P36" s="77">
        <f t="shared" si="10"/>
        <v>60.615000000000002</v>
      </c>
      <c r="Q36" s="77">
        <f t="shared" si="11"/>
        <v>10.833750000000002</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S2</v>
      </c>
      <c r="B37" s="15">
        <v>135</v>
      </c>
      <c r="C37" s="77">
        <f t="shared" si="6"/>
        <v>242.99999999999997</v>
      </c>
      <c r="D37" s="77">
        <f t="shared" si="7"/>
        <v>2.6320153499999996</v>
      </c>
      <c r="E37" s="77">
        <f t="shared" si="8"/>
        <v>13.990050000000002</v>
      </c>
      <c r="F37" s="77">
        <f t="shared" si="9"/>
        <v>14.951843999999998</v>
      </c>
      <c r="G37" s="77">
        <f t="shared" si="10"/>
        <v>2.7E-2</v>
      </c>
      <c r="H37" s="77">
        <f t="shared" si="10"/>
        <v>7.9379999999999992E-2</v>
      </c>
      <c r="I37" s="77">
        <f t="shared" si="10"/>
        <v>6.7500000000000004E-2</v>
      </c>
      <c r="J37" s="77">
        <f t="shared" si="10"/>
        <v>1.3500000000000001E-3</v>
      </c>
      <c r="K37" s="77">
        <f t="shared" si="10"/>
        <v>6.7499999999999999E-3</v>
      </c>
      <c r="L37" s="77">
        <f t="shared" si="10"/>
        <v>2.7E-2</v>
      </c>
      <c r="M37" s="77">
        <f t="shared" si="10"/>
        <v>2.7E-2</v>
      </c>
      <c r="N37" s="77">
        <f t="shared" si="10"/>
        <v>0</v>
      </c>
      <c r="O37" s="77">
        <f t="shared" si="10"/>
        <v>0</v>
      </c>
      <c r="P37" s="77">
        <f t="shared" si="10"/>
        <v>60.615000000000002</v>
      </c>
      <c r="Q37" s="77">
        <f t="shared" si="11"/>
        <v>10.833750000000002</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S3</v>
      </c>
      <c r="B38" s="15">
        <v>135</v>
      </c>
      <c r="C38" s="77">
        <f t="shared" si="6"/>
        <v>242.99999999999997</v>
      </c>
      <c r="D38" s="77">
        <f t="shared" si="7"/>
        <v>2.6320153499999996</v>
      </c>
      <c r="E38" s="77">
        <f t="shared" si="8"/>
        <v>13.990050000000002</v>
      </c>
      <c r="F38" s="77">
        <f t="shared" si="9"/>
        <v>14.951843999999998</v>
      </c>
      <c r="G38" s="77">
        <f t="shared" si="10"/>
        <v>2.7E-2</v>
      </c>
      <c r="H38" s="77">
        <f t="shared" si="10"/>
        <v>7.9379999999999992E-2</v>
      </c>
      <c r="I38" s="77">
        <f t="shared" si="10"/>
        <v>6.7500000000000004E-2</v>
      </c>
      <c r="J38" s="77">
        <f t="shared" si="10"/>
        <v>1.3500000000000001E-3</v>
      </c>
      <c r="K38" s="77">
        <f t="shared" si="10"/>
        <v>6.7499999999999999E-3</v>
      </c>
      <c r="L38" s="77">
        <f t="shared" si="10"/>
        <v>2.7E-2</v>
      </c>
      <c r="M38" s="77">
        <f t="shared" si="10"/>
        <v>2.7E-2</v>
      </c>
      <c r="N38" s="77">
        <f t="shared" si="10"/>
        <v>0</v>
      </c>
      <c r="O38" s="77">
        <f t="shared" si="10"/>
        <v>0</v>
      </c>
      <c r="P38" s="77">
        <f t="shared" si="10"/>
        <v>60.615000000000002</v>
      </c>
      <c r="Q38" s="77">
        <f t="shared" si="11"/>
        <v>10.833750000000002</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S4</v>
      </c>
      <c r="B39" s="15">
        <v>135</v>
      </c>
      <c r="C39" s="77">
        <f t="shared" si="6"/>
        <v>242.99999999999997</v>
      </c>
      <c r="D39" s="77">
        <f t="shared" si="7"/>
        <v>2.6320153499999996</v>
      </c>
      <c r="E39" s="77">
        <f t="shared" si="8"/>
        <v>13.990050000000002</v>
      </c>
      <c r="F39" s="77">
        <f t="shared" si="9"/>
        <v>14.951843999999998</v>
      </c>
      <c r="G39" s="77">
        <f t="shared" si="10"/>
        <v>2.7E-2</v>
      </c>
      <c r="H39" s="77">
        <f t="shared" si="10"/>
        <v>7.9379999999999992E-2</v>
      </c>
      <c r="I39" s="77">
        <f t="shared" si="10"/>
        <v>6.7500000000000004E-2</v>
      </c>
      <c r="J39" s="77">
        <f t="shared" si="10"/>
        <v>1.3500000000000001E-3</v>
      </c>
      <c r="K39" s="77">
        <f t="shared" si="10"/>
        <v>6.7499999999999999E-3</v>
      </c>
      <c r="L39" s="77">
        <f t="shared" si="10"/>
        <v>2.7E-2</v>
      </c>
      <c r="M39" s="77">
        <f t="shared" si="10"/>
        <v>2.7E-2</v>
      </c>
      <c r="N39" s="77">
        <f t="shared" si="10"/>
        <v>0</v>
      </c>
      <c r="O39" s="77">
        <f t="shared" si="10"/>
        <v>0</v>
      </c>
      <c r="P39" s="77">
        <f t="shared" si="10"/>
        <v>60.615000000000002</v>
      </c>
      <c r="Q39" s="77">
        <f t="shared" si="11"/>
        <v>10.833750000000002</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S5</v>
      </c>
      <c r="B40" s="15">
        <v>135</v>
      </c>
      <c r="C40" s="77">
        <f t="shared" si="6"/>
        <v>242.99999999999997</v>
      </c>
      <c r="D40" s="77">
        <f t="shared" si="7"/>
        <v>2.6320153499999996</v>
      </c>
      <c r="E40" s="77">
        <f t="shared" si="8"/>
        <v>13.990050000000002</v>
      </c>
      <c r="F40" s="77">
        <f t="shared" si="9"/>
        <v>14.951843999999998</v>
      </c>
      <c r="G40" s="77">
        <f t="shared" si="10"/>
        <v>2.7E-2</v>
      </c>
      <c r="H40" s="77">
        <f t="shared" si="10"/>
        <v>7.9379999999999992E-2</v>
      </c>
      <c r="I40" s="77">
        <f t="shared" si="10"/>
        <v>6.7500000000000004E-2</v>
      </c>
      <c r="J40" s="77">
        <f t="shared" si="10"/>
        <v>1.3500000000000001E-3</v>
      </c>
      <c r="K40" s="77">
        <f t="shared" si="10"/>
        <v>6.7499999999999999E-3</v>
      </c>
      <c r="L40" s="77">
        <f t="shared" si="10"/>
        <v>2.7E-2</v>
      </c>
      <c r="M40" s="77">
        <f t="shared" si="10"/>
        <v>2.7E-2</v>
      </c>
      <c r="N40" s="77">
        <f t="shared" si="10"/>
        <v>0</v>
      </c>
      <c r="O40" s="77">
        <f t="shared" si="10"/>
        <v>0</v>
      </c>
      <c r="P40" s="77">
        <f t="shared" si="10"/>
        <v>60.615000000000002</v>
      </c>
      <c r="Q40" s="77">
        <f t="shared" si="11"/>
        <v>10.833750000000002</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Sandy Loam I Grass</v>
      </c>
      <c r="C58" s="13" t="str">
        <f>D16&amp;" I "&amp;(VLOOKUP(D14,Table24[],6,FALSE))</f>
        <v>Sandy Loam I Arable</v>
      </c>
      <c r="D58" s="13" t="str">
        <f>E16&amp;" I "&amp;(VLOOKUP(E14,Table24[],6,FALSE))</f>
        <v>Sandy Loam I Arable</v>
      </c>
      <c r="E58" s="13" t="str">
        <f>F16&amp;" I "&amp;(VLOOKUP(F14,Table24[],6,FALSE))</f>
        <v>Sandy Loam I Arable</v>
      </c>
      <c r="F58" s="13" t="str">
        <f>G16&amp;" I "&amp;(VLOOKUP(G14,Table24[],6,FALSE))</f>
        <v>Sandy Loam I Arable</v>
      </c>
      <c r="G58" s="13" t="str">
        <f>H16&amp;" I "&amp;(VLOOKUP(H14,Table24[],6,FALSE))</f>
        <v>Sandy Loam I Grass</v>
      </c>
      <c r="H58" s="13" t="str">
        <f>I16&amp;" I "&amp;(VLOOKUP(I14,Table24[],6,FALSE))</f>
        <v>Sandy Loam I Grass</v>
      </c>
      <c r="I58" s="13" t="str">
        <f>J16&amp;" I "&amp;(VLOOKUP(J14,Table24[],6,FALSE))</f>
        <v>Sandy Loam I Grass</v>
      </c>
      <c r="J58" s="13" t="str">
        <f>K16&amp;" I "&amp;(VLOOKUP(K14,Table24[],6,FALSE))</f>
        <v>Sandy Loam I Grass</v>
      </c>
      <c r="K58" s="13" t="str">
        <f>L16&amp;" I "&amp;(VLOOKUP(L14,Table24[],6,FALSE))</f>
        <v>Sandy Loam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6.7</v>
      </c>
      <c r="D59" s="76">
        <f>VLOOKUP(E$14,Table24[],5,FALSE)</f>
        <v>6.7</v>
      </c>
      <c r="E59" s="76">
        <f>VLOOKUP(F$14,Table24[],5,FALSE)</f>
        <v>6.7</v>
      </c>
      <c r="F59" s="76">
        <f>VLOOKUP(G$14,Table24[],5,FALSE)</f>
        <v>6.7</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135</v>
      </c>
      <c r="C62" s="77">
        <f>B32</f>
        <v>135</v>
      </c>
      <c r="D62" s="77">
        <f>B33</f>
        <v>135</v>
      </c>
      <c r="E62" s="77">
        <f>B34</f>
        <v>135</v>
      </c>
      <c r="F62" s="77">
        <f>B35</f>
        <v>135</v>
      </c>
      <c r="G62" s="77">
        <f>B36</f>
        <v>135</v>
      </c>
      <c r="H62" s="77">
        <f>B37</f>
        <v>135</v>
      </c>
      <c r="I62" s="77">
        <f>B38</f>
        <v>135</v>
      </c>
      <c r="J62" s="77">
        <f>B39</f>
        <v>135</v>
      </c>
      <c r="K62" s="77">
        <f>B40</f>
        <v>135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49" sqref="D4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v>6.01</v>
      </c>
      <c r="J1" s="127" t="s">
        <v>153</v>
      </c>
      <c r="K1" s="127"/>
      <c r="L1" s="97">
        <v>648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176</v>
      </c>
      <c r="G2" s="125" t="s">
        <v>110</v>
      </c>
      <c r="H2" s="126"/>
      <c r="I2" s="118">
        <v>1818</v>
      </c>
      <c r="J2" s="127" t="s">
        <v>158</v>
      </c>
      <c r="K2" s="127"/>
      <c r="L2" s="97">
        <v>0.3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v>12720</v>
      </c>
      <c r="J3" s="123" t="s">
        <v>154</v>
      </c>
      <c r="K3" s="124"/>
      <c r="L3" s="97">
        <f>(L1/(L2*10000))*100</f>
        <v>21.6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t="s">
        <v>177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49.485600000000005</v>
      </c>
      <c r="D18" s="16">
        <f>$D32</f>
        <v>49.485600000000005</v>
      </c>
      <c r="E18" s="16">
        <f>$D33</f>
        <v>49.485600000000005</v>
      </c>
      <c r="F18" s="16">
        <f>$D34</f>
        <v>49.485600000000005</v>
      </c>
      <c r="G18" s="16">
        <f>$D35</f>
        <v>49.485600000000005</v>
      </c>
      <c r="H18" s="16">
        <f>$D36</f>
        <v>49.485600000000005</v>
      </c>
      <c r="I18" s="16">
        <f>$D37</f>
        <v>49.485600000000005</v>
      </c>
      <c r="J18" s="16">
        <f>$D38</f>
        <v>49.485600000000005</v>
      </c>
      <c r="K18" s="16">
        <f>$D39</f>
        <v>49.485600000000005</v>
      </c>
      <c r="L18" s="16">
        <f>$D40</f>
        <v>49.485600000000005</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-15.114399999999989</v>
      </c>
      <c r="D19" s="16">
        <f t="shared" ref="D19:V19" si="1">D18-D17</f>
        <v>-6.5143999999999949</v>
      </c>
      <c r="E19" s="16">
        <f t="shared" si="1"/>
        <v>-64.514399999999995</v>
      </c>
      <c r="F19" s="16">
        <f t="shared" si="1"/>
        <v>-1.5143999999999949</v>
      </c>
      <c r="G19" s="16">
        <f t="shared" si="1"/>
        <v>-6.5143999999999949</v>
      </c>
      <c r="H19" s="16">
        <f t="shared" si="1"/>
        <v>-15.114399999999989</v>
      </c>
      <c r="I19" s="16">
        <f t="shared" si="1"/>
        <v>-15.114399999999989</v>
      </c>
      <c r="J19" s="16">
        <f t="shared" si="1"/>
        <v>-15.114399999999989</v>
      </c>
      <c r="K19" s="16">
        <f t="shared" si="1"/>
        <v>-15.114399999999989</v>
      </c>
      <c r="L19" s="16">
        <f t="shared" si="1"/>
        <v>-15.114399999999989</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15.725250000000003</v>
      </c>
      <c r="D22" s="16">
        <f>$E32</f>
        <v>15.725250000000003</v>
      </c>
      <c r="E22" s="16">
        <f>$E33</f>
        <v>15.725250000000003</v>
      </c>
      <c r="F22" s="16">
        <f>$E34</f>
        <v>15.725250000000003</v>
      </c>
      <c r="G22" s="16">
        <f>$E35</f>
        <v>15.725250000000003</v>
      </c>
      <c r="H22" s="16">
        <f>$E36</f>
        <v>15.725250000000003</v>
      </c>
      <c r="I22" s="16">
        <f>$E37</f>
        <v>15.725250000000003</v>
      </c>
      <c r="J22" s="16">
        <f>$E38</f>
        <v>15.725250000000003</v>
      </c>
      <c r="K22" s="16">
        <f>$E39</f>
        <v>15.725250000000003</v>
      </c>
      <c r="L22" s="16">
        <f>$E40</f>
        <v>15.725250000000003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-212.27474999999998</v>
      </c>
      <c r="D23" s="16">
        <f t="shared" ref="D23:V23" si="3">D22-D21</f>
        <v>-160.27474999999998</v>
      </c>
      <c r="E23" s="16">
        <f t="shared" si="3"/>
        <v>-434.27474999999998</v>
      </c>
      <c r="F23" s="16">
        <f t="shared" si="3"/>
        <v>-56.274749999999997</v>
      </c>
      <c r="G23" s="16">
        <f t="shared" si="3"/>
        <v>-160.27474999999998</v>
      </c>
      <c r="H23" s="16">
        <f t="shared" si="3"/>
        <v>-212.27474999999998</v>
      </c>
      <c r="I23" s="16">
        <f t="shared" si="3"/>
        <v>-212.27474999999998</v>
      </c>
      <c r="J23" s="16">
        <f t="shared" si="3"/>
        <v>-212.27474999999998</v>
      </c>
      <c r="K23" s="16">
        <f t="shared" si="3"/>
        <v>-212.27474999999998</v>
      </c>
      <c r="L23" s="16">
        <f t="shared" si="3"/>
        <v>-212.27474999999998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5.12</v>
      </c>
      <c r="C28" s="15">
        <v>0.3</v>
      </c>
      <c r="D28" s="15">
        <v>864</v>
      </c>
      <c r="E28" s="15">
        <v>522</v>
      </c>
      <c r="F28" s="15">
        <v>62.9</v>
      </c>
      <c r="G28" s="15">
        <v>2.34</v>
      </c>
      <c r="H28" s="15">
        <v>53.9</v>
      </c>
      <c r="I28" s="15">
        <v>3.21</v>
      </c>
      <c r="J28" s="15">
        <v>4.9000000000000002E-2</v>
      </c>
      <c r="K28" s="23">
        <v>0.05</v>
      </c>
      <c r="L28" s="15">
        <v>0.78</v>
      </c>
      <c r="M28" s="15">
        <v>0.93400000000000005</v>
      </c>
      <c r="N28" s="15"/>
      <c r="O28" s="15"/>
      <c r="P28" s="15">
        <v>1527</v>
      </c>
      <c r="Q28" s="15">
        <v>894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v>25</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49.485600000000005</v>
      </c>
      <c r="E31" s="77">
        <f>(IF(E$27="%w/w SAR",((E$28*10)*$B31),IF(E$27="%w/w DM",(((E$28*10)*($B$28/100))*$B31),IF(E$27="kg/t SAR",(E$28*$B31),IF(E$27="kg/t DM",((E$28*($B$28/100))*$B31),IF(E$27="mg/kg SAR",((E$28*0.001)*$B31),IF(E$27="mg/kg DM",(((E$28*0.001)*($B$28/100))*$B31),"0")))))))*1.205</f>
        <v>15.725250000000003</v>
      </c>
      <c r="F31" s="77">
        <f>(IF(F$27="%w/w SAR",((F$28*10)*$B31),IF(F$27="%w/w DM",(((F$28*10)*($B$28/100))*$B31),IF(F$27="kg/t SAR",(F$28*$B31),IF(F$27="kg/t DM",((F$28*($B$28/100))*$B31),IF(F$27="mg/kg SAR",((F$28*0.001)*$B31),IF(F$27="mg/kg DM",(((F$28*0.001)*($B$28/100))*$B31),"0")))))))*1.658</f>
        <v>2.607205</v>
      </c>
      <c r="G31" s="77">
        <f t="shared" ref="G31:P46" si="5">IF(G$27="%w/w SAR",((G$28*10)*$B31),IF(G$27="%w/w DM",(((G$28*10)*($B$28/100))*$B31),IF(G$27="kg/t SAR",(G$28*$B31),IF(G$27="kg/t DM",((G$28*($B$28/100))*$B31),IF(G$27="mg/kg SAR",((G$28*0.001)*$B31),IF(G$27="mg/kg DM",(((G$28*0.001)*($B$28/100))*$B31),0))))))</f>
        <v>5.8500000000000003E-2</v>
      </c>
      <c r="H31" s="77">
        <f t="shared" si="5"/>
        <v>1.3474999999999999</v>
      </c>
      <c r="I31" s="77">
        <f t="shared" si="5"/>
        <v>8.0250000000000002E-2</v>
      </c>
      <c r="J31" s="77">
        <f t="shared" si="5"/>
        <v>1.2250000000000002E-3</v>
      </c>
      <c r="K31" s="77">
        <f t="shared" si="5"/>
        <v>1.25E-3</v>
      </c>
      <c r="L31" s="77">
        <f t="shared" si="5"/>
        <v>1.9500000000000003E-2</v>
      </c>
      <c r="M31" s="77">
        <f t="shared" si="5"/>
        <v>2.3350000000000003E-2</v>
      </c>
      <c r="N31" s="77">
        <f t="shared" si="5"/>
        <v>0</v>
      </c>
      <c r="O31" s="77">
        <f t="shared" si="5"/>
        <v>0</v>
      </c>
      <c r="P31" s="77">
        <f t="shared" si="5"/>
        <v>38.175000000000004</v>
      </c>
      <c r="Q31" s="77">
        <f>(IF(Q$27="%w/w SAR",((Q$28*10)*$B31),IF(Q$27="%w/w DM",(((Q$28*10)*($B$28/100))*$B31),IF(Q$27="kg/t SAR",(Q$28*$B31),IF(Q$27="kg/t DM",((Q$28*($B$28/100))*$B31),IF(Q$27="mg/kg SAR",((Q$28*0.001)*$B31),IF(Q$27="mg/kg DM",(((Q$28*0.001)*($B$28/100))*$B31),0)))))))*2.5</f>
        <v>55.875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v>25</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49.485600000000005</v>
      </c>
      <c r="E32" s="77">
        <f t="shared" ref="E32:E50" si="8">(IF(E$27="%w/w SAR",((E$28*10)*$B32),IF(E$27="%w/w DM",(((E$28*10)*($B$28/100))*$B32),IF(E$27="kg/t SAR",(E$28*$B32),IF(E$27="kg/t DM",((E$28*($B$28/100))*$B32),IF(E$27="mg/kg SAR",((E$28*0.001)*$B32),IF(E$27="mg/kg DM",(((E$28*0.001)*($B$28/100))*$B32),"0")))))))*1.205</f>
        <v>15.725250000000003</v>
      </c>
      <c r="F32" s="77">
        <f t="shared" ref="F32:F50" si="9">(IF(F$27="%w/w SAR",((F$28*10)*$B32),IF(F$27="%w/w DM",(((F$28*10)*($B$28/100))*$B32),IF(F$27="kg/t SAR",(F$28*$B32),IF(F$27="kg/t DM",((F$28*($B$28/100))*$B32),IF(F$27="mg/kg SAR",((F$28*0.001)*$B32),IF(F$27="mg/kg DM",(((F$28*0.001)*($B$28/100))*$B32),"0")))))))*1.658</f>
        <v>2.607205</v>
      </c>
      <c r="G32" s="77">
        <f t="shared" si="5"/>
        <v>5.8500000000000003E-2</v>
      </c>
      <c r="H32" s="77">
        <f t="shared" si="5"/>
        <v>1.3474999999999999</v>
      </c>
      <c r="I32" s="77">
        <f t="shared" si="5"/>
        <v>8.0250000000000002E-2</v>
      </c>
      <c r="J32" s="77">
        <f t="shared" si="5"/>
        <v>1.2250000000000002E-3</v>
      </c>
      <c r="K32" s="77">
        <f t="shared" si="5"/>
        <v>1.25E-3</v>
      </c>
      <c r="L32" s="77">
        <f t="shared" si="5"/>
        <v>1.9500000000000003E-2</v>
      </c>
      <c r="M32" s="77">
        <f t="shared" si="5"/>
        <v>2.3350000000000003E-2</v>
      </c>
      <c r="N32" s="77">
        <f t="shared" si="5"/>
        <v>0</v>
      </c>
      <c r="O32" s="77">
        <f t="shared" si="5"/>
        <v>0</v>
      </c>
      <c r="P32" s="77">
        <f t="shared" si="5"/>
        <v>38.175000000000004</v>
      </c>
      <c r="Q32" s="77">
        <f t="shared" ref="Q32:Q50" si="10">(IF(Q$27="%w/w SAR",((Q$28*10)*$B32),IF(Q$27="%w/w DM",(((Q$28*10)*($B$28/100))*$B32),IF(Q$27="kg/t SAR",(Q$28*$B32),IF(Q$27="kg/t DM",((Q$28*($B$28/100))*$B32),IF(Q$27="mg/kg SAR",((Q$28*0.001)*$B32),IF(Q$27="mg/kg DM",(((Q$28*0.001)*($B$28/100))*$B32),0)))))))*2.5</f>
        <v>55.875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v>25</v>
      </c>
      <c r="C33" s="77">
        <f t="shared" si="6"/>
        <v>75</v>
      </c>
      <c r="D33" s="77">
        <f t="shared" si="7"/>
        <v>49.485600000000005</v>
      </c>
      <c r="E33" s="77">
        <f t="shared" si="8"/>
        <v>15.725250000000003</v>
      </c>
      <c r="F33" s="77">
        <f t="shared" si="9"/>
        <v>2.607205</v>
      </c>
      <c r="G33" s="77">
        <f t="shared" si="5"/>
        <v>5.8500000000000003E-2</v>
      </c>
      <c r="H33" s="77">
        <f t="shared" si="5"/>
        <v>1.3474999999999999</v>
      </c>
      <c r="I33" s="77">
        <f t="shared" si="5"/>
        <v>8.0250000000000002E-2</v>
      </c>
      <c r="J33" s="77">
        <f t="shared" si="5"/>
        <v>1.2250000000000002E-3</v>
      </c>
      <c r="K33" s="77">
        <f t="shared" si="5"/>
        <v>1.25E-3</v>
      </c>
      <c r="L33" s="77">
        <f t="shared" si="5"/>
        <v>1.9500000000000003E-2</v>
      </c>
      <c r="M33" s="77">
        <f t="shared" si="5"/>
        <v>2.3350000000000003E-2</v>
      </c>
      <c r="N33" s="77">
        <f t="shared" si="5"/>
        <v>0</v>
      </c>
      <c r="O33" s="77">
        <f t="shared" si="5"/>
        <v>0</v>
      </c>
      <c r="P33" s="77">
        <f t="shared" si="5"/>
        <v>38.175000000000004</v>
      </c>
      <c r="Q33" s="77">
        <f t="shared" si="10"/>
        <v>55.875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v>25</v>
      </c>
      <c r="C34" s="77">
        <f t="shared" si="6"/>
        <v>75</v>
      </c>
      <c r="D34" s="77">
        <f t="shared" si="7"/>
        <v>49.485600000000005</v>
      </c>
      <c r="E34" s="77">
        <f t="shared" si="8"/>
        <v>15.725250000000003</v>
      </c>
      <c r="F34" s="77">
        <f t="shared" si="9"/>
        <v>2.607205</v>
      </c>
      <c r="G34" s="77">
        <f t="shared" si="5"/>
        <v>5.8500000000000003E-2</v>
      </c>
      <c r="H34" s="77">
        <f t="shared" si="5"/>
        <v>1.3474999999999999</v>
      </c>
      <c r="I34" s="77">
        <f t="shared" si="5"/>
        <v>8.0250000000000002E-2</v>
      </c>
      <c r="J34" s="77">
        <f t="shared" si="5"/>
        <v>1.2250000000000002E-3</v>
      </c>
      <c r="K34" s="77">
        <f t="shared" si="5"/>
        <v>1.25E-3</v>
      </c>
      <c r="L34" s="77">
        <f t="shared" si="5"/>
        <v>1.9500000000000003E-2</v>
      </c>
      <c r="M34" s="77">
        <f t="shared" si="5"/>
        <v>2.3350000000000003E-2</v>
      </c>
      <c r="N34" s="77">
        <f t="shared" si="5"/>
        <v>0</v>
      </c>
      <c r="O34" s="77">
        <f t="shared" si="5"/>
        <v>0</v>
      </c>
      <c r="P34" s="77">
        <f t="shared" si="5"/>
        <v>38.175000000000004</v>
      </c>
      <c r="Q34" s="77">
        <f t="shared" si="10"/>
        <v>55.875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v>25</v>
      </c>
      <c r="C35" s="77">
        <f t="shared" si="6"/>
        <v>75</v>
      </c>
      <c r="D35" s="77">
        <f t="shared" si="7"/>
        <v>49.485600000000005</v>
      </c>
      <c r="E35" s="77">
        <f t="shared" si="8"/>
        <v>15.725250000000003</v>
      </c>
      <c r="F35" s="77">
        <f t="shared" si="9"/>
        <v>2.607205</v>
      </c>
      <c r="G35" s="77">
        <f t="shared" si="5"/>
        <v>5.8500000000000003E-2</v>
      </c>
      <c r="H35" s="77">
        <f t="shared" si="5"/>
        <v>1.3474999999999999</v>
      </c>
      <c r="I35" s="77">
        <f t="shared" si="5"/>
        <v>8.0250000000000002E-2</v>
      </c>
      <c r="J35" s="77">
        <f t="shared" si="5"/>
        <v>1.2250000000000002E-3</v>
      </c>
      <c r="K35" s="77">
        <f t="shared" si="5"/>
        <v>1.25E-3</v>
      </c>
      <c r="L35" s="77">
        <f t="shared" si="5"/>
        <v>1.9500000000000003E-2</v>
      </c>
      <c r="M35" s="77">
        <f t="shared" si="5"/>
        <v>2.3350000000000003E-2</v>
      </c>
      <c r="N35" s="77">
        <f t="shared" si="5"/>
        <v>0</v>
      </c>
      <c r="O35" s="77">
        <f t="shared" si="5"/>
        <v>0</v>
      </c>
      <c r="P35" s="77">
        <f t="shared" si="5"/>
        <v>38.175000000000004</v>
      </c>
      <c r="Q35" s="77">
        <f t="shared" si="10"/>
        <v>55.875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v>25</v>
      </c>
      <c r="C36" s="77">
        <f t="shared" si="6"/>
        <v>75</v>
      </c>
      <c r="D36" s="77">
        <f t="shared" si="7"/>
        <v>49.485600000000005</v>
      </c>
      <c r="E36" s="77">
        <f t="shared" si="8"/>
        <v>15.725250000000003</v>
      </c>
      <c r="F36" s="77">
        <f t="shared" si="9"/>
        <v>2.607205</v>
      </c>
      <c r="G36" s="77">
        <f t="shared" si="5"/>
        <v>5.8500000000000003E-2</v>
      </c>
      <c r="H36" s="77">
        <f t="shared" si="5"/>
        <v>1.3474999999999999</v>
      </c>
      <c r="I36" s="77">
        <f t="shared" si="5"/>
        <v>8.0250000000000002E-2</v>
      </c>
      <c r="J36" s="77">
        <f t="shared" si="5"/>
        <v>1.2250000000000002E-3</v>
      </c>
      <c r="K36" s="77">
        <f t="shared" si="5"/>
        <v>1.25E-3</v>
      </c>
      <c r="L36" s="77">
        <f t="shared" si="5"/>
        <v>1.9500000000000003E-2</v>
      </c>
      <c r="M36" s="77">
        <f t="shared" si="5"/>
        <v>2.3350000000000003E-2</v>
      </c>
      <c r="N36" s="77">
        <f t="shared" si="5"/>
        <v>0</v>
      </c>
      <c r="O36" s="77">
        <f t="shared" si="5"/>
        <v>0</v>
      </c>
      <c r="P36" s="77">
        <f t="shared" si="5"/>
        <v>38.175000000000004</v>
      </c>
      <c r="Q36" s="77">
        <f t="shared" si="10"/>
        <v>55.875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v>25</v>
      </c>
      <c r="C37" s="77">
        <f t="shared" si="6"/>
        <v>75</v>
      </c>
      <c r="D37" s="77">
        <f t="shared" si="7"/>
        <v>49.485600000000005</v>
      </c>
      <c r="E37" s="77">
        <f t="shared" si="8"/>
        <v>15.725250000000003</v>
      </c>
      <c r="F37" s="77">
        <f t="shared" si="9"/>
        <v>2.607205</v>
      </c>
      <c r="G37" s="77">
        <f t="shared" si="5"/>
        <v>5.8500000000000003E-2</v>
      </c>
      <c r="H37" s="77">
        <f t="shared" si="5"/>
        <v>1.3474999999999999</v>
      </c>
      <c r="I37" s="77">
        <f t="shared" si="5"/>
        <v>8.0250000000000002E-2</v>
      </c>
      <c r="J37" s="77">
        <f t="shared" si="5"/>
        <v>1.2250000000000002E-3</v>
      </c>
      <c r="K37" s="77">
        <f t="shared" si="5"/>
        <v>1.25E-3</v>
      </c>
      <c r="L37" s="77">
        <f t="shared" si="5"/>
        <v>1.9500000000000003E-2</v>
      </c>
      <c r="M37" s="77">
        <f t="shared" si="5"/>
        <v>2.3350000000000003E-2</v>
      </c>
      <c r="N37" s="77">
        <f t="shared" si="5"/>
        <v>0</v>
      </c>
      <c r="O37" s="77">
        <f t="shared" si="5"/>
        <v>0</v>
      </c>
      <c r="P37" s="77">
        <f t="shared" si="5"/>
        <v>38.175000000000004</v>
      </c>
      <c r="Q37" s="77">
        <f t="shared" si="10"/>
        <v>55.875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v>25</v>
      </c>
      <c r="C38" s="77">
        <f t="shared" si="6"/>
        <v>75</v>
      </c>
      <c r="D38" s="77">
        <f t="shared" si="7"/>
        <v>49.485600000000005</v>
      </c>
      <c r="E38" s="77">
        <f t="shared" si="8"/>
        <v>15.725250000000003</v>
      </c>
      <c r="F38" s="77">
        <f t="shared" si="9"/>
        <v>2.607205</v>
      </c>
      <c r="G38" s="77">
        <f t="shared" si="5"/>
        <v>5.8500000000000003E-2</v>
      </c>
      <c r="H38" s="77">
        <f t="shared" si="5"/>
        <v>1.3474999999999999</v>
      </c>
      <c r="I38" s="77">
        <f t="shared" si="5"/>
        <v>8.0250000000000002E-2</v>
      </c>
      <c r="J38" s="77">
        <f t="shared" si="5"/>
        <v>1.2250000000000002E-3</v>
      </c>
      <c r="K38" s="77">
        <f t="shared" si="5"/>
        <v>1.25E-3</v>
      </c>
      <c r="L38" s="77">
        <f t="shared" si="5"/>
        <v>1.9500000000000003E-2</v>
      </c>
      <c r="M38" s="77">
        <f t="shared" si="5"/>
        <v>2.3350000000000003E-2</v>
      </c>
      <c r="N38" s="77">
        <f t="shared" si="5"/>
        <v>0</v>
      </c>
      <c r="O38" s="77">
        <f t="shared" si="5"/>
        <v>0</v>
      </c>
      <c r="P38" s="77">
        <f t="shared" si="5"/>
        <v>38.175000000000004</v>
      </c>
      <c r="Q38" s="77">
        <f t="shared" si="10"/>
        <v>55.875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v>25</v>
      </c>
      <c r="C39" s="77">
        <f t="shared" si="6"/>
        <v>75</v>
      </c>
      <c r="D39" s="77">
        <f t="shared" si="7"/>
        <v>49.485600000000005</v>
      </c>
      <c r="E39" s="77">
        <f t="shared" si="8"/>
        <v>15.725250000000003</v>
      </c>
      <c r="F39" s="77">
        <f t="shared" si="9"/>
        <v>2.607205</v>
      </c>
      <c r="G39" s="77">
        <f t="shared" si="5"/>
        <v>5.8500000000000003E-2</v>
      </c>
      <c r="H39" s="77">
        <f t="shared" si="5"/>
        <v>1.3474999999999999</v>
      </c>
      <c r="I39" s="77">
        <f t="shared" si="5"/>
        <v>8.0250000000000002E-2</v>
      </c>
      <c r="J39" s="77">
        <f t="shared" si="5"/>
        <v>1.2250000000000002E-3</v>
      </c>
      <c r="K39" s="77">
        <f t="shared" si="5"/>
        <v>1.25E-3</v>
      </c>
      <c r="L39" s="77">
        <f t="shared" si="5"/>
        <v>1.9500000000000003E-2</v>
      </c>
      <c r="M39" s="77">
        <f t="shared" si="5"/>
        <v>2.3350000000000003E-2</v>
      </c>
      <c r="N39" s="77">
        <f t="shared" si="5"/>
        <v>0</v>
      </c>
      <c r="O39" s="77">
        <f t="shared" si="5"/>
        <v>0</v>
      </c>
      <c r="P39" s="77">
        <f t="shared" si="5"/>
        <v>38.175000000000004</v>
      </c>
      <c r="Q39" s="77">
        <f t="shared" si="10"/>
        <v>55.875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v>25</v>
      </c>
      <c r="C40" s="77">
        <f t="shared" si="6"/>
        <v>75</v>
      </c>
      <c r="D40" s="77">
        <f t="shared" si="7"/>
        <v>49.485600000000005</v>
      </c>
      <c r="E40" s="77">
        <f t="shared" si="8"/>
        <v>15.725250000000003</v>
      </c>
      <c r="F40" s="77">
        <f t="shared" si="9"/>
        <v>2.607205</v>
      </c>
      <c r="G40" s="77">
        <f t="shared" si="5"/>
        <v>5.8500000000000003E-2</v>
      </c>
      <c r="H40" s="77">
        <f t="shared" si="5"/>
        <v>1.3474999999999999</v>
      </c>
      <c r="I40" s="77">
        <f t="shared" si="5"/>
        <v>8.0250000000000002E-2</v>
      </c>
      <c r="J40" s="77">
        <f t="shared" si="5"/>
        <v>1.2250000000000002E-3</v>
      </c>
      <c r="K40" s="77">
        <f t="shared" si="5"/>
        <v>1.25E-3</v>
      </c>
      <c r="L40" s="77">
        <f t="shared" si="5"/>
        <v>1.9500000000000003E-2</v>
      </c>
      <c r="M40" s="77">
        <f t="shared" si="5"/>
        <v>2.3350000000000003E-2</v>
      </c>
      <c r="N40" s="77">
        <f t="shared" si="5"/>
        <v>0</v>
      </c>
      <c r="O40" s="77">
        <f t="shared" si="5"/>
        <v>0</v>
      </c>
      <c r="P40" s="77">
        <f t="shared" si="5"/>
        <v>38.175000000000004</v>
      </c>
      <c r="Q40" s="77">
        <f t="shared" si="10"/>
        <v>55.875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Sandy Loam I Grass</v>
      </c>
      <c r="C58" s="13" t="str">
        <f>D16&amp;" I "&amp;(VLOOKUP(D14,Table245[],6,FALSE))</f>
        <v>Sandy Loam I Arable</v>
      </c>
      <c r="D58" s="13" t="str">
        <f>E16&amp;" I "&amp;(VLOOKUP(E14,Table245[],6,FALSE))</f>
        <v>Sandy Loam I Arable</v>
      </c>
      <c r="E58" s="13" t="str">
        <f>F16&amp;" I "&amp;(VLOOKUP(F14,Table245[],6,FALSE))</f>
        <v>Sandy Loam I Arable</v>
      </c>
      <c r="F58" s="13" t="str">
        <f>G16&amp;" I "&amp;(VLOOKUP(G14,Table245[],6,FALSE))</f>
        <v>Sandy Loam I Arable</v>
      </c>
      <c r="G58" s="13" t="str">
        <f>H16&amp;" I "&amp;(VLOOKUP(H14,Table245[],6,FALSE))</f>
        <v>Sandy Loam I Grass</v>
      </c>
      <c r="H58" s="13" t="str">
        <f>I16&amp;" I "&amp;(VLOOKUP(I14,Table245[],6,FALSE))</f>
        <v>Sandy Loam I Grass</v>
      </c>
      <c r="I58" s="13" t="str">
        <f>J16&amp;" I "&amp;(VLOOKUP(J14,Table245[],6,FALSE))</f>
        <v>Sandy Loam I Grass</v>
      </c>
      <c r="J58" s="13" t="str">
        <f>K16&amp;" I "&amp;(VLOOKUP(K14,Table245[],6,FALSE))</f>
        <v>Sandy Loam I Grass</v>
      </c>
      <c r="K58" s="13" t="str">
        <f>L16&amp;" I "&amp;(VLOOKUP(L14,Table245[],6,FALSE))</f>
        <v>Sandy Loam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6.7</v>
      </c>
      <c r="D59" s="76">
        <f>VLOOKUP(E$14,Table245[],5,FALSE)</f>
        <v>6.7</v>
      </c>
      <c r="E59" s="76">
        <f>VLOOKUP(F$14,Table245[],5,FALSE)</f>
        <v>6.7</v>
      </c>
      <c r="F59" s="76">
        <f>VLOOKUP(G$14,Table245[],5,FALSE)</f>
        <v>6.7</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v>
      </c>
      <c r="C62" s="77">
        <f>B32</f>
        <v>25</v>
      </c>
      <c r="D62" s="77">
        <f>B33</f>
        <v>25</v>
      </c>
      <c r="E62" s="77">
        <f>B34</f>
        <v>25</v>
      </c>
      <c r="F62" s="77">
        <f>B35</f>
        <v>25</v>
      </c>
      <c r="G62" s="77">
        <f>B36</f>
        <v>25</v>
      </c>
      <c r="H62" s="77">
        <f>B37</f>
        <v>25</v>
      </c>
      <c r="I62" s="77">
        <f>B38</f>
        <v>25</v>
      </c>
      <c r="J62" s="77">
        <f>B39</f>
        <v>25</v>
      </c>
      <c r="K62" s="77">
        <f>B40</f>
        <v>25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v>7.08</v>
      </c>
      <c r="J1" s="127" t="s">
        <v>153</v>
      </c>
      <c r="K1" s="127"/>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178</v>
      </c>
      <c r="G2" s="125" t="s">
        <v>110</v>
      </c>
      <c r="H2" s="126"/>
      <c r="I2" s="118">
        <v>2012</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c r="J3" s="123" t="s">
        <v>154</v>
      </c>
      <c r="K3" s="124"/>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t="s">
        <v>179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45.008986</v>
      </c>
      <c r="D18" s="16">
        <f>$D32</f>
        <v>45.008986</v>
      </c>
      <c r="E18" s="16">
        <f>$D33</f>
        <v>45.008986</v>
      </c>
      <c r="F18" s="16">
        <f>$D34</f>
        <v>45.008986</v>
      </c>
      <c r="G18" s="16">
        <f>$D35</f>
        <v>45.008986</v>
      </c>
      <c r="H18" s="16">
        <f>$D36</f>
        <v>45.008986</v>
      </c>
      <c r="I18" s="16">
        <f>$D37</f>
        <v>45.008986</v>
      </c>
      <c r="J18" s="16">
        <f>$D38</f>
        <v>45.008986</v>
      </c>
      <c r="K18" s="16">
        <f>$D39</f>
        <v>45.008986</v>
      </c>
      <c r="L18" s="16">
        <f>$D40</f>
        <v>45.008986</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-19.591013999999994</v>
      </c>
      <c r="D19" s="16">
        <f t="shared" ref="D19:V19" si="1">D18-D17</f>
        <v>-10.991014</v>
      </c>
      <c r="E19" s="16">
        <f t="shared" si="1"/>
        <v>-68.991014000000007</v>
      </c>
      <c r="F19" s="16">
        <f t="shared" si="1"/>
        <v>-5.9910139999999998</v>
      </c>
      <c r="G19" s="16">
        <f t="shared" si="1"/>
        <v>-10.991014</v>
      </c>
      <c r="H19" s="16">
        <f t="shared" si="1"/>
        <v>-19.591013999999994</v>
      </c>
      <c r="I19" s="16">
        <f t="shared" si="1"/>
        <v>-19.591013999999994</v>
      </c>
      <c r="J19" s="16">
        <f t="shared" si="1"/>
        <v>-19.591013999999994</v>
      </c>
      <c r="K19" s="16">
        <f t="shared" si="1"/>
        <v>-19.591013999999994</v>
      </c>
      <c r="L19" s="16">
        <f t="shared" si="1"/>
        <v>-19.591013999999994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7.6457250000000014</v>
      </c>
      <c r="D22" s="16">
        <f>$E32</f>
        <v>7.6457250000000014</v>
      </c>
      <c r="E22" s="16">
        <f>$E33</f>
        <v>7.6457250000000014</v>
      </c>
      <c r="F22" s="16">
        <f>$E34</f>
        <v>7.6457250000000014</v>
      </c>
      <c r="G22" s="16">
        <f>$E35</f>
        <v>7.6457250000000014</v>
      </c>
      <c r="H22" s="16">
        <f>$E36</f>
        <v>7.6457250000000014</v>
      </c>
      <c r="I22" s="16">
        <f>$E37</f>
        <v>7.6457250000000014</v>
      </c>
      <c r="J22" s="16">
        <f>$E38</f>
        <v>7.6457250000000014</v>
      </c>
      <c r="K22" s="16">
        <f>$E39</f>
        <v>7.6457250000000014</v>
      </c>
      <c r="L22" s="16">
        <f>$E40</f>
        <v>7.6457250000000014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-220.354275</v>
      </c>
      <c r="D23" s="16">
        <f t="shared" ref="D23:V23" si="3">D22-D21</f>
        <v>-168.354275</v>
      </c>
      <c r="E23" s="16">
        <f t="shared" si="3"/>
        <v>-442.35427499999997</v>
      </c>
      <c r="F23" s="16">
        <f t="shared" si="3"/>
        <v>-64.354275000000001</v>
      </c>
      <c r="G23" s="16">
        <f t="shared" si="3"/>
        <v>-168.354275</v>
      </c>
      <c r="H23" s="16">
        <f t="shared" si="3"/>
        <v>-220.354275</v>
      </c>
      <c r="I23" s="16">
        <f t="shared" si="3"/>
        <v>-220.354275</v>
      </c>
      <c r="J23" s="16">
        <f t="shared" si="3"/>
        <v>-220.354275</v>
      </c>
      <c r="K23" s="16">
        <f t="shared" si="3"/>
        <v>-220.354275</v>
      </c>
      <c r="L23" s="16">
        <f t="shared" si="3"/>
        <v>-220.354275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v>94</v>
      </c>
      <c r="C31" s="77">
        <f>IF(C$27="%w/w SAR",((C$28*10)*$B31),IF(C$27="%w/w DM",(((C$28*10)*($B$28/100))*$B31),IF(C$27="kg/t SAR",(C$28*$B31),IF(C$27="kg/t DM",((C$28*($B$28/100))*$B31),IF(C$27="mg/kg SAR",((C$28*0.001)*$B31),IF(C$27="mg/kg DM",(((C$28*0.001)*($B$28/100))*$B31),0))))))</f>
        <v>65.800000000000011</v>
      </c>
      <c r="D31" s="77">
        <f>(IF(D$27="%w/w SAR",((D$28*10)*$B31),IF(D$27="%w/w DM",(((D$28*10)*($B$28/100))*$B31),IF(D$27="kg/t SAR",(D$28*$B31),IF(D$27="kg/t DM",((D$28*($B$28/100))*$B31),IF(D$27="mg/kg SAR",((D$28*0.001)*$B31),IF(D$27="mg/kg DM",(((D$28*0.001)*($B$28/100))*$B31),"0")))))))*2.291</f>
        <v>45.008986</v>
      </c>
      <c r="E31" s="77">
        <f>(IF(E$27="%w/w SAR",((E$28*10)*$B31),IF(E$27="%w/w DM",(((E$28*10)*($B$28/100))*$B31),IF(E$27="kg/t SAR",(E$28*$B31),IF(E$27="kg/t DM",((E$28*($B$28/100))*$B31),IF(E$27="mg/kg SAR",((E$28*0.001)*$B31),IF(E$27="mg/kg DM",(((E$28*0.001)*($B$28/100))*$B31),"0")))))))*1.205</f>
        <v>7.6457250000000014</v>
      </c>
      <c r="F31" s="77">
        <f>(IF(F$27="%w/w SAR",((F$28*10)*$B31),IF(F$27="%w/w DM",(((F$28*10)*($B$28/100))*$B31),IF(F$27="kg/t SAR",(F$28*$B31),IF(F$27="kg/t DM",((F$28*($B$28/100))*$B31),IF(F$27="mg/kg SAR",((F$28*0.001)*$B31),IF(F$27="mg/kg DM",(((F$28*0.001)*($B$28/100))*$B31),"0")))))))*1.658</f>
        <v>3.9430556000000001</v>
      </c>
      <c r="G31" s="77">
        <f t="shared" ref="G31:P46" si="5">IF(G$27="%w/w SAR",((G$28*10)*$B31),IF(G$27="%w/w DM",(((G$28*10)*($B$28/100))*$B31),IF(G$27="kg/t SAR",(G$28*$B31),IF(G$27="kg/t DM",((G$28*($B$28/100))*$B31),IF(G$27="mg/kg SAR",((G$28*0.001)*$B31),IF(G$27="mg/kg DM",(((G$28*0.001)*($B$28/100))*$B31),0))))))</f>
        <v>4.4179999999999997E-2</v>
      </c>
      <c r="H31" s="77">
        <f t="shared" si="5"/>
        <v>0.66645999999999994</v>
      </c>
      <c r="I31" s="77">
        <f t="shared" si="5"/>
        <v>4.7E-2</v>
      </c>
      <c r="J31" s="77">
        <f t="shared" si="5"/>
        <v>9.4000000000000008E-4</v>
      </c>
      <c r="K31" s="77">
        <f t="shared" si="5"/>
        <v>4.7000000000000002E-3</v>
      </c>
      <c r="L31" s="77">
        <f t="shared" si="5"/>
        <v>2.162E-2</v>
      </c>
      <c r="M31" s="77">
        <f t="shared" si="5"/>
        <v>0.188</v>
      </c>
      <c r="N31" s="77">
        <f t="shared" si="5"/>
        <v>0</v>
      </c>
      <c r="O31" s="77">
        <f t="shared" si="5"/>
        <v>0</v>
      </c>
      <c r="P31" s="77">
        <f t="shared" si="5"/>
        <v>264.98599999999999</v>
      </c>
      <c r="Q31" s="77">
        <f>(IF(Q$27="%w/w SAR",((Q$28*10)*$B31),IF(Q$27="%w/w DM",(((Q$28*10)*($B$28/100))*$B31),IF(Q$27="kg/t SAR",(Q$28*$B31),IF(Q$27="kg/t DM",((Q$28*($B$28/100))*$B31),IF(Q$27="mg/kg SAR",((Q$28*0.001)*$B31),IF(Q$27="mg/kg DM",(((Q$28*0.001)*($B$28/100))*$B31),0)))))))*2.5</f>
        <v>299.625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v>94</v>
      </c>
      <c r="C32" s="77">
        <f t="shared" ref="C32:C50" si="6">IF(C$27="%w/w SAR",((C$28*10)*$B32),IF(C$27="%w/w DM",(((C$28*10)*($B$28/100))*$B32),IF(C$27="kg/t SAR",(C$28*$B32),IF(C$27="kg/t DM",((C$28*($B$28/100))*$B32),IF(C$27="mg/kg SAR",((C$28*0.001)*$B32),IF(C$27="mg/kg DM",(((C$28*0.001)*($B$28/100))*$B32),0))))))</f>
        <v>65.800000000000011</v>
      </c>
      <c r="D32" s="77">
        <f t="shared" ref="D32:D50" si="7">(IF(D$27="%w/w SAR",((D$28*10)*$B32),IF(D$27="%w/w DM",(((D$28*10)*($B$28/100))*$B32),IF(D$27="kg/t SAR",(D$28*$B32),IF(D$27="kg/t DM",((D$28*($B$28/100))*$B32),IF(D$27="mg/kg SAR",((D$28*0.001)*$B32),IF(D$27="mg/kg DM",(((D$28*0.001)*($B$28/100))*$B32),"0")))))))*2.291</f>
        <v>45.008986</v>
      </c>
      <c r="E32" s="77">
        <f t="shared" ref="E32:E50" si="8">(IF(E$27="%w/w SAR",((E$28*10)*$B32),IF(E$27="%w/w DM",(((E$28*10)*($B$28/100))*$B32),IF(E$27="kg/t SAR",(E$28*$B32),IF(E$27="kg/t DM",((E$28*($B$28/100))*$B32),IF(E$27="mg/kg SAR",((E$28*0.001)*$B32),IF(E$27="mg/kg DM",(((E$28*0.001)*($B$28/100))*$B32),"0")))))))*1.205</f>
        <v>7.6457250000000014</v>
      </c>
      <c r="F32" s="77">
        <f t="shared" ref="F32:F50" si="9">(IF(F$27="%w/w SAR",((F$28*10)*$B32),IF(F$27="%w/w DM",(((F$28*10)*($B$28/100))*$B32),IF(F$27="kg/t SAR",(F$28*$B32),IF(F$27="kg/t DM",((F$28*($B$28/100))*$B32),IF(F$27="mg/kg SAR",((F$28*0.001)*$B32),IF(F$27="mg/kg DM",(((F$28*0.001)*($B$28/100))*$B32),"0")))))))*1.658</f>
        <v>3.9430556000000001</v>
      </c>
      <c r="G32" s="77">
        <f t="shared" si="5"/>
        <v>4.4179999999999997E-2</v>
      </c>
      <c r="H32" s="77">
        <f t="shared" si="5"/>
        <v>0.66645999999999994</v>
      </c>
      <c r="I32" s="77">
        <f t="shared" si="5"/>
        <v>4.7E-2</v>
      </c>
      <c r="J32" s="77">
        <f t="shared" si="5"/>
        <v>9.4000000000000008E-4</v>
      </c>
      <c r="K32" s="77">
        <f t="shared" si="5"/>
        <v>4.7000000000000002E-3</v>
      </c>
      <c r="L32" s="77">
        <f t="shared" si="5"/>
        <v>2.162E-2</v>
      </c>
      <c r="M32" s="77">
        <f t="shared" si="5"/>
        <v>0.188</v>
      </c>
      <c r="N32" s="77">
        <f t="shared" si="5"/>
        <v>0</v>
      </c>
      <c r="O32" s="77">
        <f t="shared" si="5"/>
        <v>0</v>
      </c>
      <c r="P32" s="77">
        <f t="shared" si="5"/>
        <v>264.98599999999999</v>
      </c>
      <c r="Q32" s="77">
        <f t="shared" ref="Q32:Q50" si="10">(IF(Q$27="%w/w SAR",((Q$28*10)*$B32),IF(Q$27="%w/w DM",(((Q$28*10)*($B$28/100))*$B32),IF(Q$27="kg/t SAR",(Q$28*$B32),IF(Q$27="kg/t DM",((Q$28*($B$28/100))*$B32),IF(Q$27="mg/kg SAR",((Q$28*0.001)*$B32),IF(Q$27="mg/kg DM",(((Q$28*0.001)*($B$28/100))*$B32),0)))))))*2.5</f>
        <v>299.625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v>94</v>
      </c>
      <c r="C33" s="77">
        <f t="shared" si="6"/>
        <v>65.800000000000011</v>
      </c>
      <c r="D33" s="77">
        <f t="shared" si="7"/>
        <v>45.008986</v>
      </c>
      <c r="E33" s="77">
        <f t="shared" si="8"/>
        <v>7.6457250000000014</v>
      </c>
      <c r="F33" s="77">
        <f t="shared" si="9"/>
        <v>3.9430556000000001</v>
      </c>
      <c r="G33" s="77">
        <f t="shared" si="5"/>
        <v>4.4179999999999997E-2</v>
      </c>
      <c r="H33" s="77">
        <f t="shared" si="5"/>
        <v>0.66645999999999994</v>
      </c>
      <c r="I33" s="77">
        <f t="shared" si="5"/>
        <v>4.7E-2</v>
      </c>
      <c r="J33" s="77">
        <f t="shared" si="5"/>
        <v>9.4000000000000008E-4</v>
      </c>
      <c r="K33" s="77">
        <f t="shared" si="5"/>
        <v>4.7000000000000002E-3</v>
      </c>
      <c r="L33" s="77">
        <f t="shared" si="5"/>
        <v>2.162E-2</v>
      </c>
      <c r="M33" s="77">
        <f t="shared" si="5"/>
        <v>0.188</v>
      </c>
      <c r="N33" s="77">
        <f t="shared" si="5"/>
        <v>0</v>
      </c>
      <c r="O33" s="77">
        <f t="shared" si="5"/>
        <v>0</v>
      </c>
      <c r="P33" s="77">
        <f t="shared" si="5"/>
        <v>264.98599999999999</v>
      </c>
      <c r="Q33" s="77">
        <f t="shared" si="10"/>
        <v>299.625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v>94</v>
      </c>
      <c r="C34" s="77">
        <f t="shared" si="6"/>
        <v>65.800000000000011</v>
      </c>
      <c r="D34" s="77">
        <f t="shared" si="7"/>
        <v>45.008986</v>
      </c>
      <c r="E34" s="77">
        <f t="shared" si="8"/>
        <v>7.6457250000000014</v>
      </c>
      <c r="F34" s="77">
        <f t="shared" si="9"/>
        <v>3.9430556000000001</v>
      </c>
      <c r="G34" s="77">
        <f t="shared" si="5"/>
        <v>4.4179999999999997E-2</v>
      </c>
      <c r="H34" s="77">
        <f t="shared" si="5"/>
        <v>0.66645999999999994</v>
      </c>
      <c r="I34" s="77">
        <f t="shared" si="5"/>
        <v>4.7E-2</v>
      </c>
      <c r="J34" s="77">
        <f t="shared" si="5"/>
        <v>9.4000000000000008E-4</v>
      </c>
      <c r="K34" s="77">
        <f t="shared" si="5"/>
        <v>4.7000000000000002E-3</v>
      </c>
      <c r="L34" s="77">
        <f t="shared" si="5"/>
        <v>2.162E-2</v>
      </c>
      <c r="M34" s="77">
        <f t="shared" si="5"/>
        <v>0.188</v>
      </c>
      <c r="N34" s="77">
        <f t="shared" si="5"/>
        <v>0</v>
      </c>
      <c r="O34" s="77">
        <f t="shared" si="5"/>
        <v>0</v>
      </c>
      <c r="P34" s="77">
        <f t="shared" si="5"/>
        <v>264.98599999999999</v>
      </c>
      <c r="Q34" s="77">
        <f t="shared" si="10"/>
        <v>299.625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v>94</v>
      </c>
      <c r="C35" s="77">
        <f t="shared" si="6"/>
        <v>65.800000000000011</v>
      </c>
      <c r="D35" s="77">
        <f t="shared" si="7"/>
        <v>45.008986</v>
      </c>
      <c r="E35" s="77">
        <f t="shared" si="8"/>
        <v>7.6457250000000014</v>
      </c>
      <c r="F35" s="77">
        <f t="shared" si="9"/>
        <v>3.9430556000000001</v>
      </c>
      <c r="G35" s="77">
        <f t="shared" si="5"/>
        <v>4.4179999999999997E-2</v>
      </c>
      <c r="H35" s="77">
        <f t="shared" si="5"/>
        <v>0.66645999999999994</v>
      </c>
      <c r="I35" s="77">
        <f t="shared" si="5"/>
        <v>4.7E-2</v>
      </c>
      <c r="J35" s="77">
        <f t="shared" si="5"/>
        <v>9.4000000000000008E-4</v>
      </c>
      <c r="K35" s="77">
        <f t="shared" si="5"/>
        <v>4.7000000000000002E-3</v>
      </c>
      <c r="L35" s="77">
        <f t="shared" si="5"/>
        <v>2.162E-2</v>
      </c>
      <c r="M35" s="77">
        <f t="shared" si="5"/>
        <v>0.188</v>
      </c>
      <c r="N35" s="77">
        <f t="shared" si="5"/>
        <v>0</v>
      </c>
      <c r="O35" s="77">
        <f t="shared" si="5"/>
        <v>0</v>
      </c>
      <c r="P35" s="77">
        <f t="shared" si="5"/>
        <v>264.98599999999999</v>
      </c>
      <c r="Q35" s="77">
        <f t="shared" si="10"/>
        <v>299.625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v>94</v>
      </c>
      <c r="C36" s="77">
        <f t="shared" si="6"/>
        <v>65.800000000000011</v>
      </c>
      <c r="D36" s="77">
        <f t="shared" si="7"/>
        <v>45.008986</v>
      </c>
      <c r="E36" s="77">
        <f t="shared" si="8"/>
        <v>7.6457250000000014</v>
      </c>
      <c r="F36" s="77">
        <f t="shared" si="9"/>
        <v>3.9430556000000001</v>
      </c>
      <c r="G36" s="77">
        <f t="shared" si="5"/>
        <v>4.4179999999999997E-2</v>
      </c>
      <c r="H36" s="77">
        <f t="shared" si="5"/>
        <v>0.66645999999999994</v>
      </c>
      <c r="I36" s="77">
        <f t="shared" si="5"/>
        <v>4.7E-2</v>
      </c>
      <c r="J36" s="77">
        <f t="shared" si="5"/>
        <v>9.4000000000000008E-4</v>
      </c>
      <c r="K36" s="77">
        <f t="shared" si="5"/>
        <v>4.7000000000000002E-3</v>
      </c>
      <c r="L36" s="77">
        <f t="shared" si="5"/>
        <v>2.162E-2</v>
      </c>
      <c r="M36" s="77">
        <f t="shared" si="5"/>
        <v>0.188</v>
      </c>
      <c r="N36" s="77">
        <f t="shared" si="5"/>
        <v>0</v>
      </c>
      <c r="O36" s="77">
        <f t="shared" si="5"/>
        <v>0</v>
      </c>
      <c r="P36" s="77">
        <f t="shared" si="5"/>
        <v>264.98599999999999</v>
      </c>
      <c r="Q36" s="77">
        <f t="shared" si="10"/>
        <v>299.625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v>94</v>
      </c>
      <c r="C37" s="77">
        <f t="shared" si="6"/>
        <v>65.800000000000011</v>
      </c>
      <c r="D37" s="77">
        <f t="shared" si="7"/>
        <v>45.008986</v>
      </c>
      <c r="E37" s="77">
        <f t="shared" si="8"/>
        <v>7.6457250000000014</v>
      </c>
      <c r="F37" s="77">
        <f t="shared" si="9"/>
        <v>3.9430556000000001</v>
      </c>
      <c r="G37" s="77">
        <f t="shared" si="5"/>
        <v>4.4179999999999997E-2</v>
      </c>
      <c r="H37" s="77">
        <f t="shared" si="5"/>
        <v>0.66645999999999994</v>
      </c>
      <c r="I37" s="77">
        <f t="shared" si="5"/>
        <v>4.7E-2</v>
      </c>
      <c r="J37" s="77">
        <f t="shared" si="5"/>
        <v>9.4000000000000008E-4</v>
      </c>
      <c r="K37" s="77">
        <f t="shared" si="5"/>
        <v>4.7000000000000002E-3</v>
      </c>
      <c r="L37" s="77">
        <f t="shared" si="5"/>
        <v>2.162E-2</v>
      </c>
      <c r="M37" s="77">
        <f t="shared" si="5"/>
        <v>0.188</v>
      </c>
      <c r="N37" s="77">
        <f t="shared" si="5"/>
        <v>0</v>
      </c>
      <c r="O37" s="77">
        <f t="shared" si="5"/>
        <v>0</v>
      </c>
      <c r="P37" s="77">
        <f t="shared" si="5"/>
        <v>264.98599999999999</v>
      </c>
      <c r="Q37" s="77">
        <f t="shared" si="10"/>
        <v>299.625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v>94</v>
      </c>
      <c r="C38" s="77">
        <f t="shared" si="6"/>
        <v>65.800000000000011</v>
      </c>
      <c r="D38" s="77">
        <f t="shared" si="7"/>
        <v>45.008986</v>
      </c>
      <c r="E38" s="77">
        <f t="shared" si="8"/>
        <v>7.6457250000000014</v>
      </c>
      <c r="F38" s="77">
        <f t="shared" si="9"/>
        <v>3.9430556000000001</v>
      </c>
      <c r="G38" s="77">
        <f t="shared" si="5"/>
        <v>4.4179999999999997E-2</v>
      </c>
      <c r="H38" s="77">
        <f t="shared" si="5"/>
        <v>0.66645999999999994</v>
      </c>
      <c r="I38" s="77">
        <f t="shared" si="5"/>
        <v>4.7E-2</v>
      </c>
      <c r="J38" s="77">
        <f t="shared" si="5"/>
        <v>9.4000000000000008E-4</v>
      </c>
      <c r="K38" s="77">
        <f t="shared" si="5"/>
        <v>4.7000000000000002E-3</v>
      </c>
      <c r="L38" s="77">
        <f t="shared" si="5"/>
        <v>2.162E-2</v>
      </c>
      <c r="M38" s="77">
        <f t="shared" si="5"/>
        <v>0.188</v>
      </c>
      <c r="N38" s="77">
        <f t="shared" si="5"/>
        <v>0</v>
      </c>
      <c r="O38" s="77">
        <f t="shared" si="5"/>
        <v>0</v>
      </c>
      <c r="P38" s="77">
        <f t="shared" si="5"/>
        <v>264.98599999999999</v>
      </c>
      <c r="Q38" s="77">
        <f t="shared" si="10"/>
        <v>299.625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v>94</v>
      </c>
      <c r="C39" s="77">
        <f t="shared" si="6"/>
        <v>65.800000000000011</v>
      </c>
      <c r="D39" s="77">
        <f t="shared" si="7"/>
        <v>45.008986</v>
      </c>
      <c r="E39" s="77">
        <f t="shared" si="8"/>
        <v>7.6457250000000014</v>
      </c>
      <c r="F39" s="77">
        <f t="shared" si="9"/>
        <v>3.9430556000000001</v>
      </c>
      <c r="G39" s="77">
        <f t="shared" si="5"/>
        <v>4.4179999999999997E-2</v>
      </c>
      <c r="H39" s="77">
        <f t="shared" si="5"/>
        <v>0.66645999999999994</v>
      </c>
      <c r="I39" s="77">
        <f t="shared" si="5"/>
        <v>4.7E-2</v>
      </c>
      <c r="J39" s="77">
        <f t="shared" si="5"/>
        <v>9.4000000000000008E-4</v>
      </c>
      <c r="K39" s="77">
        <f t="shared" si="5"/>
        <v>4.7000000000000002E-3</v>
      </c>
      <c r="L39" s="77">
        <f t="shared" si="5"/>
        <v>2.162E-2</v>
      </c>
      <c r="M39" s="77">
        <f t="shared" si="5"/>
        <v>0.188</v>
      </c>
      <c r="N39" s="77">
        <f t="shared" si="5"/>
        <v>0</v>
      </c>
      <c r="O39" s="77">
        <f t="shared" si="5"/>
        <v>0</v>
      </c>
      <c r="P39" s="77">
        <f t="shared" si="5"/>
        <v>264.98599999999999</v>
      </c>
      <c r="Q39" s="77">
        <f t="shared" si="10"/>
        <v>299.625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v>94</v>
      </c>
      <c r="C40" s="77">
        <f t="shared" si="6"/>
        <v>65.800000000000011</v>
      </c>
      <c r="D40" s="77">
        <f t="shared" si="7"/>
        <v>45.008986</v>
      </c>
      <c r="E40" s="77">
        <f t="shared" si="8"/>
        <v>7.6457250000000014</v>
      </c>
      <c r="F40" s="77">
        <f t="shared" si="9"/>
        <v>3.9430556000000001</v>
      </c>
      <c r="G40" s="77">
        <f t="shared" si="5"/>
        <v>4.4179999999999997E-2</v>
      </c>
      <c r="H40" s="77">
        <f t="shared" si="5"/>
        <v>0.66645999999999994</v>
      </c>
      <c r="I40" s="77">
        <f t="shared" si="5"/>
        <v>4.7E-2</v>
      </c>
      <c r="J40" s="77">
        <f t="shared" si="5"/>
        <v>9.4000000000000008E-4</v>
      </c>
      <c r="K40" s="77">
        <f t="shared" si="5"/>
        <v>4.7000000000000002E-3</v>
      </c>
      <c r="L40" s="77">
        <f t="shared" si="5"/>
        <v>2.162E-2</v>
      </c>
      <c r="M40" s="77">
        <f t="shared" si="5"/>
        <v>0.188</v>
      </c>
      <c r="N40" s="77">
        <f t="shared" si="5"/>
        <v>0</v>
      </c>
      <c r="O40" s="77">
        <f t="shared" si="5"/>
        <v>0</v>
      </c>
      <c r="P40" s="77">
        <f t="shared" si="5"/>
        <v>264.98599999999999</v>
      </c>
      <c r="Q40" s="77">
        <f t="shared" si="10"/>
        <v>299.625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Sandy Loam I Grass</v>
      </c>
      <c r="C58" s="13" t="str">
        <f>D16&amp;" I "&amp;(VLOOKUP(D14,Table245811[],6,FALSE))</f>
        <v>Sandy Loam I Arable</v>
      </c>
      <c r="D58" s="13" t="str">
        <f>E16&amp;" I "&amp;(VLOOKUP(E14,Table245811[],6,FALSE))</f>
        <v>Sandy Loam I Arable</v>
      </c>
      <c r="E58" s="13" t="str">
        <f>F16&amp;" I "&amp;(VLOOKUP(F14,Table245811[],6,FALSE))</f>
        <v>Sandy Loam I Arable</v>
      </c>
      <c r="F58" s="13" t="str">
        <f>G16&amp;" I "&amp;(VLOOKUP(G14,Table245811[],6,FALSE))</f>
        <v>Sandy Loam I Arable</v>
      </c>
      <c r="G58" s="13" t="str">
        <f>H16&amp;" I "&amp;(VLOOKUP(H14,Table245811[],6,FALSE))</f>
        <v>Sandy Loam I Grass</v>
      </c>
      <c r="H58" s="13" t="str">
        <f>I16&amp;" I "&amp;(VLOOKUP(I14,Table245811[],6,FALSE))</f>
        <v>Sandy Loam I Grass</v>
      </c>
      <c r="I58" s="13" t="str">
        <f>J16&amp;" I "&amp;(VLOOKUP(J14,Table245811[],6,FALSE))</f>
        <v>Sandy Loam I Grass</v>
      </c>
      <c r="J58" s="13" t="str">
        <f>K16&amp;" I "&amp;(VLOOKUP(K14,Table245811[],6,FALSE))</f>
        <v>Sandy Loam I Grass</v>
      </c>
      <c r="K58" s="13" t="str">
        <f>L16&amp;" I "&amp;(VLOOKUP(L14,Table245811[],6,FALSE))</f>
        <v>Sandy Loam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6.7</v>
      </c>
      <c r="D59" s="76">
        <f>VLOOKUP(E$14,Table245811[],5,FALSE)</f>
        <v>6.7</v>
      </c>
      <c r="E59" s="76">
        <f>VLOOKUP(F$14,Table245811[],5,FALSE)</f>
        <v>6.7</v>
      </c>
      <c r="F59" s="76">
        <f>VLOOKUP(G$14,Table245811[],5,FALSE)</f>
        <v>6.7</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94</v>
      </c>
      <c r="C62" s="77">
        <f>B32</f>
        <v>94</v>
      </c>
      <c r="D62" s="77">
        <f>B33</f>
        <v>94</v>
      </c>
      <c r="E62" s="77">
        <f>B34</f>
        <v>94</v>
      </c>
      <c r="F62" s="77">
        <f>B35</f>
        <v>94</v>
      </c>
      <c r="G62" s="77">
        <f>B36</f>
        <v>94</v>
      </c>
      <c r="H62" s="77">
        <f>B37</f>
        <v>94</v>
      </c>
      <c r="I62" s="77">
        <f>B38</f>
        <v>94</v>
      </c>
      <c r="J62" s="77">
        <f>B39</f>
        <v>94</v>
      </c>
      <c r="K62" s="77">
        <f>B40</f>
        <v>94</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49" sqref="E4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v>6.8</v>
      </c>
      <c r="J1" s="127" t="s">
        <v>153</v>
      </c>
      <c r="K1" s="127"/>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180</v>
      </c>
      <c r="G2" s="125" t="s">
        <v>110</v>
      </c>
      <c r="H2" s="126"/>
      <c r="I2" s="118">
        <v>351</v>
      </c>
      <c r="J2" s="127" t="s">
        <v>158</v>
      </c>
      <c r="K2" s="127"/>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c r="J3" s="123" t="s">
        <v>154</v>
      </c>
      <c r="K3" s="124"/>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t="s">
        <v>181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50.275995000000002</v>
      </c>
      <c r="D18" s="16">
        <f>$D32</f>
        <v>50.275995000000002</v>
      </c>
      <c r="E18" s="16">
        <f>$D33</f>
        <v>50.275995000000002</v>
      </c>
      <c r="F18" s="16">
        <f>$D34</f>
        <v>50.275995000000002</v>
      </c>
      <c r="G18" s="16">
        <f>$D35</f>
        <v>50.275995000000002</v>
      </c>
      <c r="H18" s="16">
        <f>$D36</f>
        <v>50.275995000000002</v>
      </c>
      <c r="I18" s="16">
        <f>$D37</f>
        <v>50.275995000000002</v>
      </c>
      <c r="J18" s="16">
        <f>$D38</f>
        <v>50.275995000000002</v>
      </c>
      <c r="K18" s="16">
        <f>$D39</f>
        <v>50.275995000000002</v>
      </c>
      <c r="L18" s="16">
        <f>$D40</f>
        <v>50.275995000000002</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-14.324004999999993</v>
      </c>
      <c r="D19" s="16">
        <f t="shared" ref="D19:V19" si="1">D18-D17</f>
        <v>-5.7240049999999982</v>
      </c>
      <c r="E19" s="16">
        <f t="shared" si="1"/>
        <v>-63.724004999999998</v>
      </c>
      <c r="F19" s="16">
        <f t="shared" si="1"/>
        <v>-0.72400499999999823</v>
      </c>
      <c r="G19" s="16">
        <f t="shared" si="1"/>
        <v>-5.7240049999999982</v>
      </c>
      <c r="H19" s="16">
        <f t="shared" si="1"/>
        <v>-14.324004999999993</v>
      </c>
      <c r="I19" s="16">
        <f t="shared" si="1"/>
        <v>-14.324004999999993</v>
      </c>
      <c r="J19" s="16">
        <f t="shared" si="1"/>
        <v>-14.324004999999993</v>
      </c>
      <c r="K19" s="16">
        <f t="shared" si="1"/>
        <v>-14.324004999999993</v>
      </c>
      <c r="L19" s="16">
        <f t="shared" si="1"/>
        <v>-14.324004999999993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14.9527245</v>
      </c>
      <c r="D22" s="16">
        <f>$E32</f>
        <v>14.9527245</v>
      </c>
      <c r="E22" s="16">
        <f>$E33</f>
        <v>14.9527245</v>
      </c>
      <c r="F22" s="16">
        <f>$E34</f>
        <v>14.9527245</v>
      </c>
      <c r="G22" s="16">
        <f>$E35</f>
        <v>14.9527245</v>
      </c>
      <c r="H22" s="16">
        <f>$E36</f>
        <v>14.9527245</v>
      </c>
      <c r="I22" s="16">
        <f>$E37</f>
        <v>14.9527245</v>
      </c>
      <c r="J22" s="16">
        <f>$E38</f>
        <v>14.9527245</v>
      </c>
      <c r="K22" s="16">
        <f>$E39</f>
        <v>14.9527245</v>
      </c>
      <c r="L22" s="16">
        <f>$E40</f>
        <v>14.9527245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-213.04727550000001</v>
      </c>
      <c r="D23" s="16">
        <f t="shared" ref="D23:V23" si="3">D22-D21</f>
        <v>-161.04727550000001</v>
      </c>
      <c r="E23" s="16">
        <f t="shared" si="3"/>
        <v>-435.04727550000001</v>
      </c>
      <c r="F23" s="16">
        <f t="shared" si="3"/>
        <v>-57.047275499999998</v>
      </c>
      <c r="G23" s="16">
        <f t="shared" si="3"/>
        <v>-161.04727550000001</v>
      </c>
      <c r="H23" s="16">
        <f t="shared" si="3"/>
        <v>-213.04727550000001</v>
      </c>
      <c r="I23" s="16">
        <f t="shared" si="3"/>
        <v>-213.04727550000001</v>
      </c>
      <c r="J23" s="16">
        <f t="shared" si="3"/>
        <v>-213.04727550000001</v>
      </c>
      <c r="K23" s="16">
        <f t="shared" si="3"/>
        <v>-213.04727550000001</v>
      </c>
      <c r="L23" s="16">
        <f t="shared" si="3"/>
        <v>-213.04727550000001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v>133</v>
      </c>
      <c r="C31" s="77">
        <f>IF(C$27="%w/w SAR",((C$28*10)*$B31),IF(C$27="%w/w DM",(((C$28*10)*($B$28/100))*$B31),IF(C$27="kg/t SAR",(C$28*$B31),IF(C$27="kg/t DM",((C$28*($B$28/100))*$B31),IF(C$27="mg/kg SAR",((C$28*0.001)*$B31),IF(C$27="mg/kg DM",(((C$28*0.001)*($B$28/100))*$B31),0))))))</f>
        <v>146.30000000000001</v>
      </c>
      <c r="D31" s="77">
        <f>(IF(D$27="%w/w SAR",((D$28*10)*$B31),IF(D$27="%w/w DM",(((D$28*10)*($B$28/100))*$B31),IF(D$27="kg/t SAR",(D$28*$B31),IF(D$27="kg/t DM",((D$28*($B$28/100))*$B31),IF(D$27="mg/kg SAR",((D$28*0.001)*$B31),IF(D$27="mg/kg DM",(((D$28*0.001)*($B$28/100))*$B31),"0")))))))*2.291</f>
        <v>50.275995000000002</v>
      </c>
      <c r="E31" s="77">
        <f>(IF(E$27="%w/w SAR",((E$28*10)*$B31),IF(E$27="%w/w DM",(((E$28*10)*($B$28/100))*$B31),IF(E$27="kg/t SAR",(E$28*$B31),IF(E$27="kg/t DM",((E$28*($B$28/100))*$B31),IF(E$27="mg/kg SAR",((E$28*0.001)*$B31),IF(E$27="mg/kg DM",(((E$28*0.001)*($B$28/100))*$B31),"0")))))))*1.205</f>
        <v>14.9527245</v>
      </c>
      <c r="F31" s="77">
        <f>(IF(F$27="%w/w SAR",((F$28*10)*$B31),IF(F$27="%w/w DM",(((F$28*10)*($B$28/100))*$B31),IF(F$27="kg/t SAR",(F$28*$B31),IF(F$27="kg/t DM",((F$28*($B$28/100))*$B31),IF(F$27="mg/kg SAR",((F$28*0.001)*$B31),IF(F$27="mg/kg DM",(((F$28*0.001)*($B$28/100))*$B31),"0")))))))*1.658</f>
        <v>17.619068600000002</v>
      </c>
      <c r="G31" s="77">
        <f t="shared" ref="G31:P46" si="5">IF(G$27="%w/w SAR",((G$28*10)*$B31),IF(G$27="%w/w DM",(((G$28*10)*($B$28/100))*$B31),IF(G$27="kg/t SAR",(G$28*$B31),IF(G$27="kg/t DM",((G$28*($B$28/100))*$B31),IF(G$27="mg/kg SAR",((G$28*0.001)*$B31),IF(G$27="mg/kg DM",(((G$28*0.001)*($B$28/100))*$B31),0))))))</f>
        <v>9.0972000000000011E-2</v>
      </c>
      <c r="H31" s="77">
        <f t="shared" si="5"/>
        <v>0.50407000000000002</v>
      </c>
      <c r="I31" s="77">
        <f t="shared" si="5"/>
        <v>6.6500000000000004E-2</v>
      </c>
      <c r="J31" s="77">
        <f t="shared" si="5"/>
        <v>1.33E-3</v>
      </c>
      <c r="K31" s="77">
        <f t="shared" si="5"/>
        <v>6.6500000000000005E-3</v>
      </c>
      <c r="L31" s="77">
        <f t="shared" si="5"/>
        <v>2.6600000000000002E-2</v>
      </c>
      <c r="M31" s="77">
        <f t="shared" si="5"/>
        <v>3.0058000000000001E-2</v>
      </c>
      <c r="N31" s="77">
        <f t="shared" si="5"/>
        <v>0</v>
      </c>
      <c r="O31" s="77">
        <f t="shared" si="5"/>
        <v>0</v>
      </c>
      <c r="P31" s="77">
        <f t="shared" si="5"/>
        <v>44.688000000000002</v>
      </c>
      <c r="Q31" s="77">
        <f>(IF(Q$27="%w/w SAR",((Q$28*10)*$B31),IF(Q$27="%w/w DM",(((Q$28*10)*($B$28/100))*$B31),IF(Q$27="kg/t SAR",(Q$28*$B31),IF(Q$27="kg/t DM",((Q$28*($B$28/100))*$B31),IF(Q$27="mg/kg SAR",((Q$28*0.001)*$B31),IF(Q$27="mg/kg DM",(((Q$28*0.001)*($B$28/100))*$B31),0)))))))*2.5</f>
        <v>64.837500000000006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v>133</v>
      </c>
      <c r="C32" s="77">
        <f t="shared" ref="C32:C50" si="6">IF(C$27="%w/w SAR",((C$28*10)*$B32),IF(C$27="%w/w DM",(((C$28*10)*($B$28/100))*$B32),IF(C$27="kg/t SAR",(C$28*$B32),IF(C$27="kg/t DM",((C$28*($B$28/100))*$B32),IF(C$27="mg/kg SAR",((C$28*0.001)*$B32),IF(C$27="mg/kg DM",(((C$28*0.001)*($B$28/100))*$B32),0))))))</f>
        <v>146.30000000000001</v>
      </c>
      <c r="D32" s="77">
        <f t="shared" ref="D32:D50" si="7">(IF(D$27="%w/w SAR",((D$28*10)*$B32),IF(D$27="%w/w DM",(((D$28*10)*($B$28/100))*$B32),IF(D$27="kg/t SAR",(D$28*$B32),IF(D$27="kg/t DM",((D$28*($B$28/100))*$B32),IF(D$27="mg/kg SAR",((D$28*0.001)*$B32),IF(D$27="mg/kg DM",(((D$28*0.001)*($B$28/100))*$B32),"0")))))))*2.291</f>
        <v>50.275995000000002</v>
      </c>
      <c r="E32" s="77">
        <f t="shared" ref="E32:E50" si="8">(IF(E$27="%w/w SAR",((E$28*10)*$B32),IF(E$27="%w/w DM",(((E$28*10)*($B$28/100))*$B32),IF(E$27="kg/t SAR",(E$28*$B32),IF(E$27="kg/t DM",((E$28*($B$28/100))*$B32),IF(E$27="mg/kg SAR",((E$28*0.001)*$B32),IF(E$27="mg/kg DM",(((E$28*0.001)*($B$28/100))*$B32),"0")))))))*1.205</f>
        <v>14.9527245</v>
      </c>
      <c r="F32" s="77">
        <f t="shared" ref="F32:F50" si="9">(IF(F$27="%w/w SAR",((F$28*10)*$B32),IF(F$27="%w/w DM",(((F$28*10)*($B$28/100))*$B32),IF(F$27="kg/t SAR",(F$28*$B32),IF(F$27="kg/t DM",((F$28*($B$28/100))*$B32),IF(F$27="mg/kg SAR",((F$28*0.001)*$B32),IF(F$27="mg/kg DM",(((F$28*0.001)*($B$28/100))*$B32),"0")))))))*1.658</f>
        <v>17.619068600000002</v>
      </c>
      <c r="G32" s="77">
        <f t="shared" si="5"/>
        <v>9.0972000000000011E-2</v>
      </c>
      <c r="H32" s="77">
        <f t="shared" si="5"/>
        <v>0.50407000000000002</v>
      </c>
      <c r="I32" s="77">
        <f t="shared" si="5"/>
        <v>6.6500000000000004E-2</v>
      </c>
      <c r="J32" s="77">
        <f t="shared" si="5"/>
        <v>1.33E-3</v>
      </c>
      <c r="K32" s="77">
        <f t="shared" si="5"/>
        <v>6.6500000000000005E-3</v>
      </c>
      <c r="L32" s="77">
        <f t="shared" si="5"/>
        <v>2.6600000000000002E-2</v>
      </c>
      <c r="M32" s="77">
        <f t="shared" si="5"/>
        <v>3.0058000000000001E-2</v>
      </c>
      <c r="N32" s="77">
        <f t="shared" si="5"/>
        <v>0</v>
      </c>
      <c r="O32" s="77">
        <f t="shared" si="5"/>
        <v>0</v>
      </c>
      <c r="P32" s="77">
        <f t="shared" si="5"/>
        <v>44.688000000000002</v>
      </c>
      <c r="Q32" s="77">
        <f t="shared" ref="Q32:Q50" si="10">(IF(Q$27="%w/w SAR",((Q$28*10)*$B32),IF(Q$27="%w/w DM",(((Q$28*10)*($B$28/100))*$B32),IF(Q$27="kg/t SAR",(Q$28*$B32),IF(Q$27="kg/t DM",((Q$28*($B$28/100))*$B32),IF(Q$27="mg/kg SAR",((Q$28*0.001)*$B32),IF(Q$27="mg/kg DM",(((Q$28*0.001)*($B$28/100))*$B32),0)))))))*2.5</f>
        <v>64.837500000000006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v>133</v>
      </c>
      <c r="C33" s="77">
        <f t="shared" si="6"/>
        <v>146.30000000000001</v>
      </c>
      <c r="D33" s="77">
        <f t="shared" si="7"/>
        <v>50.275995000000002</v>
      </c>
      <c r="E33" s="77">
        <f t="shared" si="8"/>
        <v>14.9527245</v>
      </c>
      <c r="F33" s="77">
        <f t="shared" si="9"/>
        <v>17.619068600000002</v>
      </c>
      <c r="G33" s="77">
        <f t="shared" si="5"/>
        <v>9.0972000000000011E-2</v>
      </c>
      <c r="H33" s="77">
        <f t="shared" si="5"/>
        <v>0.50407000000000002</v>
      </c>
      <c r="I33" s="77">
        <f t="shared" si="5"/>
        <v>6.6500000000000004E-2</v>
      </c>
      <c r="J33" s="77">
        <f t="shared" si="5"/>
        <v>1.33E-3</v>
      </c>
      <c r="K33" s="77">
        <f t="shared" si="5"/>
        <v>6.6500000000000005E-3</v>
      </c>
      <c r="L33" s="77">
        <f t="shared" si="5"/>
        <v>2.6600000000000002E-2</v>
      </c>
      <c r="M33" s="77">
        <f t="shared" si="5"/>
        <v>3.0058000000000001E-2</v>
      </c>
      <c r="N33" s="77">
        <f t="shared" si="5"/>
        <v>0</v>
      </c>
      <c r="O33" s="77">
        <f t="shared" si="5"/>
        <v>0</v>
      </c>
      <c r="P33" s="77">
        <f t="shared" si="5"/>
        <v>44.688000000000002</v>
      </c>
      <c r="Q33" s="77">
        <f t="shared" si="10"/>
        <v>64.837500000000006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v>133</v>
      </c>
      <c r="C34" s="77">
        <f t="shared" si="6"/>
        <v>146.30000000000001</v>
      </c>
      <c r="D34" s="77">
        <f t="shared" si="7"/>
        <v>50.275995000000002</v>
      </c>
      <c r="E34" s="77">
        <f t="shared" si="8"/>
        <v>14.9527245</v>
      </c>
      <c r="F34" s="77">
        <f t="shared" si="9"/>
        <v>17.619068600000002</v>
      </c>
      <c r="G34" s="77">
        <f t="shared" si="5"/>
        <v>9.0972000000000011E-2</v>
      </c>
      <c r="H34" s="77">
        <f t="shared" si="5"/>
        <v>0.50407000000000002</v>
      </c>
      <c r="I34" s="77">
        <f t="shared" si="5"/>
        <v>6.6500000000000004E-2</v>
      </c>
      <c r="J34" s="77">
        <f t="shared" si="5"/>
        <v>1.33E-3</v>
      </c>
      <c r="K34" s="77">
        <f t="shared" si="5"/>
        <v>6.6500000000000005E-3</v>
      </c>
      <c r="L34" s="77">
        <f t="shared" si="5"/>
        <v>2.6600000000000002E-2</v>
      </c>
      <c r="M34" s="77">
        <f t="shared" si="5"/>
        <v>3.0058000000000001E-2</v>
      </c>
      <c r="N34" s="77">
        <f t="shared" si="5"/>
        <v>0</v>
      </c>
      <c r="O34" s="77">
        <f t="shared" si="5"/>
        <v>0</v>
      </c>
      <c r="P34" s="77">
        <f t="shared" si="5"/>
        <v>44.688000000000002</v>
      </c>
      <c r="Q34" s="77">
        <f t="shared" si="10"/>
        <v>64.837500000000006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v>133</v>
      </c>
      <c r="C35" s="77">
        <f t="shared" si="6"/>
        <v>146.30000000000001</v>
      </c>
      <c r="D35" s="77">
        <f t="shared" si="7"/>
        <v>50.275995000000002</v>
      </c>
      <c r="E35" s="77">
        <f t="shared" si="8"/>
        <v>14.9527245</v>
      </c>
      <c r="F35" s="77">
        <f t="shared" si="9"/>
        <v>17.619068600000002</v>
      </c>
      <c r="G35" s="77">
        <f t="shared" si="5"/>
        <v>9.0972000000000011E-2</v>
      </c>
      <c r="H35" s="77">
        <f t="shared" si="5"/>
        <v>0.50407000000000002</v>
      </c>
      <c r="I35" s="77">
        <f t="shared" si="5"/>
        <v>6.6500000000000004E-2</v>
      </c>
      <c r="J35" s="77">
        <f t="shared" si="5"/>
        <v>1.33E-3</v>
      </c>
      <c r="K35" s="77">
        <f t="shared" si="5"/>
        <v>6.6500000000000005E-3</v>
      </c>
      <c r="L35" s="77">
        <f t="shared" si="5"/>
        <v>2.6600000000000002E-2</v>
      </c>
      <c r="M35" s="77">
        <f t="shared" si="5"/>
        <v>3.0058000000000001E-2</v>
      </c>
      <c r="N35" s="77">
        <f t="shared" si="5"/>
        <v>0</v>
      </c>
      <c r="O35" s="77">
        <f t="shared" si="5"/>
        <v>0</v>
      </c>
      <c r="P35" s="77">
        <f t="shared" si="5"/>
        <v>44.688000000000002</v>
      </c>
      <c r="Q35" s="77">
        <f t="shared" si="10"/>
        <v>64.837500000000006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v>133</v>
      </c>
      <c r="C36" s="77">
        <f t="shared" si="6"/>
        <v>146.30000000000001</v>
      </c>
      <c r="D36" s="77">
        <f t="shared" si="7"/>
        <v>50.275995000000002</v>
      </c>
      <c r="E36" s="77">
        <f t="shared" si="8"/>
        <v>14.9527245</v>
      </c>
      <c r="F36" s="77">
        <f t="shared" si="9"/>
        <v>17.619068600000002</v>
      </c>
      <c r="G36" s="77">
        <f t="shared" si="5"/>
        <v>9.0972000000000011E-2</v>
      </c>
      <c r="H36" s="77">
        <f t="shared" si="5"/>
        <v>0.50407000000000002</v>
      </c>
      <c r="I36" s="77">
        <f t="shared" si="5"/>
        <v>6.6500000000000004E-2</v>
      </c>
      <c r="J36" s="77">
        <f t="shared" si="5"/>
        <v>1.33E-3</v>
      </c>
      <c r="K36" s="77">
        <f t="shared" si="5"/>
        <v>6.6500000000000005E-3</v>
      </c>
      <c r="L36" s="77">
        <f t="shared" si="5"/>
        <v>2.6600000000000002E-2</v>
      </c>
      <c r="M36" s="77">
        <f t="shared" si="5"/>
        <v>3.0058000000000001E-2</v>
      </c>
      <c r="N36" s="77">
        <f t="shared" si="5"/>
        <v>0</v>
      </c>
      <c r="O36" s="77">
        <f t="shared" si="5"/>
        <v>0</v>
      </c>
      <c r="P36" s="77">
        <f t="shared" si="5"/>
        <v>44.688000000000002</v>
      </c>
      <c r="Q36" s="77">
        <f t="shared" si="10"/>
        <v>64.837500000000006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v>133</v>
      </c>
      <c r="C37" s="77">
        <f t="shared" si="6"/>
        <v>146.30000000000001</v>
      </c>
      <c r="D37" s="77">
        <f t="shared" si="7"/>
        <v>50.275995000000002</v>
      </c>
      <c r="E37" s="77">
        <f t="shared" si="8"/>
        <v>14.9527245</v>
      </c>
      <c r="F37" s="77">
        <f t="shared" si="9"/>
        <v>17.619068600000002</v>
      </c>
      <c r="G37" s="77">
        <f t="shared" si="5"/>
        <v>9.0972000000000011E-2</v>
      </c>
      <c r="H37" s="77">
        <f t="shared" si="5"/>
        <v>0.50407000000000002</v>
      </c>
      <c r="I37" s="77">
        <f t="shared" si="5"/>
        <v>6.6500000000000004E-2</v>
      </c>
      <c r="J37" s="77">
        <f t="shared" si="5"/>
        <v>1.33E-3</v>
      </c>
      <c r="K37" s="77">
        <f t="shared" si="5"/>
        <v>6.6500000000000005E-3</v>
      </c>
      <c r="L37" s="77">
        <f t="shared" si="5"/>
        <v>2.6600000000000002E-2</v>
      </c>
      <c r="M37" s="77">
        <f t="shared" si="5"/>
        <v>3.0058000000000001E-2</v>
      </c>
      <c r="N37" s="77">
        <f t="shared" si="5"/>
        <v>0</v>
      </c>
      <c r="O37" s="77">
        <f t="shared" si="5"/>
        <v>0</v>
      </c>
      <c r="P37" s="77">
        <f t="shared" si="5"/>
        <v>44.688000000000002</v>
      </c>
      <c r="Q37" s="77">
        <f t="shared" si="10"/>
        <v>64.837500000000006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v>133</v>
      </c>
      <c r="C38" s="77">
        <f t="shared" si="6"/>
        <v>146.30000000000001</v>
      </c>
      <c r="D38" s="77">
        <f t="shared" si="7"/>
        <v>50.275995000000002</v>
      </c>
      <c r="E38" s="77">
        <f t="shared" si="8"/>
        <v>14.9527245</v>
      </c>
      <c r="F38" s="77">
        <f t="shared" si="9"/>
        <v>17.619068600000002</v>
      </c>
      <c r="G38" s="77">
        <f t="shared" si="5"/>
        <v>9.0972000000000011E-2</v>
      </c>
      <c r="H38" s="77">
        <f t="shared" si="5"/>
        <v>0.50407000000000002</v>
      </c>
      <c r="I38" s="77">
        <f t="shared" si="5"/>
        <v>6.6500000000000004E-2</v>
      </c>
      <c r="J38" s="77">
        <f t="shared" si="5"/>
        <v>1.33E-3</v>
      </c>
      <c r="K38" s="77">
        <f t="shared" si="5"/>
        <v>6.6500000000000005E-3</v>
      </c>
      <c r="L38" s="77">
        <f t="shared" si="5"/>
        <v>2.6600000000000002E-2</v>
      </c>
      <c r="M38" s="77">
        <f t="shared" si="5"/>
        <v>3.0058000000000001E-2</v>
      </c>
      <c r="N38" s="77">
        <f t="shared" si="5"/>
        <v>0</v>
      </c>
      <c r="O38" s="77">
        <f t="shared" si="5"/>
        <v>0</v>
      </c>
      <c r="P38" s="77">
        <f t="shared" si="5"/>
        <v>44.688000000000002</v>
      </c>
      <c r="Q38" s="77">
        <f t="shared" si="10"/>
        <v>64.837500000000006</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v>133</v>
      </c>
      <c r="C39" s="77">
        <f t="shared" si="6"/>
        <v>146.30000000000001</v>
      </c>
      <c r="D39" s="77">
        <f t="shared" si="7"/>
        <v>50.275995000000002</v>
      </c>
      <c r="E39" s="77">
        <f t="shared" si="8"/>
        <v>14.9527245</v>
      </c>
      <c r="F39" s="77">
        <f t="shared" si="9"/>
        <v>17.619068600000002</v>
      </c>
      <c r="G39" s="77">
        <f t="shared" si="5"/>
        <v>9.0972000000000011E-2</v>
      </c>
      <c r="H39" s="77">
        <f t="shared" si="5"/>
        <v>0.50407000000000002</v>
      </c>
      <c r="I39" s="77">
        <f t="shared" si="5"/>
        <v>6.6500000000000004E-2</v>
      </c>
      <c r="J39" s="77">
        <f t="shared" si="5"/>
        <v>1.33E-3</v>
      </c>
      <c r="K39" s="77">
        <f t="shared" si="5"/>
        <v>6.6500000000000005E-3</v>
      </c>
      <c r="L39" s="77">
        <f t="shared" si="5"/>
        <v>2.6600000000000002E-2</v>
      </c>
      <c r="M39" s="77">
        <f t="shared" si="5"/>
        <v>3.0058000000000001E-2</v>
      </c>
      <c r="N39" s="77">
        <f t="shared" si="5"/>
        <v>0</v>
      </c>
      <c r="O39" s="77">
        <f t="shared" si="5"/>
        <v>0</v>
      </c>
      <c r="P39" s="77">
        <f t="shared" si="5"/>
        <v>44.688000000000002</v>
      </c>
      <c r="Q39" s="77">
        <f t="shared" si="10"/>
        <v>64.837500000000006</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v>133</v>
      </c>
      <c r="C40" s="77">
        <f t="shared" si="6"/>
        <v>146.30000000000001</v>
      </c>
      <c r="D40" s="77">
        <f t="shared" si="7"/>
        <v>50.275995000000002</v>
      </c>
      <c r="E40" s="77">
        <f t="shared" si="8"/>
        <v>14.9527245</v>
      </c>
      <c r="F40" s="77">
        <f t="shared" si="9"/>
        <v>17.619068600000002</v>
      </c>
      <c r="G40" s="77">
        <f t="shared" si="5"/>
        <v>9.0972000000000011E-2</v>
      </c>
      <c r="H40" s="77">
        <f t="shared" si="5"/>
        <v>0.50407000000000002</v>
      </c>
      <c r="I40" s="77">
        <f t="shared" si="5"/>
        <v>6.6500000000000004E-2</v>
      </c>
      <c r="J40" s="77">
        <f t="shared" si="5"/>
        <v>1.33E-3</v>
      </c>
      <c r="K40" s="77">
        <f t="shared" si="5"/>
        <v>6.6500000000000005E-3</v>
      </c>
      <c r="L40" s="77">
        <f t="shared" si="5"/>
        <v>2.6600000000000002E-2</v>
      </c>
      <c r="M40" s="77">
        <f t="shared" si="5"/>
        <v>3.0058000000000001E-2</v>
      </c>
      <c r="N40" s="77">
        <f t="shared" si="5"/>
        <v>0</v>
      </c>
      <c r="O40" s="77">
        <f t="shared" si="5"/>
        <v>0</v>
      </c>
      <c r="P40" s="77">
        <f t="shared" si="5"/>
        <v>44.688000000000002</v>
      </c>
      <c r="Q40" s="77">
        <f t="shared" si="10"/>
        <v>64.837500000000006</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Sandy Loam I Grass</v>
      </c>
      <c r="C58" s="13" t="str">
        <f>D16&amp;" I "&amp;(VLOOKUP(D14,Table24581112[],6,FALSE))</f>
        <v>Sandy Loam I Arable</v>
      </c>
      <c r="D58" s="13" t="str">
        <f>E16&amp;" I "&amp;(VLOOKUP(E14,Table24581112[],6,FALSE))</f>
        <v>Sandy Loam I Arable</v>
      </c>
      <c r="E58" s="13" t="str">
        <f>F16&amp;" I "&amp;(VLOOKUP(F14,Table24581112[],6,FALSE))</f>
        <v>Sandy Loam I Arable</v>
      </c>
      <c r="F58" s="13" t="str">
        <f>G16&amp;" I "&amp;(VLOOKUP(G14,Table24581112[],6,FALSE))</f>
        <v>Sandy Loam I Arable</v>
      </c>
      <c r="G58" s="13" t="str">
        <f>H16&amp;" I "&amp;(VLOOKUP(H14,Table24581112[],6,FALSE))</f>
        <v>Sandy Loam I Grass</v>
      </c>
      <c r="H58" s="13" t="str">
        <f>I16&amp;" I "&amp;(VLOOKUP(I14,Table24581112[],6,FALSE))</f>
        <v>Sandy Loam I Grass</v>
      </c>
      <c r="I58" s="13" t="str">
        <f>J16&amp;" I "&amp;(VLOOKUP(J14,Table24581112[],6,FALSE))</f>
        <v>Sandy Loam I Grass</v>
      </c>
      <c r="J58" s="13" t="str">
        <f>K16&amp;" I "&amp;(VLOOKUP(K14,Table24581112[],6,FALSE))</f>
        <v>Sandy Loam I Grass</v>
      </c>
      <c r="K58" s="13" t="str">
        <f>L16&amp;" I "&amp;(VLOOKUP(L14,Table24581112[],6,FALSE))</f>
        <v>Sandy Loam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6.7</v>
      </c>
      <c r="D59" s="76">
        <f>VLOOKUP(E$14,Table24581112[],5,FALSE)</f>
        <v>6.7</v>
      </c>
      <c r="E59" s="76">
        <f>VLOOKUP(F$14,Table24581112[],5,FALSE)</f>
        <v>6.7</v>
      </c>
      <c r="F59" s="76">
        <f>VLOOKUP(G$14,Table24581112[],5,FALSE)</f>
        <v>6.7</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133</v>
      </c>
      <c r="C62" s="77">
        <f>B32</f>
        <v>133</v>
      </c>
      <c r="D62" s="77">
        <f>B33</f>
        <v>133</v>
      </c>
      <c r="E62" s="77">
        <f>B34</f>
        <v>133</v>
      </c>
      <c r="F62" s="77">
        <f>B35</f>
        <v>133</v>
      </c>
      <c r="G62" s="77">
        <f>B36</f>
        <v>133</v>
      </c>
      <c r="H62" s="77">
        <f>B37</f>
        <v>133</v>
      </c>
      <c r="I62" s="77">
        <f>B38</f>
        <v>133</v>
      </c>
      <c r="J62" s="77">
        <f>B39</f>
        <v>133</v>
      </c>
      <c r="K62" s="77">
        <f>B40</f>
        <v>133</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P30" sqref="P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v>7.01</v>
      </c>
      <c r="J1" s="127" t="s">
        <v>153</v>
      </c>
      <c r="K1" s="127"/>
      <c r="L1" s="97">
        <v>3165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183</v>
      </c>
      <c r="G2" s="125" t="s">
        <v>110</v>
      </c>
      <c r="H2" s="126"/>
      <c r="I2" s="118">
        <v>508</v>
      </c>
      <c r="J2" s="127" t="s">
        <v>158</v>
      </c>
      <c r="K2" s="127"/>
      <c r="L2" s="97">
        <v>7.45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c r="J3" s="123" t="s">
        <v>154</v>
      </c>
      <c r="K3" s="124"/>
      <c r="L3" s="97">
        <f>(L1/(L2*10000))*100</f>
        <v>4.2483221476510069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t="s">
        <v>182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48.291072599999993</v>
      </c>
      <c r="D18" s="16">
        <f>$D32</f>
        <v>48.291072599999993</v>
      </c>
      <c r="E18" s="16">
        <f>$D33</f>
        <v>48.291072599999993</v>
      </c>
      <c r="F18" s="16">
        <f>$D34</f>
        <v>48.291072599999993</v>
      </c>
      <c r="G18" s="16">
        <f>$D35</f>
        <v>48.291072599999993</v>
      </c>
      <c r="H18" s="16">
        <f>$D36</f>
        <v>48.291072599999993</v>
      </c>
      <c r="I18" s="16">
        <f>$D37</f>
        <v>48.291072599999993</v>
      </c>
      <c r="J18" s="16">
        <f>$D38</f>
        <v>48.291072599999993</v>
      </c>
      <c r="K18" s="16">
        <f>$D39</f>
        <v>48.291072599999993</v>
      </c>
      <c r="L18" s="16">
        <f>$D40</f>
        <v>48.291072599999993</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-16.308927400000002</v>
      </c>
      <c r="D19" s="16">
        <f t="shared" ref="D19:V19" si="1">D18-D17</f>
        <v>-7.7089274000000074</v>
      </c>
      <c r="E19" s="16">
        <f t="shared" si="1"/>
        <v>-65.708927400000007</v>
      </c>
      <c r="F19" s="16">
        <f t="shared" si="1"/>
        <v>-2.7089274000000074</v>
      </c>
      <c r="G19" s="16">
        <f t="shared" si="1"/>
        <v>-7.7089274000000074</v>
      </c>
      <c r="H19" s="16">
        <f t="shared" si="1"/>
        <v>-16.308927400000002</v>
      </c>
      <c r="I19" s="16">
        <f t="shared" si="1"/>
        <v>-16.308927400000002</v>
      </c>
      <c r="J19" s="16">
        <f t="shared" si="1"/>
        <v>-16.308927400000002</v>
      </c>
      <c r="K19" s="16">
        <f t="shared" si="1"/>
        <v>-16.308927400000002</v>
      </c>
      <c r="L19" s="16">
        <f t="shared" si="1"/>
        <v>-16.308927400000002</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11.060688975</v>
      </c>
      <c r="D22" s="16">
        <f>$E32</f>
        <v>11.060688975</v>
      </c>
      <c r="E22" s="16">
        <f>$E33</f>
        <v>11.060688975</v>
      </c>
      <c r="F22" s="16">
        <f>$E34</f>
        <v>11.060688975</v>
      </c>
      <c r="G22" s="16">
        <f>$E35</f>
        <v>11.060688975</v>
      </c>
      <c r="H22" s="16">
        <f>$E36</f>
        <v>11.060688975</v>
      </c>
      <c r="I22" s="16">
        <f>$E37</f>
        <v>11.060688975</v>
      </c>
      <c r="J22" s="16">
        <f>$E38</f>
        <v>11.060688975</v>
      </c>
      <c r="K22" s="16">
        <f>$E39</f>
        <v>11.060688975</v>
      </c>
      <c r="L22" s="16">
        <f>$E40</f>
        <v>11.060688975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-216.93931102499999</v>
      </c>
      <c r="D23" s="16">
        <f t="shared" ref="D23:V23" si="3">D22-D21</f>
        <v>-164.93931102499999</v>
      </c>
      <c r="E23" s="16">
        <f t="shared" si="3"/>
        <v>-438.93931102499999</v>
      </c>
      <c r="F23" s="16">
        <f t="shared" si="3"/>
        <v>-60.939311025000002</v>
      </c>
      <c r="G23" s="16">
        <f t="shared" si="3"/>
        <v>-164.93931102499999</v>
      </c>
      <c r="H23" s="16">
        <f t="shared" si="3"/>
        <v>-216.93931102499999</v>
      </c>
      <c r="I23" s="16">
        <f t="shared" si="3"/>
        <v>-216.93931102499999</v>
      </c>
      <c r="J23" s="16">
        <f t="shared" si="3"/>
        <v>-216.93931102499999</v>
      </c>
      <c r="K23" s="16">
        <f t="shared" si="3"/>
        <v>-216.93931102499999</v>
      </c>
      <c r="L23" s="16">
        <f t="shared" si="3"/>
        <v>-216.93931102499999</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35">
      <c r="A28" s="108"/>
      <c r="B28" s="24">
        <v>8.17</v>
      </c>
      <c r="C28" s="15">
        <v>7.45</v>
      </c>
      <c r="D28" s="15">
        <v>1.72</v>
      </c>
      <c r="E28" s="15">
        <v>0.749</v>
      </c>
      <c r="F28" s="15">
        <v>0.252</v>
      </c>
      <c r="G28" s="15">
        <v>23.9</v>
      </c>
      <c r="H28" s="15">
        <v>177</v>
      </c>
      <c r="I28" s="15">
        <v>2.33</v>
      </c>
      <c r="J28" s="15">
        <v>0.1</v>
      </c>
      <c r="K28" s="23">
        <v>0.1</v>
      </c>
      <c r="L28" s="15">
        <v>16.3</v>
      </c>
      <c r="M28" s="15">
        <v>42.4</v>
      </c>
      <c r="N28" s="15"/>
      <c r="O28" s="15"/>
      <c r="P28" s="15">
        <v>1.06</v>
      </c>
      <c r="Q28" s="15">
        <v>1.86</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v>15</v>
      </c>
      <c r="C31" s="77">
        <f>IF(C$27="%w/w SAR",((C$28*10)*$B31),IF(C$27="%w/w DM",(((C$28*10)*($B$28/100))*$B31),IF(C$27="kg/t SAR",(C$28*$B31),IF(C$27="kg/t DM",((C$28*($B$28/100))*$B31),IF(C$27="mg/kg SAR",((C$28*0.001)*$B31),IF(C$27="mg/kg DM",(((C$28*0.001)*($B$28/100))*$B31),0))))))</f>
        <v>91.299749999999989</v>
      </c>
      <c r="D31" s="77">
        <f>(IF(D$27="%w/w SAR",((D$28*10)*$B31),IF(D$27="%w/w DM",(((D$28*10)*($B$28/100))*$B31),IF(D$27="kg/t SAR",(D$28*$B31),IF(D$27="kg/t DM",((D$28*($B$28/100))*$B31),IF(D$27="mg/kg SAR",((D$28*0.001)*$B31),IF(D$27="mg/kg DM",(((D$28*0.001)*($B$28/100))*$B31),"0")))))))*2.291</f>
        <v>48.291072599999993</v>
      </c>
      <c r="E31" s="77">
        <f>(IF(E$27="%w/w SAR",((E$28*10)*$B31),IF(E$27="%w/w DM",(((E$28*10)*($B$28/100))*$B31),IF(E$27="kg/t SAR",(E$28*$B31),IF(E$27="kg/t DM",((E$28*($B$28/100))*$B31),IF(E$27="mg/kg SAR",((E$28*0.001)*$B31),IF(E$27="mg/kg DM",(((E$28*0.001)*($B$28/100))*$B31),"0")))))))*1.205</f>
        <v>11.060688975</v>
      </c>
      <c r="F31" s="77">
        <f>(IF(F$27="%w/w SAR",((F$28*10)*$B31),IF(F$27="%w/w DM",(((F$28*10)*($B$28/100))*$B31),IF(F$27="kg/t SAR",(F$28*$B31),IF(F$27="kg/t DM",((F$28*($B$28/100))*$B31),IF(F$27="mg/kg SAR",((F$28*0.001)*$B31),IF(F$27="mg/kg DM",(((F$28*0.001)*($B$28/100))*$B31),"0")))))))*1.658</f>
        <v>5.1203350799999994</v>
      </c>
      <c r="G31" s="77">
        <f t="shared" ref="G31:P46" si="5">IF(G$27="%w/w SAR",((G$28*10)*$B31),IF(G$27="%w/w DM",(((G$28*10)*($B$28/100))*$B31),IF(G$27="kg/t SAR",(G$28*$B31),IF(G$27="kg/t DM",((G$28*($B$28/100))*$B31),IF(G$27="mg/kg SAR",((G$28*0.001)*$B31),IF(G$27="mg/kg DM",(((G$28*0.001)*($B$28/100))*$B31),0))))))</f>
        <v>2.9289449999999995E-2</v>
      </c>
      <c r="H31" s="77">
        <f t="shared" si="5"/>
        <v>0.21691349999999998</v>
      </c>
      <c r="I31" s="77">
        <f t="shared" si="5"/>
        <v>2.855415E-3</v>
      </c>
      <c r="J31" s="77">
        <f t="shared" si="5"/>
        <v>1.2255E-4</v>
      </c>
      <c r="K31" s="77">
        <f t="shared" si="5"/>
        <v>1.2255E-4</v>
      </c>
      <c r="L31" s="77">
        <f t="shared" si="5"/>
        <v>1.9975650000000001E-2</v>
      </c>
      <c r="M31" s="77">
        <f t="shared" si="5"/>
        <v>5.1961199999999992E-2</v>
      </c>
      <c r="N31" s="77">
        <f t="shared" si="5"/>
        <v>0</v>
      </c>
      <c r="O31" s="77">
        <f t="shared" si="5"/>
        <v>0</v>
      </c>
      <c r="P31" s="77">
        <f t="shared" si="5"/>
        <v>12.9903</v>
      </c>
      <c r="Q31" s="77">
        <f>(IF(Q$27="%w/w SAR",((Q$28*10)*$B31),IF(Q$27="%w/w DM",(((Q$28*10)*($B$28/100))*$B31),IF(Q$27="kg/t SAR",(Q$28*$B31),IF(Q$27="kg/t DM",((Q$28*($B$28/100))*$B31),IF(Q$27="mg/kg SAR",((Q$28*0.001)*$B31),IF(Q$27="mg/kg DM",(((Q$28*0.001)*($B$28/100))*$B31),0)))))))*2.5</f>
        <v>56.985749999999996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v>15</v>
      </c>
      <c r="C32" s="77">
        <f t="shared" ref="C32:C50" si="6">IF(C$27="%w/w SAR",((C$28*10)*$B32),IF(C$27="%w/w DM",(((C$28*10)*($B$28/100))*$B32),IF(C$27="kg/t SAR",(C$28*$B32),IF(C$27="kg/t DM",((C$28*($B$28/100))*$B32),IF(C$27="mg/kg SAR",((C$28*0.001)*$B32),IF(C$27="mg/kg DM",(((C$28*0.001)*($B$28/100))*$B32),0))))))</f>
        <v>91.299749999999989</v>
      </c>
      <c r="D32" s="77">
        <f t="shared" ref="D32:D50" si="7">(IF(D$27="%w/w SAR",((D$28*10)*$B32),IF(D$27="%w/w DM",(((D$28*10)*($B$28/100))*$B32),IF(D$27="kg/t SAR",(D$28*$B32),IF(D$27="kg/t DM",((D$28*($B$28/100))*$B32),IF(D$27="mg/kg SAR",((D$28*0.001)*$B32),IF(D$27="mg/kg DM",(((D$28*0.001)*($B$28/100))*$B32),"0")))))))*2.291</f>
        <v>48.291072599999993</v>
      </c>
      <c r="E32" s="77">
        <f t="shared" ref="E32:E50" si="8">(IF(E$27="%w/w SAR",((E$28*10)*$B32),IF(E$27="%w/w DM",(((E$28*10)*($B$28/100))*$B32),IF(E$27="kg/t SAR",(E$28*$B32),IF(E$27="kg/t DM",((E$28*($B$28/100))*$B32),IF(E$27="mg/kg SAR",((E$28*0.001)*$B32),IF(E$27="mg/kg DM",(((E$28*0.001)*($B$28/100))*$B32),"0")))))))*1.205</f>
        <v>11.060688975</v>
      </c>
      <c r="F32" s="77">
        <f t="shared" ref="F32:F50" si="9">(IF(F$27="%w/w SAR",((F$28*10)*$B32),IF(F$27="%w/w DM",(((F$28*10)*($B$28/100))*$B32),IF(F$27="kg/t SAR",(F$28*$B32),IF(F$27="kg/t DM",((F$28*($B$28/100))*$B32),IF(F$27="mg/kg SAR",((F$28*0.001)*$B32),IF(F$27="mg/kg DM",(((F$28*0.001)*($B$28/100))*$B32),"0")))))))*1.658</f>
        <v>5.1203350799999994</v>
      </c>
      <c r="G32" s="77">
        <f t="shared" si="5"/>
        <v>2.9289449999999995E-2</v>
      </c>
      <c r="H32" s="77">
        <f t="shared" si="5"/>
        <v>0.21691349999999998</v>
      </c>
      <c r="I32" s="77">
        <f t="shared" si="5"/>
        <v>2.855415E-3</v>
      </c>
      <c r="J32" s="77">
        <f t="shared" si="5"/>
        <v>1.2255E-4</v>
      </c>
      <c r="K32" s="77">
        <f t="shared" si="5"/>
        <v>1.2255E-4</v>
      </c>
      <c r="L32" s="77">
        <f t="shared" si="5"/>
        <v>1.9975650000000001E-2</v>
      </c>
      <c r="M32" s="77">
        <f t="shared" si="5"/>
        <v>5.1961199999999992E-2</v>
      </c>
      <c r="N32" s="77">
        <f t="shared" si="5"/>
        <v>0</v>
      </c>
      <c r="O32" s="77">
        <f t="shared" si="5"/>
        <v>0</v>
      </c>
      <c r="P32" s="77">
        <f t="shared" si="5"/>
        <v>12.9903</v>
      </c>
      <c r="Q32" s="77">
        <f t="shared" ref="Q32:Q50" si="10">(IF(Q$27="%w/w SAR",((Q$28*10)*$B32),IF(Q$27="%w/w DM",(((Q$28*10)*($B$28/100))*$B32),IF(Q$27="kg/t SAR",(Q$28*$B32),IF(Q$27="kg/t DM",((Q$28*($B$28/100))*$B32),IF(Q$27="mg/kg SAR",((Q$28*0.001)*$B32),IF(Q$27="mg/kg DM",(((Q$28*0.001)*($B$28/100))*$B32),0)))))))*2.5</f>
        <v>56.985749999999996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v>15</v>
      </c>
      <c r="C33" s="77">
        <f t="shared" si="6"/>
        <v>91.299749999999989</v>
      </c>
      <c r="D33" s="77">
        <f t="shared" si="7"/>
        <v>48.291072599999993</v>
      </c>
      <c r="E33" s="77">
        <f t="shared" si="8"/>
        <v>11.060688975</v>
      </c>
      <c r="F33" s="77">
        <f t="shared" si="9"/>
        <v>5.1203350799999994</v>
      </c>
      <c r="G33" s="77">
        <f t="shared" si="5"/>
        <v>2.9289449999999995E-2</v>
      </c>
      <c r="H33" s="77">
        <f t="shared" si="5"/>
        <v>0.21691349999999998</v>
      </c>
      <c r="I33" s="77">
        <f t="shared" si="5"/>
        <v>2.855415E-3</v>
      </c>
      <c r="J33" s="77">
        <f t="shared" si="5"/>
        <v>1.2255E-4</v>
      </c>
      <c r="K33" s="77">
        <f t="shared" si="5"/>
        <v>1.2255E-4</v>
      </c>
      <c r="L33" s="77">
        <f t="shared" si="5"/>
        <v>1.9975650000000001E-2</v>
      </c>
      <c r="M33" s="77">
        <f t="shared" si="5"/>
        <v>5.1961199999999992E-2</v>
      </c>
      <c r="N33" s="77">
        <f t="shared" si="5"/>
        <v>0</v>
      </c>
      <c r="O33" s="77">
        <f t="shared" si="5"/>
        <v>0</v>
      </c>
      <c r="P33" s="77">
        <f t="shared" si="5"/>
        <v>12.9903</v>
      </c>
      <c r="Q33" s="77">
        <f t="shared" si="10"/>
        <v>56.985749999999996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v>15</v>
      </c>
      <c r="C34" s="77">
        <f t="shared" si="6"/>
        <v>91.299749999999989</v>
      </c>
      <c r="D34" s="77">
        <f t="shared" si="7"/>
        <v>48.291072599999993</v>
      </c>
      <c r="E34" s="77">
        <f t="shared" si="8"/>
        <v>11.060688975</v>
      </c>
      <c r="F34" s="77">
        <f t="shared" si="9"/>
        <v>5.1203350799999994</v>
      </c>
      <c r="G34" s="77">
        <f t="shared" si="5"/>
        <v>2.9289449999999995E-2</v>
      </c>
      <c r="H34" s="77">
        <f t="shared" si="5"/>
        <v>0.21691349999999998</v>
      </c>
      <c r="I34" s="77">
        <f t="shared" si="5"/>
        <v>2.855415E-3</v>
      </c>
      <c r="J34" s="77">
        <f t="shared" si="5"/>
        <v>1.2255E-4</v>
      </c>
      <c r="K34" s="77">
        <f t="shared" si="5"/>
        <v>1.2255E-4</v>
      </c>
      <c r="L34" s="77">
        <f t="shared" si="5"/>
        <v>1.9975650000000001E-2</v>
      </c>
      <c r="M34" s="77">
        <f t="shared" si="5"/>
        <v>5.1961199999999992E-2</v>
      </c>
      <c r="N34" s="77">
        <f t="shared" si="5"/>
        <v>0</v>
      </c>
      <c r="O34" s="77">
        <f t="shared" si="5"/>
        <v>0</v>
      </c>
      <c r="P34" s="77">
        <f t="shared" si="5"/>
        <v>12.9903</v>
      </c>
      <c r="Q34" s="77">
        <f t="shared" si="10"/>
        <v>56.985749999999996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v>15</v>
      </c>
      <c r="C35" s="77">
        <f t="shared" si="6"/>
        <v>91.299749999999989</v>
      </c>
      <c r="D35" s="77">
        <f t="shared" si="7"/>
        <v>48.291072599999993</v>
      </c>
      <c r="E35" s="77">
        <f t="shared" si="8"/>
        <v>11.060688975</v>
      </c>
      <c r="F35" s="77">
        <f t="shared" si="9"/>
        <v>5.1203350799999994</v>
      </c>
      <c r="G35" s="77">
        <f t="shared" si="5"/>
        <v>2.9289449999999995E-2</v>
      </c>
      <c r="H35" s="77">
        <f t="shared" si="5"/>
        <v>0.21691349999999998</v>
      </c>
      <c r="I35" s="77">
        <f t="shared" si="5"/>
        <v>2.855415E-3</v>
      </c>
      <c r="J35" s="77">
        <f t="shared" si="5"/>
        <v>1.2255E-4</v>
      </c>
      <c r="K35" s="77">
        <f t="shared" si="5"/>
        <v>1.2255E-4</v>
      </c>
      <c r="L35" s="77">
        <f t="shared" si="5"/>
        <v>1.9975650000000001E-2</v>
      </c>
      <c r="M35" s="77">
        <f t="shared" si="5"/>
        <v>5.1961199999999992E-2</v>
      </c>
      <c r="N35" s="77">
        <f t="shared" si="5"/>
        <v>0</v>
      </c>
      <c r="O35" s="77">
        <f t="shared" si="5"/>
        <v>0</v>
      </c>
      <c r="P35" s="77">
        <f t="shared" si="5"/>
        <v>12.9903</v>
      </c>
      <c r="Q35" s="77">
        <f t="shared" si="10"/>
        <v>56.985749999999996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v>15</v>
      </c>
      <c r="C36" s="77">
        <f t="shared" si="6"/>
        <v>91.299749999999989</v>
      </c>
      <c r="D36" s="77">
        <f t="shared" si="7"/>
        <v>48.291072599999993</v>
      </c>
      <c r="E36" s="77">
        <f t="shared" si="8"/>
        <v>11.060688975</v>
      </c>
      <c r="F36" s="77">
        <f t="shared" si="9"/>
        <v>5.1203350799999994</v>
      </c>
      <c r="G36" s="77">
        <f t="shared" si="5"/>
        <v>2.9289449999999995E-2</v>
      </c>
      <c r="H36" s="77">
        <f t="shared" si="5"/>
        <v>0.21691349999999998</v>
      </c>
      <c r="I36" s="77">
        <f t="shared" si="5"/>
        <v>2.855415E-3</v>
      </c>
      <c r="J36" s="77">
        <f t="shared" si="5"/>
        <v>1.2255E-4</v>
      </c>
      <c r="K36" s="77">
        <f t="shared" si="5"/>
        <v>1.2255E-4</v>
      </c>
      <c r="L36" s="77">
        <f t="shared" si="5"/>
        <v>1.9975650000000001E-2</v>
      </c>
      <c r="M36" s="77">
        <f t="shared" si="5"/>
        <v>5.1961199999999992E-2</v>
      </c>
      <c r="N36" s="77">
        <f t="shared" si="5"/>
        <v>0</v>
      </c>
      <c r="O36" s="77">
        <f t="shared" si="5"/>
        <v>0</v>
      </c>
      <c r="P36" s="77">
        <f t="shared" si="5"/>
        <v>12.9903</v>
      </c>
      <c r="Q36" s="77">
        <f t="shared" si="10"/>
        <v>56.985749999999996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v>15</v>
      </c>
      <c r="C37" s="77">
        <f t="shared" si="6"/>
        <v>91.299749999999989</v>
      </c>
      <c r="D37" s="77">
        <f t="shared" si="7"/>
        <v>48.291072599999993</v>
      </c>
      <c r="E37" s="77">
        <f t="shared" si="8"/>
        <v>11.060688975</v>
      </c>
      <c r="F37" s="77">
        <f t="shared" si="9"/>
        <v>5.1203350799999994</v>
      </c>
      <c r="G37" s="77">
        <f t="shared" si="5"/>
        <v>2.9289449999999995E-2</v>
      </c>
      <c r="H37" s="77">
        <f t="shared" si="5"/>
        <v>0.21691349999999998</v>
      </c>
      <c r="I37" s="77">
        <f t="shared" si="5"/>
        <v>2.855415E-3</v>
      </c>
      <c r="J37" s="77">
        <f t="shared" si="5"/>
        <v>1.2255E-4</v>
      </c>
      <c r="K37" s="77">
        <f t="shared" si="5"/>
        <v>1.2255E-4</v>
      </c>
      <c r="L37" s="77">
        <f t="shared" si="5"/>
        <v>1.9975650000000001E-2</v>
      </c>
      <c r="M37" s="77">
        <f t="shared" si="5"/>
        <v>5.1961199999999992E-2</v>
      </c>
      <c r="N37" s="77">
        <f t="shared" si="5"/>
        <v>0</v>
      </c>
      <c r="O37" s="77">
        <f t="shared" si="5"/>
        <v>0</v>
      </c>
      <c r="P37" s="77">
        <f t="shared" si="5"/>
        <v>12.9903</v>
      </c>
      <c r="Q37" s="77">
        <f t="shared" si="10"/>
        <v>56.985749999999996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v>15</v>
      </c>
      <c r="C38" s="77">
        <f t="shared" si="6"/>
        <v>91.299749999999989</v>
      </c>
      <c r="D38" s="77">
        <f t="shared" si="7"/>
        <v>48.291072599999993</v>
      </c>
      <c r="E38" s="77">
        <f t="shared" si="8"/>
        <v>11.060688975</v>
      </c>
      <c r="F38" s="77">
        <f t="shared" si="9"/>
        <v>5.1203350799999994</v>
      </c>
      <c r="G38" s="77">
        <f t="shared" si="5"/>
        <v>2.9289449999999995E-2</v>
      </c>
      <c r="H38" s="77">
        <f t="shared" si="5"/>
        <v>0.21691349999999998</v>
      </c>
      <c r="I38" s="77">
        <f t="shared" si="5"/>
        <v>2.855415E-3</v>
      </c>
      <c r="J38" s="77">
        <f t="shared" si="5"/>
        <v>1.2255E-4</v>
      </c>
      <c r="K38" s="77">
        <f t="shared" si="5"/>
        <v>1.2255E-4</v>
      </c>
      <c r="L38" s="77">
        <f t="shared" si="5"/>
        <v>1.9975650000000001E-2</v>
      </c>
      <c r="M38" s="77">
        <f t="shared" si="5"/>
        <v>5.1961199999999992E-2</v>
      </c>
      <c r="N38" s="77">
        <f t="shared" si="5"/>
        <v>0</v>
      </c>
      <c r="O38" s="77">
        <f t="shared" si="5"/>
        <v>0</v>
      </c>
      <c r="P38" s="77">
        <f t="shared" si="5"/>
        <v>12.9903</v>
      </c>
      <c r="Q38" s="77">
        <f t="shared" si="10"/>
        <v>56.985749999999996</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v>15</v>
      </c>
      <c r="C39" s="77">
        <f t="shared" si="6"/>
        <v>91.299749999999989</v>
      </c>
      <c r="D39" s="77">
        <f t="shared" si="7"/>
        <v>48.291072599999993</v>
      </c>
      <c r="E39" s="77">
        <f t="shared" si="8"/>
        <v>11.060688975</v>
      </c>
      <c r="F39" s="77">
        <f t="shared" si="9"/>
        <v>5.1203350799999994</v>
      </c>
      <c r="G39" s="77">
        <f t="shared" si="5"/>
        <v>2.9289449999999995E-2</v>
      </c>
      <c r="H39" s="77">
        <f t="shared" si="5"/>
        <v>0.21691349999999998</v>
      </c>
      <c r="I39" s="77">
        <f t="shared" si="5"/>
        <v>2.855415E-3</v>
      </c>
      <c r="J39" s="77">
        <f t="shared" si="5"/>
        <v>1.2255E-4</v>
      </c>
      <c r="K39" s="77">
        <f t="shared" si="5"/>
        <v>1.2255E-4</v>
      </c>
      <c r="L39" s="77">
        <f t="shared" si="5"/>
        <v>1.9975650000000001E-2</v>
      </c>
      <c r="M39" s="77">
        <f t="shared" si="5"/>
        <v>5.1961199999999992E-2</v>
      </c>
      <c r="N39" s="77">
        <f t="shared" si="5"/>
        <v>0</v>
      </c>
      <c r="O39" s="77">
        <f t="shared" si="5"/>
        <v>0</v>
      </c>
      <c r="P39" s="77">
        <f t="shared" si="5"/>
        <v>12.9903</v>
      </c>
      <c r="Q39" s="77">
        <f t="shared" si="10"/>
        <v>56.985749999999996</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v>15</v>
      </c>
      <c r="C40" s="77">
        <f t="shared" si="6"/>
        <v>91.299749999999989</v>
      </c>
      <c r="D40" s="77">
        <f t="shared" si="7"/>
        <v>48.291072599999993</v>
      </c>
      <c r="E40" s="77">
        <f t="shared" si="8"/>
        <v>11.060688975</v>
      </c>
      <c r="F40" s="77">
        <f t="shared" si="9"/>
        <v>5.1203350799999994</v>
      </c>
      <c r="G40" s="77">
        <f t="shared" si="5"/>
        <v>2.9289449999999995E-2</v>
      </c>
      <c r="H40" s="77">
        <f t="shared" si="5"/>
        <v>0.21691349999999998</v>
      </c>
      <c r="I40" s="77">
        <f t="shared" si="5"/>
        <v>2.855415E-3</v>
      </c>
      <c r="J40" s="77">
        <f t="shared" si="5"/>
        <v>1.2255E-4</v>
      </c>
      <c r="K40" s="77">
        <f t="shared" si="5"/>
        <v>1.2255E-4</v>
      </c>
      <c r="L40" s="77">
        <f t="shared" si="5"/>
        <v>1.9975650000000001E-2</v>
      </c>
      <c r="M40" s="77">
        <f t="shared" si="5"/>
        <v>5.1961199999999992E-2</v>
      </c>
      <c r="N40" s="77">
        <f t="shared" si="5"/>
        <v>0</v>
      </c>
      <c r="O40" s="77">
        <f t="shared" si="5"/>
        <v>0</v>
      </c>
      <c r="P40" s="77">
        <f t="shared" si="5"/>
        <v>12.9903</v>
      </c>
      <c r="Q40" s="77">
        <f t="shared" si="10"/>
        <v>56.985749999999996</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Sandy Loam I Grass</v>
      </c>
      <c r="C58" s="13" t="str">
        <f>D16&amp;" I "&amp;(VLOOKUP(D14,Table24581114[],6,FALSE))</f>
        <v>Sandy Loam I Arable</v>
      </c>
      <c r="D58" s="13" t="str">
        <f>E16&amp;" I "&amp;(VLOOKUP(E14,Table24581114[],6,FALSE))</f>
        <v>Sandy Loam I Arable</v>
      </c>
      <c r="E58" s="13" t="str">
        <f>F16&amp;" I "&amp;(VLOOKUP(F14,Table24581114[],6,FALSE))</f>
        <v>Sandy Loam I Arable</v>
      </c>
      <c r="F58" s="13" t="str">
        <f>G16&amp;" I "&amp;(VLOOKUP(G14,Table24581114[],6,FALSE))</f>
        <v>Sandy Loam I Arable</v>
      </c>
      <c r="G58" s="13" t="str">
        <f>H16&amp;" I "&amp;(VLOOKUP(H14,Table24581114[],6,FALSE))</f>
        <v>Sandy Loam I Grass</v>
      </c>
      <c r="H58" s="13" t="str">
        <f>I16&amp;" I "&amp;(VLOOKUP(I14,Table24581114[],6,FALSE))</f>
        <v>Sandy Loam I Grass</v>
      </c>
      <c r="I58" s="13" t="str">
        <f>J16&amp;" I "&amp;(VLOOKUP(J14,Table24581114[],6,FALSE))</f>
        <v>Sandy Loam I Grass</v>
      </c>
      <c r="J58" s="13" t="str">
        <f>K16&amp;" I "&amp;(VLOOKUP(K14,Table24581114[],6,FALSE))</f>
        <v>Sandy Loam I Grass</v>
      </c>
      <c r="K58" s="13" t="str">
        <f>L16&amp;" I "&amp;(VLOOKUP(L14,Table24581114[],6,FALSE))</f>
        <v>Sandy Loam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6.7</v>
      </c>
      <c r="D59" s="76">
        <f>VLOOKUP(E$14,Table24581114[],5,FALSE)</f>
        <v>6.7</v>
      </c>
      <c r="E59" s="76">
        <f>VLOOKUP(F$14,Table24581114[],5,FALSE)</f>
        <v>6.7</v>
      </c>
      <c r="F59" s="76">
        <f>VLOOKUP(G$14,Table24581114[],5,FALSE)</f>
        <v>6.7</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v>
      </c>
      <c r="C62" s="77">
        <f>B32</f>
        <v>15</v>
      </c>
      <c r="D62" s="77">
        <f>B33</f>
        <v>15</v>
      </c>
      <c r="E62" s="77">
        <f>B34</f>
        <v>15</v>
      </c>
      <c r="F62" s="77">
        <f>B35</f>
        <v>15</v>
      </c>
      <c r="G62" s="77">
        <f>B36</f>
        <v>15</v>
      </c>
      <c r="H62" s="77">
        <f>B37</f>
        <v>15</v>
      </c>
      <c r="I62" s="77">
        <f>B38</f>
        <v>15</v>
      </c>
      <c r="J62" s="77">
        <f>B39</f>
        <v>15</v>
      </c>
      <c r="K62" s="77">
        <f>B40</f>
        <v>15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abSelected="1" zoomScale="90" zoomScaleNormal="90" workbookViewId="0">
      <selection activeCell="E33" sqref="E3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v>7.01</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185</v>
      </c>
      <c r="G2" s="125" t="s">
        <v>110</v>
      </c>
      <c r="H2" s="126"/>
      <c r="I2" s="118"/>
      <c r="J2" s="127" t="s">
        <v>158</v>
      </c>
      <c r="K2" s="127"/>
      <c r="L2" s="97">
        <v>0.03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77</v>
      </c>
      <c r="G3" s="127" t="s">
        <v>159</v>
      </c>
      <c r="H3" s="127"/>
      <c r="I3" s="118"/>
      <c r="J3" s="123" t="s">
        <v>154</v>
      </c>
      <c r="K3" s="124"/>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t="s">
        <v>186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27.952491000000002</v>
      </c>
      <c r="D18" s="16">
        <f>$D32</f>
        <v>27.952491000000002</v>
      </c>
      <c r="E18" s="16">
        <f>$D33</f>
        <v>27.952491000000002</v>
      </c>
      <c r="F18" s="16">
        <f>$D34</f>
        <v>27.952491000000002</v>
      </c>
      <c r="G18" s="16">
        <f>$D35</f>
        <v>27.952491000000002</v>
      </c>
      <c r="H18" s="16">
        <f>$D36</f>
        <v>27.952491000000002</v>
      </c>
      <c r="I18" s="16">
        <f>$D37</f>
        <v>27.952491000000002</v>
      </c>
      <c r="J18" s="16">
        <f>$D38</f>
        <v>27.952491000000002</v>
      </c>
      <c r="K18" s="16">
        <f>$D39</f>
        <v>27.952491000000002</v>
      </c>
      <c r="L18" s="16">
        <f>$D40</f>
        <v>27.952491000000002</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-36.647508999999992</v>
      </c>
      <c r="D19" s="16">
        <f t="shared" ref="D19:V19" si="1">D18-D17</f>
        <v>-28.047508999999998</v>
      </c>
      <c r="E19" s="16">
        <f t="shared" si="1"/>
        <v>-86.047508999999991</v>
      </c>
      <c r="F19" s="16">
        <f t="shared" si="1"/>
        <v>-23.047508999999998</v>
      </c>
      <c r="G19" s="16">
        <f t="shared" si="1"/>
        <v>-28.047508999999998</v>
      </c>
      <c r="H19" s="16">
        <f t="shared" si="1"/>
        <v>-36.647508999999992</v>
      </c>
      <c r="I19" s="16">
        <f t="shared" si="1"/>
        <v>-36.647508999999992</v>
      </c>
      <c r="J19" s="16">
        <f t="shared" si="1"/>
        <v>-36.647508999999992</v>
      </c>
      <c r="K19" s="16">
        <f t="shared" si="1"/>
        <v>-36.647508999999992</v>
      </c>
      <c r="L19" s="16">
        <f t="shared" si="1"/>
        <v>-36.647508999999992</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12.301845</v>
      </c>
      <c r="D22" s="16">
        <f>$E32</f>
        <v>12.301845</v>
      </c>
      <c r="E22" s="16">
        <f>$E33</f>
        <v>12.301845</v>
      </c>
      <c r="F22" s="16">
        <f>$E34</f>
        <v>12.301845</v>
      </c>
      <c r="G22" s="16">
        <f>$E35</f>
        <v>12.301845</v>
      </c>
      <c r="H22" s="16">
        <f>$E36</f>
        <v>12.301845</v>
      </c>
      <c r="I22" s="16">
        <f>$E37</f>
        <v>12.301845</v>
      </c>
      <c r="J22" s="16">
        <f>$E38</f>
        <v>12.301845</v>
      </c>
      <c r="K22" s="16">
        <f>$E39</f>
        <v>12.301845</v>
      </c>
      <c r="L22" s="16">
        <f>$E40</f>
        <v>12.301845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-215.69815499999999</v>
      </c>
      <c r="D23" s="16">
        <f t="shared" ref="D23:V23" si="3">D22-D21</f>
        <v>-163.69815499999999</v>
      </c>
      <c r="E23" s="16">
        <f t="shared" si="3"/>
        <v>-437.69815499999999</v>
      </c>
      <c r="F23" s="16">
        <f t="shared" si="3"/>
        <v>-59.698155</v>
      </c>
      <c r="G23" s="16">
        <f t="shared" si="3"/>
        <v>-163.69815499999999</v>
      </c>
      <c r="H23" s="16">
        <f t="shared" si="3"/>
        <v>-215.69815499999999</v>
      </c>
      <c r="I23" s="16">
        <f t="shared" si="3"/>
        <v>-215.69815499999999</v>
      </c>
      <c r="J23" s="16">
        <f t="shared" si="3"/>
        <v>-215.69815499999999</v>
      </c>
      <c r="K23" s="16">
        <f t="shared" si="3"/>
        <v>-215.69815499999999</v>
      </c>
      <c r="L23" s="16">
        <f t="shared" si="3"/>
        <v>-215.69815499999999</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2.71</v>
      </c>
      <c r="C28" s="15">
        <v>0.03</v>
      </c>
      <c r="D28" s="15">
        <v>49</v>
      </c>
      <c r="E28" s="15">
        <v>41</v>
      </c>
      <c r="F28" s="15">
        <v>88.5</v>
      </c>
      <c r="G28" s="15">
        <v>1.0900000000000001</v>
      </c>
      <c r="H28" s="15">
        <v>5.12</v>
      </c>
      <c r="I28" s="15">
        <v>1.58</v>
      </c>
      <c r="J28" s="15">
        <v>0.02</v>
      </c>
      <c r="K28" s="23">
        <v>0.05</v>
      </c>
      <c r="L28" s="15">
        <v>0.58499999999999996</v>
      </c>
      <c r="M28" s="15">
        <v>0.71799999999999997</v>
      </c>
      <c r="N28" s="15">
        <v>3649</v>
      </c>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v>249</v>
      </c>
      <c r="C31" s="77">
        <f>IF(C$27="%w/w SAR",((C$28*10)*$B31),IF(C$27="%w/w DM",(((C$28*10)*($B$28/100))*$B31),IF(C$27="kg/t SAR",(C$28*$B31),IF(C$27="kg/t DM",((C$28*($B$28/100))*$B31),IF(C$27="mg/kg SAR",((C$28*0.001)*$B31),IF(C$27="mg/kg DM",(((C$28*0.001)*($B$28/100))*$B31),0))))))</f>
        <v>74.7</v>
      </c>
      <c r="D31" s="77">
        <f>(IF(D$27="%w/w SAR",((D$28*10)*$B31),IF(D$27="%w/w DM",(((D$28*10)*($B$28/100))*$B31),IF(D$27="kg/t SAR",(D$28*$B31),IF(D$27="kg/t DM",((D$28*($B$28/100))*$B31),IF(D$27="mg/kg SAR",((D$28*0.001)*$B31),IF(D$27="mg/kg DM",(((D$28*0.001)*($B$28/100))*$B31),"0")))))))*2.291</f>
        <v>27.952491000000002</v>
      </c>
      <c r="E31" s="77">
        <f>(IF(E$27="%w/w SAR",((E$28*10)*$B31),IF(E$27="%w/w DM",(((E$28*10)*($B$28/100))*$B31),IF(E$27="kg/t SAR",(E$28*$B31),IF(E$27="kg/t DM",((E$28*($B$28/100))*$B31),IF(E$27="mg/kg SAR",((E$28*0.001)*$B31),IF(E$27="mg/kg DM",(((E$28*0.001)*($B$28/100))*$B31),"0")))))))*1.205</f>
        <v>12.301845</v>
      </c>
      <c r="F31" s="77">
        <f>(IF(F$27="%w/w SAR",((F$28*10)*$B31),IF(F$27="%w/w DM",(((F$28*10)*($B$28/100))*$B31),IF(F$27="kg/t SAR",(F$28*$B31),IF(F$27="kg/t DM",((F$28*($B$28/100))*$B31),IF(F$27="mg/kg SAR",((F$28*0.001)*$B31),IF(F$27="mg/kg DM",(((F$28*0.001)*($B$28/100))*$B31),"0")))))))*1.658</f>
        <v>36.536516999999996</v>
      </c>
      <c r="G31" s="77">
        <f t="shared" ref="G31:P46" si="5">IF(G$27="%w/w SAR",((G$28*10)*$B31),IF(G$27="%w/w DM",(((G$28*10)*($B$28/100))*$B31),IF(G$27="kg/t SAR",(G$28*$B31),IF(G$27="kg/t DM",((G$28*($B$28/100))*$B31),IF(G$27="mg/kg SAR",((G$28*0.001)*$B31),IF(G$27="mg/kg DM",(((G$28*0.001)*($B$28/100))*$B31),0))))))</f>
        <v>0.27140999999999998</v>
      </c>
      <c r="H31" s="77">
        <f t="shared" si="5"/>
        <v>1.27488</v>
      </c>
      <c r="I31" s="77">
        <f t="shared" si="5"/>
        <v>0.39341999999999999</v>
      </c>
      <c r="J31" s="77">
        <f t="shared" si="5"/>
        <v>4.9800000000000001E-3</v>
      </c>
      <c r="K31" s="77">
        <f t="shared" si="5"/>
        <v>1.2450000000000001E-2</v>
      </c>
      <c r="L31" s="77">
        <f t="shared" si="5"/>
        <v>0.14566500000000002</v>
      </c>
      <c r="M31" s="77">
        <f t="shared" si="5"/>
        <v>0.178782</v>
      </c>
      <c r="N31" s="77">
        <f t="shared" si="5"/>
        <v>908.601</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v>249</v>
      </c>
      <c r="C32" s="77">
        <f t="shared" ref="C32:C50" si="6">IF(C$27="%w/w SAR",((C$28*10)*$B32),IF(C$27="%w/w DM",(((C$28*10)*($B$28/100))*$B32),IF(C$27="kg/t SAR",(C$28*$B32),IF(C$27="kg/t DM",((C$28*($B$28/100))*$B32),IF(C$27="mg/kg SAR",((C$28*0.001)*$B32),IF(C$27="mg/kg DM",(((C$28*0.001)*($B$28/100))*$B32),0))))))</f>
        <v>74.7</v>
      </c>
      <c r="D32" s="77">
        <f t="shared" ref="D32:D50" si="7">(IF(D$27="%w/w SAR",((D$28*10)*$B32),IF(D$27="%w/w DM",(((D$28*10)*($B$28/100))*$B32),IF(D$27="kg/t SAR",(D$28*$B32),IF(D$27="kg/t DM",((D$28*($B$28/100))*$B32),IF(D$27="mg/kg SAR",((D$28*0.001)*$B32),IF(D$27="mg/kg DM",(((D$28*0.001)*($B$28/100))*$B32),"0")))))))*2.291</f>
        <v>27.952491000000002</v>
      </c>
      <c r="E32" s="77">
        <f t="shared" ref="E32:E50" si="8">(IF(E$27="%w/w SAR",((E$28*10)*$B32),IF(E$27="%w/w DM",(((E$28*10)*($B$28/100))*$B32),IF(E$27="kg/t SAR",(E$28*$B32),IF(E$27="kg/t DM",((E$28*($B$28/100))*$B32),IF(E$27="mg/kg SAR",((E$28*0.001)*$B32),IF(E$27="mg/kg DM",(((E$28*0.001)*($B$28/100))*$B32),"0")))))))*1.205</f>
        <v>12.301845</v>
      </c>
      <c r="F32" s="77">
        <f t="shared" ref="F32:F50" si="9">(IF(F$27="%w/w SAR",((F$28*10)*$B32),IF(F$27="%w/w DM",(((F$28*10)*($B$28/100))*$B32),IF(F$27="kg/t SAR",(F$28*$B32),IF(F$27="kg/t DM",((F$28*($B$28/100))*$B32),IF(F$27="mg/kg SAR",((F$28*0.001)*$B32),IF(F$27="mg/kg DM",(((F$28*0.001)*($B$28/100))*$B32),"0")))))))*1.658</f>
        <v>36.536516999999996</v>
      </c>
      <c r="G32" s="77">
        <f t="shared" si="5"/>
        <v>0.27140999999999998</v>
      </c>
      <c r="H32" s="77">
        <f t="shared" si="5"/>
        <v>1.27488</v>
      </c>
      <c r="I32" s="77">
        <f t="shared" si="5"/>
        <v>0.39341999999999999</v>
      </c>
      <c r="J32" s="77">
        <f t="shared" si="5"/>
        <v>4.9800000000000001E-3</v>
      </c>
      <c r="K32" s="77">
        <f t="shared" si="5"/>
        <v>1.2450000000000001E-2</v>
      </c>
      <c r="L32" s="77">
        <f t="shared" si="5"/>
        <v>0.14566500000000002</v>
      </c>
      <c r="M32" s="77">
        <f t="shared" si="5"/>
        <v>0.178782</v>
      </c>
      <c r="N32" s="77">
        <f t="shared" si="5"/>
        <v>908.601</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v>249</v>
      </c>
      <c r="C33" s="77">
        <f t="shared" si="6"/>
        <v>74.7</v>
      </c>
      <c r="D33" s="77">
        <f t="shared" si="7"/>
        <v>27.952491000000002</v>
      </c>
      <c r="E33" s="77">
        <f t="shared" si="8"/>
        <v>12.301845</v>
      </c>
      <c r="F33" s="77">
        <f t="shared" si="9"/>
        <v>36.536516999999996</v>
      </c>
      <c r="G33" s="77">
        <f t="shared" si="5"/>
        <v>0.27140999999999998</v>
      </c>
      <c r="H33" s="77">
        <f t="shared" si="5"/>
        <v>1.27488</v>
      </c>
      <c r="I33" s="77">
        <f t="shared" si="5"/>
        <v>0.39341999999999999</v>
      </c>
      <c r="J33" s="77">
        <f t="shared" si="5"/>
        <v>4.9800000000000001E-3</v>
      </c>
      <c r="K33" s="77">
        <f t="shared" si="5"/>
        <v>1.2450000000000001E-2</v>
      </c>
      <c r="L33" s="77">
        <f t="shared" si="5"/>
        <v>0.14566500000000002</v>
      </c>
      <c r="M33" s="77">
        <f t="shared" si="5"/>
        <v>0.178782</v>
      </c>
      <c r="N33" s="77">
        <f t="shared" si="5"/>
        <v>908.601</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v>249</v>
      </c>
      <c r="C34" s="77">
        <f t="shared" si="6"/>
        <v>74.7</v>
      </c>
      <c r="D34" s="77">
        <f t="shared" si="7"/>
        <v>27.952491000000002</v>
      </c>
      <c r="E34" s="77">
        <f t="shared" si="8"/>
        <v>12.301845</v>
      </c>
      <c r="F34" s="77">
        <f t="shared" si="9"/>
        <v>36.536516999999996</v>
      </c>
      <c r="G34" s="77">
        <f t="shared" si="5"/>
        <v>0.27140999999999998</v>
      </c>
      <c r="H34" s="77">
        <f t="shared" si="5"/>
        <v>1.27488</v>
      </c>
      <c r="I34" s="77">
        <f t="shared" si="5"/>
        <v>0.39341999999999999</v>
      </c>
      <c r="J34" s="77">
        <f t="shared" si="5"/>
        <v>4.9800000000000001E-3</v>
      </c>
      <c r="K34" s="77">
        <f t="shared" si="5"/>
        <v>1.2450000000000001E-2</v>
      </c>
      <c r="L34" s="77">
        <f t="shared" si="5"/>
        <v>0.14566500000000002</v>
      </c>
      <c r="M34" s="77">
        <f t="shared" si="5"/>
        <v>0.178782</v>
      </c>
      <c r="N34" s="77">
        <f t="shared" si="5"/>
        <v>908.601</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v>249</v>
      </c>
      <c r="C35" s="77">
        <f t="shared" si="6"/>
        <v>74.7</v>
      </c>
      <c r="D35" s="77">
        <f t="shared" si="7"/>
        <v>27.952491000000002</v>
      </c>
      <c r="E35" s="77">
        <f t="shared" si="8"/>
        <v>12.301845</v>
      </c>
      <c r="F35" s="77">
        <f t="shared" si="9"/>
        <v>36.536516999999996</v>
      </c>
      <c r="G35" s="77">
        <f t="shared" si="5"/>
        <v>0.27140999999999998</v>
      </c>
      <c r="H35" s="77">
        <f t="shared" si="5"/>
        <v>1.27488</v>
      </c>
      <c r="I35" s="77">
        <f t="shared" si="5"/>
        <v>0.39341999999999999</v>
      </c>
      <c r="J35" s="77">
        <f t="shared" si="5"/>
        <v>4.9800000000000001E-3</v>
      </c>
      <c r="K35" s="77">
        <f t="shared" si="5"/>
        <v>1.2450000000000001E-2</v>
      </c>
      <c r="L35" s="77">
        <f t="shared" si="5"/>
        <v>0.14566500000000002</v>
      </c>
      <c r="M35" s="77">
        <f t="shared" si="5"/>
        <v>0.178782</v>
      </c>
      <c r="N35" s="77">
        <f t="shared" si="5"/>
        <v>908.601</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v>249</v>
      </c>
      <c r="C36" s="77">
        <f t="shared" si="6"/>
        <v>74.7</v>
      </c>
      <c r="D36" s="77">
        <f t="shared" si="7"/>
        <v>27.952491000000002</v>
      </c>
      <c r="E36" s="77">
        <f t="shared" si="8"/>
        <v>12.301845</v>
      </c>
      <c r="F36" s="77">
        <f t="shared" si="9"/>
        <v>36.536516999999996</v>
      </c>
      <c r="G36" s="77">
        <f t="shared" si="5"/>
        <v>0.27140999999999998</v>
      </c>
      <c r="H36" s="77">
        <f t="shared" si="5"/>
        <v>1.27488</v>
      </c>
      <c r="I36" s="77">
        <f t="shared" si="5"/>
        <v>0.39341999999999999</v>
      </c>
      <c r="J36" s="77">
        <f t="shared" si="5"/>
        <v>4.9800000000000001E-3</v>
      </c>
      <c r="K36" s="77">
        <f t="shared" si="5"/>
        <v>1.2450000000000001E-2</v>
      </c>
      <c r="L36" s="77">
        <f t="shared" si="5"/>
        <v>0.14566500000000002</v>
      </c>
      <c r="M36" s="77">
        <f t="shared" si="5"/>
        <v>0.178782</v>
      </c>
      <c r="N36" s="77">
        <f t="shared" si="5"/>
        <v>908.601</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v>249</v>
      </c>
      <c r="C37" s="77">
        <f t="shared" si="6"/>
        <v>74.7</v>
      </c>
      <c r="D37" s="77">
        <f t="shared" si="7"/>
        <v>27.952491000000002</v>
      </c>
      <c r="E37" s="77">
        <f t="shared" si="8"/>
        <v>12.301845</v>
      </c>
      <c r="F37" s="77">
        <f t="shared" si="9"/>
        <v>36.536516999999996</v>
      </c>
      <c r="G37" s="77">
        <f t="shared" si="5"/>
        <v>0.27140999999999998</v>
      </c>
      <c r="H37" s="77">
        <f t="shared" si="5"/>
        <v>1.27488</v>
      </c>
      <c r="I37" s="77">
        <f t="shared" si="5"/>
        <v>0.39341999999999999</v>
      </c>
      <c r="J37" s="77">
        <f t="shared" si="5"/>
        <v>4.9800000000000001E-3</v>
      </c>
      <c r="K37" s="77">
        <f t="shared" si="5"/>
        <v>1.2450000000000001E-2</v>
      </c>
      <c r="L37" s="77">
        <f t="shared" si="5"/>
        <v>0.14566500000000002</v>
      </c>
      <c r="M37" s="77">
        <f t="shared" si="5"/>
        <v>0.178782</v>
      </c>
      <c r="N37" s="77">
        <f t="shared" si="5"/>
        <v>908.601</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v>249</v>
      </c>
      <c r="C38" s="77">
        <f t="shared" si="6"/>
        <v>74.7</v>
      </c>
      <c r="D38" s="77">
        <f t="shared" si="7"/>
        <v>27.952491000000002</v>
      </c>
      <c r="E38" s="77">
        <f t="shared" si="8"/>
        <v>12.301845</v>
      </c>
      <c r="F38" s="77">
        <f t="shared" si="9"/>
        <v>36.536516999999996</v>
      </c>
      <c r="G38" s="77">
        <f t="shared" si="5"/>
        <v>0.27140999999999998</v>
      </c>
      <c r="H38" s="77">
        <f t="shared" si="5"/>
        <v>1.27488</v>
      </c>
      <c r="I38" s="77">
        <f t="shared" si="5"/>
        <v>0.39341999999999999</v>
      </c>
      <c r="J38" s="77">
        <f t="shared" si="5"/>
        <v>4.9800000000000001E-3</v>
      </c>
      <c r="K38" s="77">
        <f t="shared" si="5"/>
        <v>1.2450000000000001E-2</v>
      </c>
      <c r="L38" s="77">
        <f t="shared" si="5"/>
        <v>0.14566500000000002</v>
      </c>
      <c r="M38" s="77">
        <f t="shared" si="5"/>
        <v>0.178782</v>
      </c>
      <c r="N38" s="77">
        <f t="shared" si="5"/>
        <v>908.601</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v>249</v>
      </c>
      <c r="C39" s="77">
        <f t="shared" si="6"/>
        <v>74.7</v>
      </c>
      <c r="D39" s="77">
        <f t="shared" si="7"/>
        <v>27.952491000000002</v>
      </c>
      <c r="E39" s="77">
        <f t="shared" si="8"/>
        <v>12.301845</v>
      </c>
      <c r="F39" s="77">
        <f t="shared" si="9"/>
        <v>36.536516999999996</v>
      </c>
      <c r="G39" s="77">
        <f t="shared" si="5"/>
        <v>0.27140999999999998</v>
      </c>
      <c r="H39" s="77">
        <f t="shared" si="5"/>
        <v>1.27488</v>
      </c>
      <c r="I39" s="77">
        <f t="shared" si="5"/>
        <v>0.39341999999999999</v>
      </c>
      <c r="J39" s="77">
        <f t="shared" si="5"/>
        <v>4.9800000000000001E-3</v>
      </c>
      <c r="K39" s="77">
        <f t="shared" si="5"/>
        <v>1.2450000000000001E-2</v>
      </c>
      <c r="L39" s="77">
        <f t="shared" si="5"/>
        <v>0.14566500000000002</v>
      </c>
      <c r="M39" s="77">
        <f t="shared" si="5"/>
        <v>0.178782</v>
      </c>
      <c r="N39" s="77">
        <f t="shared" si="5"/>
        <v>908.601</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v>249</v>
      </c>
      <c r="C40" s="77">
        <f t="shared" si="6"/>
        <v>74.7</v>
      </c>
      <c r="D40" s="77">
        <f t="shared" si="7"/>
        <v>27.952491000000002</v>
      </c>
      <c r="E40" s="77">
        <f t="shared" si="8"/>
        <v>12.301845</v>
      </c>
      <c r="F40" s="77">
        <f t="shared" si="9"/>
        <v>36.536516999999996</v>
      </c>
      <c r="G40" s="77">
        <f t="shared" si="5"/>
        <v>0.27140999999999998</v>
      </c>
      <c r="H40" s="77">
        <f t="shared" si="5"/>
        <v>1.27488</v>
      </c>
      <c r="I40" s="77">
        <f t="shared" si="5"/>
        <v>0.39341999999999999</v>
      </c>
      <c r="J40" s="77">
        <f t="shared" si="5"/>
        <v>4.9800000000000001E-3</v>
      </c>
      <c r="K40" s="77">
        <f t="shared" si="5"/>
        <v>1.2450000000000001E-2</v>
      </c>
      <c r="L40" s="77">
        <f t="shared" si="5"/>
        <v>0.14566500000000002</v>
      </c>
      <c r="M40" s="77">
        <f t="shared" si="5"/>
        <v>0.178782</v>
      </c>
      <c r="N40" s="77">
        <f t="shared" si="5"/>
        <v>908.601</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Sandy Loam I Grass</v>
      </c>
      <c r="C58" s="13" t="str">
        <f>D16&amp;" I "&amp;(VLOOKUP(D14,Table245810[],6,FALSE))</f>
        <v>Sandy Loam I Arable</v>
      </c>
      <c r="D58" s="13" t="str">
        <f>E16&amp;" I "&amp;(VLOOKUP(E14,Table245810[],6,FALSE))</f>
        <v>Sandy Loam I Arable</v>
      </c>
      <c r="E58" s="13" t="str">
        <f>F16&amp;" I "&amp;(VLOOKUP(F14,Table245810[],6,FALSE))</f>
        <v>Sandy Loam I Arable</v>
      </c>
      <c r="F58" s="13" t="str">
        <f>G16&amp;" I "&amp;(VLOOKUP(G14,Table245810[],6,FALSE))</f>
        <v>Sandy Loam I Arable</v>
      </c>
      <c r="G58" s="13" t="str">
        <f>H16&amp;" I "&amp;(VLOOKUP(H14,Table245810[],6,FALSE))</f>
        <v>Sandy Loam I Grass</v>
      </c>
      <c r="H58" s="13" t="str">
        <f>I16&amp;" I "&amp;(VLOOKUP(I14,Table245810[],6,FALSE))</f>
        <v>Sandy Loam I Grass</v>
      </c>
      <c r="I58" s="13" t="str">
        <f>J16&amp;" I "&amp;(VLOOKUP(J14,Table245810[],6,FALSE))</f>
        <v>Sandy Loam I Grass</v>
      </c>
      <c r="J58" s="13" t="str">
        <f>K16&amp;" I "&amp;(VLOOKUP(K14,Table245810[],6,FALSE))</f>
        <v>Sandy Loam I Grass</v>
      </c>
      <c r="K58" s="13" t="str">
        <f>L16&amp;" I "&amp;(VLOOKUP(L14,Table245810[],6,FALSE))</f>
        <v>Sandy Loam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6.7</v>
      </c>
      <c r="D59" s="76">
        <f>VLOOKUP(E$14,Table245810[],5,FALSE)</f>
        <v>6.7</v>
      </c>
      <c r="E59" s="76">
        <f>VLOOKUP(F$14,Table245810[],5,FALSE)</f>
        <v>6.7</v>
      </c>
      <c r="F59" s="76">
        <f>VLOOKUP(G$14,Table245810[],5,FALSE)</f>
        <v>6.7</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249</v>
      </c>
      <c r="C62" s="77">
        <f>B32</f>
        <v>249</v>
      </c>
      <c r="D62" s="77">
        <f>B33</f>
        <v>249</v>
      </c>
      <c r="E62" s="77">
        <f>B34</f>
        <v>249</v>
      </c>
      <c r="F62" s="77">
        <f>B35</f>
        <v>249</v>
      </c>
      <c r="G62" s="77">
        <f>B36</f>
        <v>249</v>
      </c>
      <c r="H62" s="77">
        <f>B37</f>
        <v>249</v>
      </c>
      <c r="I62" s="77">
        <f>B38</f>
        <v>249</v>
      </c>
      <c r="J62" s="77">
        <f>B39</f>
        <v>249</v>
      </c>
      <c r="K62" s="77">
        <f>B40</f>
        <v>249</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-56</v>
      </c>
      <c r="E19" s="16">
        <f t="shared" si="1"/>
        <v>-114</v>
      </c>
      <c r="F19" s="16">
        <f t="shared" si="1"/>
        <v>-51</v>
      </c>
      <c r="G19" s="16">
        <f t="shared" si="1"/>
        <v>-56</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-176</v>
      </c>
      <c r="E23" s="16">
        <f t="shared" si="3"/>
        <v>-450</v>
      </c>
      <c r="F23" s="16">
        <f t="shared" si="3"/>
        <v>-72</v>
      </c>
      <c r="G23" s="16">
        <f t="shared" si="3"/>
        <v>-176</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Sandy Loam I Grass</v>
      </c>
      <c r="C58" s="13" t="str">
        <f>D16&amp;" I "&amp;(VLOOKUP(D14,Table2458[],6,FALSE))</f>
        <v>Sandy Loam I Arable</v>
      </c>
      <c r="D58" s="13" t="str">
        <f>E16&amp;" I "&amp;(VLOOKUP(E14,Table2458[],6,FALSE))</f>
        <v>Sandy Loam I Arable</v>
      </c>
      <c r="E58" s="13" t="str">
        <f>F16&amp;" I "&amp;(VLOOKUP(F14,Table2458[],6,FALSE))</f>
        <v>Sandy Loam I Arable</v>
      </c>
      <c r="F58" s="13" t="str">
        <f>G16&amp;" I "&amp;(VLOOKUP(G14,Table2458[],6,FALSE))</f>
        <v>Sandy Loam I Arable</v>
      </c>
      <c r="G58" s="13" t="str">
        <f>H16&amp;" I "&amp;(VLOOKUP(H14,Table2458[],6,FALSE))</f>
        <v>Sandy Loam I Grass</v>
      </c>
      <c r="H58" s="13" t="str">
        <f>I16&amp;" I "&amp;(VLOOKUP(I14,Table2458[],6,FALSE))</f>
        <v>Sandy Loam I Grass</v>
      </c>
      <c r="I58" s="13" t="str">
        <f>J16&amp;" I "&amp;(VLOOKUP(J14,Table2458[],6,FALSE))</f>
        <v>Sandy Loam I Grass</v>
      </c>
      <c r="J58" s="13" t="str">
        <f>K16&amp;" I "&amp;(VLOOKUP(K14,Table2458[],6,FALSE))</f>
        <v>Sandy Loam I Grass</v>
      </c>
      <c r="K58" s="13" t="str">
        <f>L16&amp;" I "&amp;(VLOOKUP(L14,Table2458[],6,FALSE))</f>
        <v>Sandy Loam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6.7</v>
      </c>
      <c r="D59" s="76">
        <f>VLOOKUP(E$14,Table2458[],5,FALSE)</f>
        <v>6.7</v>
      </c>
      <c r="E59" s="76">
        <f>VLOOKUP(F$14,Table2458[],5,FALSE)</f>
        <v>6.7</v>
      </c>
      <c r="F59" s="76">
        <f>VLOOKUP(G$14,Table2458[],5,FALSE)</f>
        <v>6.7</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-56</v>
      </c>
      <c r="E19" s="16">
        <f t="shared" si="1"/>
        <v>-114</v>
      </c>
      <c r="F19" s="16">
        <f t="shared" si="1"/>
        <v>-51</v>
      </c>
      <c r="G19" s="16">
        <f t="shared" si="1"/>
        <v>-56</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-176</v>
      </c>
      <c r="E23" s="16">
        <f t="shared" si="3"/>
        <v>-450</v>
      </c>
      <c r="F23" s="16">
        <f t="shared" si="3"/>
        <v>-72</v>
      </c>
      <c r="G23" s="16">
        <f t="shared" si="3"/>
        <v>-176</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Sandy Loam I Grass</v>
      </c>
      <c r="C58" s="13" t="str">
        <f>D16&amp;" I "&amp;(VLOOKUP(D14,Table24581113[],6,FALSE))</f>
        <v>Sandy Loam I Arable</v>
      </c>
      <c r="D58" s="13" t="str">
        <f>E16&amp;" I "&amp;(VLOOKUP(E14,Table24581113[],6,FALSE))</f>
        <v>Sandy Loam I Arable</v>
      </c>
      <c r="E58" s="13" t="str">
        <f>F16&amp;" I "&amp;(VLOOKUP(F14,Table24581113[],6,FALSE))</f>
        <v>Sandy Loam I Arable</v>
      </c>
      <c r="F58" s="13" t="str">
        <f>G16&amp;" I "&amp;(VLOOKUP(G14,Table24581113[],6,FALSE))</f>
        <v>Sandy Loam I Arable</v>
      </c>
      <c r="G58" s="13" t="str">
        <f>H16&amp;" I "&amp;(VLOOKUP(H14,Table24581113[],6,FALSE))</f>
        <v>Sandy Loam I Grass</v>
      </c>
      <c r="H58" s="13" t="str">
        <f>I16&amp;" I "&amp;(VLOOKUP(I14,Table24581113[],6,FALSE))</f>
        <v>Sandy Loam I Grass</v>
      </c>
      <c r="I58" s="13" t="str">
        <f>J16&amp;" I "&amp;(VLOOKUP(J14,Table24581113[],6,FALSE))</f>
        <v>Sandy Loam I Grass</v>
      </c>
      <c r="J58" s="13" t="str">
        <f>K16&amp;" I "&amp;(VLOOKUP(K14,Table24581113[],6,FALSE))</f>
        <v>Sandy Loam I Grass</v>
      </c>
      <c r="K58" s="13" t="str">
        <f>L16&amp;" I "&amp;(VLOOKUP(L14,Table24581113[],6,FALSE))</f>
        <v>Sandy Loam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6.7</v>
      </c>
      <c r="D59" s="76">
        <f>VLOOKUP(E$14,Table24581113[],5,FALSE)</f>
        <v>6.7</v>
      </c>
      <c r="E59" s="76">
        <f>VLOOKUP(F$14,Table24581113[],5,FALSE)</f>
        <v>6.7</v>
      </c>
      <c r="F59" s="76">
        <f>VLOOKUP(G$14,Table24581113[],5,FALSE)</f>
        <v>6.7</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-56</v>
      </c>
      <c r="E19" s="16">
        <f t="shared" si="1"/>
        <v>-114</v>
      </c>
      <c r="F19" s="16">
        <f t="shared" si="1"/>
        <v>-51</v>
      </c>
      <c r="G19" s="16">
        <f t="shared" si="1"/>
        <v>-56</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-176</v>
      </c>
      <c r="E23" s="16">
        <f t="shared" si="3"/>
        <v>-450</v>
      </c>
      <c r="F23" s="16">
        <f t="shared" si="3"/>
        <v>-72</v>
      </c>
      <c r="G23" s="16">
        <f t="shared" si="3"/>
        <v>-176</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Sandy Loam I Grass</v>
      </c>
      <c r="C58" s="13" t="str">
        <f>D16&amp;" I "&amp;(VLOOKUP(D14,Table24567[],6,FALSE))</f>
        <v>Sandy Loam I Arable</v>
      </c>
      <c r="D58" s="13" t="str">
        <f>E16&amp;" I "&amp;(VLOOKUP(E14,Table24567[],6,FALSE))</f>
        <v>Sandy Loam I Arable</v>
      </c>
      <c r="E58" s="13" t="str">
        <f>F16&amp;" I "&amp;(VLOOKUP(F14,Table24567[],6,FALSE))</f>
        <v>Sandy Loam I Arable</v>
      </c>
      <c r="F58" s="13" t="str">
        <f>G16&amp;" I "&amp;(VLOOKUP(G14,Table24567[],6,FALSE))</f>
        <v>Sandy Loam I Arable</v>
      </c>
      <c r="G58" s="13" t="str">
        <f>H16&amp;" I "&amp;(VLOOKUP(H14,Table24567[],6,FALSE))</f>
        <v>Sandy Loam I Grass</v>
      </c>
      <c r="H58" s="13" t="str">
        <f>I16&amp;" I "&amp;(VLOOKUP(I14,Table24567[],6,FALSE))</f>
        <v>Sandy Loam I Grass</v>
      </c>
      <c r="I58" s="13" t="str">
        <f>J16&amp;" I "&amp;(VLOOKUP(J14,Table24567[],6,FALSE))</f>
        <v>Sandy Loam I Grass</v>
      </c>
      <c r="J58" s="13" t="str">
        <f>K16&amp;" I "&amp;(VLOOKUP(K14,Table24567[],6,FALSE))</f>
        <v>Sandy Loam I Grass</v>
      </c>
      <c r="K58" s="13" t="str">
        <f>L16&amp;" I "&amp;(VLOOKUP(L14,Table24567[],6,FALSE))</f>
        <v>Sandy Loam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6.7</v>
      </c>
      <c r="D59" s="76">
        <f>VLOOKUP(E$14,Table24567[],5,FALSE)</f>
        <v>6.7</v>
      </c>
      <c r="E59" s="76">
        <f>VLOOKUP(F$14,Table24567[],5,FALSE)</f>
        <v>6.7</v>
      </c>
      <c r="F59" s="76">
        <f>VLOOKUP(G$14,Table24567[],5,FALSE)</f>
        <v>6.7</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 xml:space="preserve">PAN-023688 </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Birchenfields Farm, Sealand Road,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1</v>
      </c>
      <c r="F9" s="60">
        <f>'Field data and Waste 1'!F9</f>
        <v>1</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5.9</v>
      </c>
      <c r="D10" s="60">
        <f>'Field data and Waste 1'!D10</f>
        <v>6.1</v>
      </c>
      <c r="E10" s="60">
        <f>'Field data and Waste 1'!E10</f>
        <v>6.6</v>
      </c>
      <c r="F10" s="60">
        <f>'Field data and Waste 1'!F10</f>
        <v>5.8</v>
      </c>
      <c r="G10" s="60">
        <f>'Field data and Waste 1'!G10</f>
        <v>5.6</v>
      </c>
      <c r="H10" s="60">
        <f>'Field data and Waste 1'!H10</f>
        <v>5.7</v>
      </c>
      <c r="I10" s="60">
        <f>'Field data and Waste 1'!I10</f>
        <v>5.6</v>
      </c>
      <c r="J10" s="60">
        <f>'Field data and Waste 1'!J10</f>
        <v>5.5</v>
      </c>
      <c r="K10" s="60">
        <f>'Field data and Waste 1'!K10</f>
        <v>5.6</v>
      </c>
      <c r="L10" s="60">
        <f>'Field data and Waste 1'!L10</f>
        <v>5.5</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2</v>
      </c>
      <c r="F11" s="60">
        <f>'Field data and Waste 1'!F11</f>
        <v>2</v>
      </c>
      <c r="G11" s="60">
        <f>'Field data and Waste 1'!G11</f>
        <v>0</v>
      </c>
      <c r="H11" s="60">
        <f>'Field data and Waste 1'!H11</f>
        <v>3</v>
      </c>
      <c r="I11" s="60">
        <f>'Field data and Waste 1'!I11</f>
        <v>0</v>
      </c>
      <c r="J11" s="60">
        <f>'Field data and Waste 1'!J11</f>
        <v>3</v>
      </c>
      <c r="K11" s="60">
        <f>'Field data and Waste 1'!K11</f>
        <v>3</v>
      </c>
      <c r="L11" s="60">
        <f>'Field data and Waste 1'!L11</f>
        <v>3</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1</v>
      </c>
      <c r="E12" s="60">
        <f>'Field data and Waste 1'!E12</f>
        <v>3</v>
      </c>
      <c r="F12" s="60">
        <f>'Field data and Waste 1'!F12</f>
        <v>1</v>
      </c>
      <c r="G12" s="60">
        <f>'Field data and Waste 1'!G12</f>
        <v>0</v>
      </c>
      <c r="H12" s="60">
        <f>'Field data and Waste 1'!H12</f>
        <v>2</v>
      </c>
      <c r="I12" s="60">
        <f>'Field data and Waste 1'!I12</f>
        <v>0</v>
      </c>
      <c r="J12" s="60">
        <f>'Field data and Waste 1'!J12</f>
        <v>2</v>
      </c>
      <c r="K12" s="60">
        <f>'Field data and Waste 1'!K12</f>
        <v>2</v>
      </c>
      <c r="L12" s="60">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Sugar beet- roots &amp; tops</v>
      </c>
      <c r="F14" s="102" t="str">
        <f>'Field data and Waste 1'!F14</f>
        <v>Spring wheat/barley</v>
      </c>
      <c r="G14" s="102" t="str">
        <f>'Field data and Waste 1'!G14</f>
        <v>Maize- Silage (30% DM)</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60</v>
      </c>
      <c r="F15" s="60">
        <f>'Field data and Waste 1'!F15</f>
        <v>6</v>
      </c>
      <c r="G15" s="60">
        <f>'Field data and Waste 1'!G15</f>
        <v>40</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114</v>
      </c>
      <c r="F17" s="28">
        <f t="shared" si="0"/>
        <v>51</v>
      </c>
      <c r="G17" s="28">
        <f t="shared" si="0"/>
        <v>56</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-56</v>
      </c>
      <c r="E19" s="16">
        <f t="shared" si="1"/>
        <v>-114</v>
      </c>
      <c r="F19" s="16">
        <f t="shared" si="1"/>
        <v>-51</v>
      </c>
      <c r="G19" s="16">
        <f t="shared" si="1"/>
        <v>-56</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450</v>
      </c>
      <c r="F21" s="28">
        <f t="shared" si="2"/>
        <v>72</v>
      </c>
      <c r="G21" s="28">
        <f t="shared" si="2"/>
        <v>176</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-176</v>
      </c>
      <c r="E23" s="16">
        <f t="shared" si="3"/>
        <v>-450</v>
      </c>
      <c r="F23" s="16">
        <f t="shared" si="3"/>
        <v>-72</v>
      </c>
      <c r="G23" s="16">
        <f t="shared" si="3"/>
        <v>-176</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Sandy Loam I Grass</v>
      </c>
      <c r="C58" s="13" t="str">
        <f>D16&amp;" I "&amp;(VLOOKUP(D14,Table2456[],6,FALSE))</f>
        <v>Sandy Loam I Arable</v>
      </c>
      <c r="D58" s="13" t="str">
        <f>E16&amp;" I "&amp;(VLOOKUP(E14,Table2456[],6,FALSE))</f>
        <v>Sandy Loam I Arable</v>
      </c>
      <c r="E58" s="13" t="str">
        <f>F16&amp;" I "&amp;(VLOOKUP(F14,Table2456[],6,FALSE))</f>
        <v>Sandy Loam I Arable</v>
      </c>
      <c r="F58" s="13" t="str">
        <f>G16&amp;" I "&amp;(VLOOKUP(G14,Table2456[],6,FALSE))</f>
        <v>Sandy Loam I Arable</v>
      </c>
      <c r="G58" s="13" t="str">
        <f>H16&amp;" I "&amp;(VLOOKUP(H14,Table2456[],6,FALSE))</f>
        <v>Sandy Loam I Grass</v>
      </c>
      <c r="H58" s="13" t="str">
        <f>I16&amp;" I "&amp;(VLOOKUP(I14,Table2456[],6,FALSE))</f>
        <v>Sandy Loam I Grass</v>
      </c>
      <c r="I58" s="13" t="str">
        <f>J16&amp;" I "&amp;(VLOOKUP(J14,Table2456[],6,FALSE))</f>
        <v>Sandy Loam I Grass</v>
      </c>
      <c r="J58" s="13" t="str">
        <f>K16&amp;" I "&amp;(VLOOKUP(K14,Table2456[],6,FALSE))</f>
        <v>Sandy Loam I Grass</v>
      </c>
      <c r="K58" s="13" t="str">
        <f>L16&amp;" I "&amp;(VLOOKUP(L14,Table2456[],6,FALSE))</f>
        <v>Sandy Loam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6.7</v>
      </c>
      <c r="D59" s="76">
        <f>VLOOKUP(E$14,Table2456[],5,FALSE)</f>
        <v>6.7</v>
      </c>
      <c r="E59" s="76">
        <f>VLOOKUP(F$14,Table2456[],5,FALSE)</f>
        <v>6.7</v>
      </c>
      <c r="F59" s="76">
        <f>VLOOKUP(G$14,Table2456[],5,FALSE)</f>
        <v>6.7</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5.9</v>
      </c>
      <c r="C60" s="76">
        <f t="shared" ref="C60:U60" si="14">D10</f>
        <v>6.1</v>
      </c>
      <c r="D60" s="76">
        <f t="shared" si="14"/>
        <v>6.6</v>
      </c>
      <c r="E60" s="76">
        <f t="shared" si="14"/>
        <v>5.8</v>
      </c>
      <c r="F60" s="76">
        <f t="shared" si="14"/>
        <v>5.6</v>
      </c>
      <c r="G60" s="76">
        <f t="shared" si="14"/>
        <v>5.7</v>
      </c>
      <c r="H60" s="76">
        <f t="shared" si="14"/>
        <v>5.6</v>
      </c>
      <c r="I60" s="76">
        <f t="shared" si="14"/>
        <v>5.5</v>
      </c>
      <c r="J60" s="76">
        <f t="shared" si="14"/>
        <v>5.6</v>
      </c>
      <c r="K60" s="76">
        <f t="shared" si="14"/>
        <v>5.5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7</v>
      </c>
      <c r="D61" s="76">
        <f t="shared" si="15"/>
        <v>7</v>
      </c>
      <c r="E61" s="76">
        <f t="shared" si="15"/>
        <v>7</v>
      </c>
      <c r="F61" s="76">
        <f t="shared" si="15"/>
        <v>7</v>
      </c>
      <c r="G61" s="76">
        <f t="shared" si="15"/>
        <v>5</v>
      </c>
      <c r="H61" s="76">
        <f t="shared" si="15"/>
        <v>5</v>
      </c>
      <c r="I61" s="76">
        <f t="shared" si="15"/>
        <v>5</v>
      </c>
      <c r="J61" s="76">
        <f t="shared" si="15"/>
        <v>5</v>
      </c>
      <c r="K61" s="76">
        <f t="shared" si="15"/>
        <v>5</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1.4999999999999991</v>
      </c>
      <c r="C64" s="77">
        <f t="shared" ref="C64:U64" si="17">(C59-C60)*C61</f>
        <v>4.2000000000000037</v>
      </c>
      <c r="D64" s="77">
        <f t="shared" si="17"/>
        <v>0.70000000000000373</v>
      </c>
      <c r="E64" s="77">
        <f t="shared" si="17"/>
        <v>6.3000000000000025</v>
      </c>
      <c r="F64" s="77">
        <f t="shared" si="17"/>
        <v>7.7000000000000037</v>
      </c>
      <c r="G64" s="77">
        <f t="shared" si="17"/>
        <v>2.5</v>
      </c>
      <c r="H64" s="77">
        <f t="shared" si="17"/>
        <v>3.0000000000000027</v>
      </c>
      <c r="I64" s="77">
        <f t="shared" si="17"/>
        <v>3.5000000000000009</v>
      </c>
      <c r="J64" s="77">
        <f t="shared" si="17"/>
        <v>3.0000000000000027</v>
      </c>
      <c r="K64" s="77">
        <f t="shared" si="17"/>
        <v>3.5000000000000009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-1.4999999999999991</v>
      </c>
      <c r="C65" s="77">
        <f t="shared" ref="C65:U65" si="18">C63-C64</f>
        <v>-4.2000000000000037</v>
      </c>
      <c r="D65" s="77">
        <f t="shared" si="18"/>
        <v>-0.70000000000000373</v>
      </c>
      <c r="E65" s="77">
        <f t="shared" si="18"/>
        <v>-6.3000000000000025</v>
      </c>
      <c r="F65" s="77">
        <f t="shared" si="18"/>
        <v>-7.7000000000000037</v>
      </c>
      <c r="G65" s="77">
        <f t="shared" si="18"/>
        <v>-2.5</v>
      </c>
      <c r="H65" s="77">
        <f t="shared" si="18"/>
        <v>-3.0000000000000027</v>
      </c>
      <c r="I65" s="77">
        <f t="shared" si="18"/>
        <v>-3.5000000000000009</v>
      </c>
      <c r="J65" s="77">
        <f t="shared" si="18"/>
        <v>-3.0000000000000027</v>
      </c>
      <c r="K65" s="77">
        <f t="shared" si="18"/>
        <v>-3.5000000000000009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135</v>
      </c>
      <c r="C3" s="33">
        <f>'Field data and Waste 1'!C31</f>
        <v>242.99999999999997</v>
      </c>
      <c r="D3" s="33">
        <f>'Field data and Waste 1'!D31</f>
        <v>2.6320153499999996</v>
      </c>
      <c r="E3" s="33">
        <f>'Field data and Waste 1'!E31</f>
        <v>13.990050000000002</v>
      </c>
      <c r="F3" s="33">
        <f>'Field data and Waste 1'!F31</f>
        <v>14.951843999999998</v>
      </c>
      <c r="G3" s="33">
        <f>'Field data and Waste 1'!G31</f>
        <v>2.7E-2</v>
      </c>
      <c r="H3" s="33">
        <f>'Field data and Waste 1'!H31</f>
        <v>7.9379999999999992E-2</v>
      </c>
      <c r="I3" s="33">
        <f>'Field data and Waste 1'!I31</f>
        <v>6.7500000000000004E-2</v>
      </c>
      <c r="J3" s="33">
        <f>'Field data and Waste 1'!J31</f>
        <v>1.3500000000000001E-3</v>
      </c>
      <c r="K3" s="33">
        <f>'Field data and Waste 1'!K31</f>
        <v>6.7499999999999999E-3</v>
      </c>
      <c r="L3" s="33">
        <f>'Field data and Waste 1'!L31</f>
        <v>2.7E-2</v>
      </c>
      <c r="M3" s="33">
        <f>'Field data and Waste 1'!M31</f>
        <v>2.7E-2</v>
      </c>
      <c r="N3" s="33">
        <f>'Field data and Waste 1'!N31</f>
        <v>0</v>
      </c>
      <c r="O3" s="33">
        <f>'Field data and Waste 1'!O31</f>
        <v>0</v>
      </c>
      <c r="P3" s="33">
        <f>'Field data and Waste 1'!P31</f>
        <v>60.615000000000002</v>
      </c>
      <c r="Q3" s="33">
        <f>'Field data and Waste 1'!Q31</f>
        <v>10.833750000000002</v>
      </c>
      <c r="R3" s="33">
        <f>'Field data and Waste 1'!R31</f>
        <v>0</v>
      </c>
      <c r="S3" s="33">
        <f>'Field data and Waste 1'!S31</f>
        <v>0</v>
      </c>
      <c r="T3" s="33">
        <f>'Field data and Waste 1'!T31</f>
        <v>0</v>
      </c>
      <c r="U3" s="33">
        <f>'Field data and Waste 1'!U31</f>
        <v>0</v>
      </c>
    </row>
    <row r="4" spans="1:21" x14ac:dyDescent="0.25">
      <c r="A4" s="36">
        <v>2</v>
      </c>
      <c r="B4" s="33">
        <f>'Waste 2'!B31</f>
        <v>25</v>
      </c>
      <c r="C4" s="33">
        <f>'Waste 2'!C31</f>
        <v>75</v>
      </c>
      <c r="D4" s="33">
        <f>'Waste 2'!D31</f>
        <v>49.485600000000005</v>
      </c>
      <c r="E4" s="33">
        <f>'Waste 2'!E31</f>
        <v>15.725250000000003</v>
      </c>
      <c r="F4" s="33">
        <f>'Waste 2'!F31</f>
        <v>2.607205</v>
      </c>
      <c r="G4" s="33">
        <f>'Waste 2'!G31</f>
        <v>5.8500000000000003E-2</v>
      </c>
      <c r="H4" s="33">
        <f>'Waste 2'!H31</f>
        <v>1.3474999999999999</v>
      </c>
      <c r="I4" s="33">
        <f>'Waste 2'!I31</f>
        <v>8.0250000000000002E-2</v>
      </c>
      <c r="J4" s="33">
        <f>'Waste 2'!J31</f>
        <v>1.2250000000000002E-3</v>
      </c>
      <c r="K4" s="33">
        <f>'Waste 2'!K31</f>
        <v>1.25E-3</v>
      </c>
      <c r="L4" s="33">
        <f>'Waste 2'!L31</f>
        <v>1.9500000000000003E-2</v>
      </c>
      <c r="M4" s="33">
        <f>'Waste 2'!M31</f>
        <v>2.3350000000000003E-2</v>
      </c>
      <c r="N4" s="33">
        <f>'Waste 2'!N31</f>
        <v>0</v>
      </c>
      <c r="O4" s="33">
        <f>'Waste 2'!O31</f>
        <v>0</v>
      </c>
      <c r="P4" s="33">
        <f>'Waste 2'!P31</f>
        <v>38.175000000000004</v>
      </c>
      <c r="Q4" s="33">
        <f>'Waste 2'!Q31</f>
        <v>55.875</v>
      </c>
      <c r="R4" s="33">
        <f>'Waste 2'!R31</f>
        <v>0</v>
      </c>
      <c r="S4" s="33">
        <f>'Waste 2'!S31</f>
        <v>0</v>
      </c>
      <c r="T4" s="33">
        <f>'Waste 2'!T31</f>
        <v>0</v>
      </c>
      <c r="U4" s="33">
        <f>'Waste 2'!U31</f>
        <v>0</v>
      </c>
    </row>
    <row r="5" spans="1:21" x14ac:dyDescent="0.25">
      <c r="A5" s="36">
        <v>3</v>
      </c>
      <c r="B5" s="33">
        <f>'Waste 3'!B31</f>
        <v>94</v>
      </c>
      <c r="C5" s="33">
        <f>'Waste 3'!C31</f>
        <v>65.800000000000011</v>
      </c>
      <c r="D5" s="33">
        <f>'Waste 3'!D31</f>
        <v>45.008986</v>
      </c>
      <c r="E5" s="33">
        <f>'Waste 3'!E31</f>
        <v>7.6457250000000014</v>
      </c>
      <c r="F5" s="33">
        <f>'Waste 3'!F31</f>
        <v>3.9430556000000001</v>
      </c>
      <c r="G5" s="33">
        <f>'Waste 3'!G31</f>
        <v>4.4179999999999997E-2</v>
      </c>
      <c r="H5" s="33">
        <f>'Waste 3'!H31</f>
        <v>0.66645999999999994</v>
      </c>
      <c r="I5" s="33">
        <f>'Waste 3'!I31</f>
        <v>4.7E-2</v>
      </c>
      <c r="J5" s="33">
        <f>'Waste 3'!J31</f>
        <v>9.4000000000000008E-4</v>
      </c>
      <c r="K5" s="33">
        <f>'Waste 3'!K31</f>
        <v>4.7000000000000002E-3</v>
      </c>
      <c r="L5" s="33">
        <f>'Waste 3'!L31</f>
        <v>2.162E-2</v>
      </c>
      <c r="M5" s="33">
        <f>'Waste 3'!M31</f>
        <v>0.188</v>
      </c>
      <c r="N5" s="33">
        <f>'Waste 3'!N31</f>
        <v>0</v>
      </c>
      <c r="O5" s="33">
        <f>'Waste 3'!O31</f>
        <v>0</v>
      </c>
      <c r="P5" s="33">
        <f>'Waste 3'!P31</f>
        <v>264.98599999999999</v>
      </c>
      <c r="Q5" s="33">
        <f>'Waste 3'!Q31</f>
        <v>299.625</v>
      </c>
      <c r="R5" s="33">
        <f>'Waste 3'!R31</f>
        <v>0</v>
      </c>
      <c r="S5" s="33">
        <f>'Waste 3'!S31</f>
        <v>0</v>
      </c>
      <c r="T5" s="33">
        <f>'Waste 3'!T31</f>
        <v>0</v>
      </c>
      <c r="U5" s="33">
        <f>'Waste 3'!U31</f>
        <v>0</v>
      </c>
    </row>
    <row r="6" spans="1:21" x14ac:dyDescent="0.25">
      <c r="A6" s="36">
        <v>4</v>
      </c>
      <c r="B6" s="33">
        <f>'Waste 4'!B31</f>
        <v>133</v>
      </c>
      <c r="C6" s="33">
        <f>'Waste 4'!C31</f>
        <v>146.30000000000001</v>
      </c>
      <c r="D6" s="33">
        <f>'Waste 4'!D31</f>
        <v>50.275995000000002</v>
      </c>
      <c r="E6" s="33">
        <f>'Waste 4'!E31</f>
        <v>14.9527245</v>
      </c>
      <c r="F6" s="33">
        <f>'Waste 4'!F31</f>
        <v>17.619068600000002</v>
      </c>
      <c r="G6" s="33">
        <f>'Waste 4'!G31</f>
        <v>9.0972000000000011E-2</v>
      </c>
      <c r="H6" s="33">
        <f>'Waste 4'!H31</f>
        <v>0.50407000000000002</v>
      </c>
      <c r="I6" s="33">
        <f>'Waste 4'!I31</f>
        <v>6.6500000000000004E-2</v>
      </c>
      <c r="J6" s="33">
        <f>'Waste 4'!J31</f>
        <v>1.33E-3</v>
      </c>
      <c r="K6" s="33">
        <f>'Waste 4'!K31</f>
        <v>6.6500000000000005E-3</v>
      </c>
      <c r="L6" s="33">
        <f>'Waste 4'!L31</f>
        <v>2.6600000000000002E-2</v>
      </c>
      <c r="M6" s="33">
        <f>'Waste 4'!M31</f>
        <v>3.0058000000000001E-2</v>
      </c>
      <c r="N6" s="33">
        <f>'Waste 4'!N31</f>
        <v>0</v>
      </c>
      <c r="O6" s="33">
        <f>'Waste 4'!O31</f>
        <v>0</v>
      </c>
      <c r="P6" s="33">
        <f>'Waste 4'!P31</f>
        <v>44.688000000000002</v>
      </c>
      <c r="Q6" s="33">
        <f>'Waste 4'!Q31</f>
        <v>64.837500000000006</v>
      </c>
      <c r="R6" s="33">
        <f>'Waste 4'!R31</f>
        <v>0</v>
      </c>
      <c r="S6" s="33">
        <f>'Waste 4'!S31</f>
        <v>0</v>
      </c>
      <c r="T6" s="33">
        <f>'Waste 4'!T31</f>
        <v>0</v>
      </c>
      <c r="U6" s="33">
        <f>'Waste 4'!U31</f>
        <v>0</v>
      </c>
    </row>
    <row r="7" spans="1:21" x14ac:dyDescent="0.25">
      <c r="A7" s="36">
        <v>5</v>
      </c>
      <c r="B7" s="33">
        <f>'Waste 5'!B31</f>
        <v>15</v>
      </c>
      <c r="C7" s="33">
        <f>'Waste 5'!C31</f>
        <v>91.299749999999989</v>
      </c>
      <c r="D7" s="33">
        <f>'Waste 5'!D31</f>
        <v>48.291072599999993</v>
      </c>
      <c r="E7" s="33">
        <f>'Waste 5'!E31</f>
        <v>11.060688975</v>
      </c>
      <c r="F7" s="33">
        <f>'Waste 5'!F31</f>
        <v>5.1203350799999994</v>
      </c>
      <c r="G7" s="33">
        <f>'Waste 5'!G31</f>
        <v>2.9289449999999995E-2</v>
      </c>
      <c r="H7" s="33">
        <f>'Waste 5'!H31</f>
        <v>0.21691349999999998</v>
      </c>
      <c r="I7" s="33">
        <f>'Waste 5'!I31</f>
        <v>2.855415E-3</v>
      </c>
      <c r="J7" s="33">
        <f>'Waste 5'!J31</f>
        <v>1.2255E-4</v>
      </c>
      <c r="K7" s="33">
        <f>'Waste 5'!K31</f>
        <v>1.2255E-4</v>
      </c>
      <c r="L7" s="33">
        <f>'Waste 5'!L31</f>
        <v>1.9975650000000001E-2</v>
      </c>
      <c r="M7" s="33">
        <f>'Waste 5'!M31</f>
        <v>5.1961199999999992E-2</v>
      </c>
      <c r="N7" s="33">
        <f>'Waste 5'!N31</f>
        <v>0</v>
      </c>
      <c r="O7" s="33">
        <f>'Waste 5'!O31</f>
        <v>0</v>
      </c>
      <c r="P7" s="33">
        <f>'Waste 5'!P31</f>
        <v>12.9903</v>
      </c>
      <c r="Q7" s="33">
        <f>'Waste 5'!Q31</f>
        <v>56.985749999999996</v>
      </c>
      <c r="R7" s="33">
        <f>'Waste 5'!R31</f>
        <v>0</v>
      </c>
      <c r="S7" s="33">
        <f>'Waste 5'!S31</f>
        <v>0</v>
      </c>
      <c r="T7" s="33">
        <f>'Waste 5'!T31</f>
        <v>0</v>
      </c>
      <c r="U7" s="33">
        <f>'Waste 5'!U31</f>
        <v>0</v>
      </c>
    </row>
    <row r="8" spans="1:21" x14ac:dyDescent="0.25">
      <c r="A8" s="36">
        <v>6</v>
      </c>
      <c r="B8" s="33">
        <f>'Waste 6'!B31</f>
        <v>249</v>
      </c>
      <c r="C8" s="33">
        <f>'Waste 6'!C31</f>
        <v>74.7</v>
      </c>
      <c r="D8" s="33">
        <f>'Waste 6'!D31</f>
        <v>27.952491000000002</v>
      </c>
      <c r="E8" s="33">
        <f>'Waste 6'!E31</f>
        <v>12.301845</v>
      </c>
      <c r="F8" s="33">
        <f>'Waste 6'!F31</f>
        <v>36.536516999999996</v>
      </c>
      <c r="G8" s="33">
        <f>'Waste 6'!G31</f>
        <v>0.27140999999999998</v>
      </c>
      <c r="H8" s="33">
        <f>'Waste 6'!H31</f>
        <v>1.27488</v>
      </c>
      <c r="I8" s="33">
        <f>'Waste 6'!I31</f>
        <v>0.39341999999999999</v>
      </c>
      <c r="J8" s="33">
        <f>'Waste 6'!J31</f>
        <v>4.9800000000000001E-3</v>
      </c>
      <c r="K8" s="33">
        <f>'Waste 6'!K31</f>
        <v>1.2450000000000001E-2</v>
      </c>
      <c r="L8" s="33">
        <f>'Waste 6'!L31</f>
        <v>0.14566500000000002</v>
      </c>
      <c r="M8" s="33">
        <f>'Waste 6'!M31</f>
        <v>0.178782</v>
      </c>
      <c r="N8" s="33">
        <f>'Waste 6'!N31</f>
        <v>908.601</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651</v>
      </c>
      <c r="C13" s="81">
        <f t="shared" ref="C13:U13" si="0">SUM(C3:C12)</f>
        <v>696.09975000000009</v>
      </c>
      <c r="D13" s="81">
        <f t="shared" si="0"/>
        <v>223.64615995000003</v>
      </c>
      <c r="E13" s="81">
        <f t="shared" si="0"/>
        <v>75.676283475000005</v>
      </c>
      <c r="F13" s="81">
        <f t="shared" si="0"/>
        <v>80.778025279999994</v>
      </c>
      <c r="G13" s="81">
        <f t="shared" si="0"/>
        <v>0.52135145000000005</v>
      </c>
      <c r="H13" s="81">
        <f t="shared" si="0"/>
        <v>4.0892035</v>
      </c>
      <c r="I13" s="81">
        <f t="shared" si="0"/>
        <v>0.65752541499999995</v>
      </c>
      <c r="J13" s="81">
        <f t="shared" si="0"/>
        <v>9.9475499999999994E-3</v>
      </c>
      <c r="K13" s="81">
        <f t="shared" si="0"/>
        <v>3.1922550000000001E-2</v>
      </c>
      <c r="L13" s="81">
        <f t="shared" si="0"/>
        <v>0.26036065000000003</v>
      </c>
      <c r="M13" s="81">
        <f t="shared" si="0"/>
        <v>0.49915119999999996</v>
      </c>
      <c r="N13" s="81">
        <f t="shared" si="0"/>
        <v>908.601</v>
      </c>
      <c r="O13" s="81">
        <f t="shared" si="0"/>
        <v>0</v>
      </c>
      <c r="P13" s="81">
        <f t="shared" si="0"/>
        <v>421.45429999999999</v>
      </c>
      <c r="Q13" s="81">
        <f t="shared" si="0"/>
        <v>488.15699999999998</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135</v>
      </c>
      <c r="D3" s="33">
        <f>'Field data and Waste 1'!C31</f>
        <v>242.99999999999997</v>
      </c>
      <c r="E3" s="33">
        <f>'Field data and Waste 1'!D31</f>
        <v>2.6320153499999996</v>
      </c>
      <c r="F3" s="33">
        <f>'Field data and Waste 1'!E31</f>
        <v>13.990050000000002</v>
      </c>
      <c r="G3" s="33">
        <f>'Field data and Waste 1'!F31</f>
        <v>14.951843999999998</v>
      </c>
      <c r="H3" s="33">
        <f>'Field data and Waste 1'!G31</f>
        <v>2.7E-2</v>
      </c>
      <c r="I3" s="33">
        <f>'Field data and Waste 1'!H31</f>
        <v>7.9379999999999992E-2</v>
      </c>
      <c r="J3" s="33">
        <f>'Field data and Waste 1'!I31</f>
        <v>6.7500000000000004E-2</v>
      </c>
      <c r="K3" s="33">
        <f>'Field data and Waste 1'!J31</f>
        <v>1.3500000000000001E-3</v>
      </c>
      <c r="L3" s="33">
        <f>'Field data and Waste 1'!K31</f>
        <v>6.7499999999999999E-3</v>
      </c>
      <c r="M3" s="33">
        <f>'Field data and Waste 1'!L31</f>
        <v>2.7E-2</v>
      </c>
      <c r="N3" s="33">
        <f>'Field data and Waste 1'!M31</f>
        <v>2.7E-2</v>
      </c>
      <c r="O3" s="33">
        <f>'Field data and Waste 1'!N31</f>
        <v>0</v>
      </c>
      <c r="P3" s="33">
        <f>'Field data and Waste 1'!O31</f>
        <v>0</v>
      </c>
      <c r="Q3" s="33">
        <f>'Field data and Waste 1'!P31</f>
        <v>60.615000000000002</v>
      </c>
      <c r="R3" s="33">
        <f>'Field data and Waste 1'!Q31</f>
        <v>10.833750000000002</v>
      </c>
      <c r="S3" s="33">
        <f>'Field data and Waste 1'!R31</f>
        <v>0</v>
      </c>
      <c r="T3" s="33">
        <f>'Field data and Waste 1'!S31</f>
        <v>0</v>
      </c>
      <c r="U3" s="33">
        <f>'Field data and Waste 1'!T31</f>
        <v>0</v>
      </c>
      <c r="V3" s="33">
        <f>'Field data and Waste 1'!U31</f>
        <v>0</v>
      </c>
    </row>
    <row r="4" spans="1:22" x14ac:dyDescent="0.25">
      <c r="A4" s="36">
        <v>2</v>
      </c>
      <c r="B4" s="91"/>
      <c r="C4" s="33">
        <f>'Waste 2'!B31</f>
        <v>25</v>
      </c>
      <c r="D4" s="33">
        <f>'Waste 2'!C31</f>
        <v>75</v>
      </c>
      <c r="E4" s="33">
        <f>'Waste 2'!D31</f>
        <v>49.485600000000005</v>
      </c>
      <c r="F4" s="33">
        <f>'Waste 2'!E31</f>
        <v>15.725250000000003</v>
      </c>
      <c r="G4" s="33">
        <f>'Waste 2'!F31</f>
        <v>2.607205</v>
      </c>
      <c r="H4" s="33">
        <f>'Waste 2'!G31</f>
        <v>5.8500000000000003E-2</v>
      </c>
      <c r="I4" s="33">
        <f>'Waste 2'!H31</f>
        <v>1.3474999999999999</v>
      </c>
      <c r="J4" s="33">
        <f>'Waste 2'!I31</f>
        <v>8.0250000000000002E-2</v>
      </c>
      <c r="K4" s="33">
        <f>'Waste 2'!J31</f>
        <v>1.2250000000000002E-3</v>
      </c>
      <c r="L4" s="33">
        <f>'Waste 2'!K31</f>
        <v>1.25E-3</v>
      </c>
      <c r="M4" s="33">
        <f>'Waste 2'!L31</f>
        <v>1.9500000000000003E-2</v>
      </c>
      <c r="N4" s="33">
        <f>'Waste 2'!M31</f>
        <v>2.3350000000000003E-2</v>
      </c>
      <c r="O4" s="33">
        <f>'Waste 2'!N31</f>
        <v>0</v>
      </c>
      <c r="P4" s="33">
        <f>'Waste 2'!O31</f>
        <v>0</v>
      </c>
      <c r="Q4" s="33">
        <f>'Waste 2'!P31</f>
        <v>38.175000000000004</v>
      </c>
      <c r="R4" s="33">
        <f>'Waste 2'!Q31</f>
        <v>55.875</v>
      </c>
      <c r="S4" s="33">
        <f>'Waste 2'!R31</f>
        <v>0</v>
      </c>
      <c r="T4" s="33">
        <f>'Waste 2'!S31</f>
        <v>0</v>
      </c>
      <c r="U4" s="33">
        <f>'Waste 2'!T31</f>
        <v>0</v>
      </c>
      <c r="V4" s="33">
        <f>'Waste 2'!U31</f>
        <v>0</v>
      </c>
    </row>
    <row r="5" spans="1:22" x14ac:dyDescent="0.25">
      <c r="A5" s="36">
        <v>3</v>
      </c>
      <c r="B5" s="91"/>
      <c r="C5" s="33">
        <f>'Waste 3'!B31</f>
        <v>94</v>
      </c>
      <c r="D5" s="33">
        <f>'Waste 3'!C31</f>
        <v>65.800000000000011</v>
      </c>
      <c r="E5" s="33">
        <f>'Waste 3'!D31</f>
        <v>45.008986</v>
      </c>
      <c r="F5" s="33">
        <f>'Waste 3'!E31</f>
        <v>7.6457250000000014</v>
      </c>
      <c r="G5" s="33">
        <f>'Waste 3'!F31</f>
        <v>3.9430556000000001</v>
      </c>
      <c r="H5" s="33">
        <f>'Waste 3'!G31</f>
        <v>4.4179999999999997E-2</v>
      </c>
      <c r="I5" s="33">
        <f>'Waste 3'!H31</f>
        <v>0.66645999999999994</v>
      </c>
      <c r="J5" s="33">
        <f>'Waste 3'!I31</f>
        <v>4.7E-2</v>
      </c>
      <c r="K5" s="33">
        <f>'Waste 3'!J31</f>
        <v>9.4000000000000008E-4</v>
      </c>
      <c r="L5" s="33">
        <f>'Waste 3'!K31</f>
        <v>4.7000000000000002E-3</v>
      </c>
      <c r="M5" s="33">
        <f>'Waste 3'!L31</f>
        <v>2.162E-2</v>
      </c>
      <c r="N5" s="33">
        <f>'Waste 3'!M31</f>
        <v>0.188</v>
      </c>
      <c r="O5" s="33">
        <f>'Waste 3'!N31</f>
        <v>0</v>
      </c>
      <c r="P5" s="33">
        <f>'Waste 3'!O31</f>
        <v>0</v>
      </c>
      <c r="Q5" s="33">
        <f>'Waste 3'!P31</f>
        <v>264.98599999999999</v>
      </c>
      <c r="R5" s="33">
        <f>'Waste 3'!Q31</f>
        <v>299.625</v>
      </c>
      <c r="S5" s="33">
        <f>'Waste 3'!R31</f>
        <v>0</v>
      </c>
      <c r="T5" s="33">
        <f>'Waste 3'!S31</f>
        <v>0</v>
      </c>
      <c r="U5" s="33">
        <f>'Waste 3'!T31</f>
        <v>0</v>
      </c>
      <c r="V5" s="33">
        <f>'Waste 3'!U31</f>
        <v>0</v>
      </c>
    </row>
    <row r="6" spans="1:22" x14ac:dyDescent="0.25">
      <c r="A6" s="36">
        <v>4</v>
      </c>
      <c r="B6" s="91"/>
      <c r="C6" s="33">
        <f>'Waste 4'!B31</f>
        <v>133</v>
      </c>
      <c r="D6" s="33">
        <f>'Waste 4'!C31</f>
        <v>146.30000000000001</v>
      </c>
      <c r="E6" s="33">
        <f>'Waste 4'!D31</f>
        <v>50.275995000000002</v>
      </c>
      <c r="F6" s="33">
        <f>'Waste 4'!E31</f>
        <v>14.9527245</v>
      </c>
      <c r="G6" s="33">
        <f>'Waste 4'!F31</f>
        <v>17.619068600000002</v>
      </c>
      <c r="H6" s="33">
        <f>'Waste 4'!G31</f>
        <v>9.0972000000000011E-2</v>
      </c>
      <c r="I6" s="33">
        <f>'Waste 4'!H31</f>
        <v>0.50407000000000002</v>
      </c>
      <c r="J6" s="33">
        <f>'Waste 4'!I31</f>
        <v>6.6500000000000004E-2</v>
      </c>
      <c r="K6" s="33">
        <f>'Waste 4'!J31</f>
        <v>1.33E-3</v>
      </c>
      <c r="L6" s="33">
        <f>'Waste 4'!K31</f>
        <v>6.6500000000000005E-3</v>
      </c>
      <c r="M6" s="33">
        <f>'Waste 4'!L31</f>
        <v>2.6600000000000002E-2</v>
      </c>
      <c r="N6" s="33">
        <f>'Waste 4'!M31</f>
        <v>3.0058000000000001E-2</v>
      </c>
      <c r="O6" s="33">
        <f>'Waste 4'!N31</f>
        <v>0</v>
      </c>
      <c r="P6" s="33">
        <f>'Waste 4'!O31</f>
        <v>0</v>
      </c>
      <c r="Q6" s="33">
        <f>'Waste 4'!P31</f>
        <v>44.688000000000002</v>
      </c>
      <c r="R6" s="33">
        <f>'Waste 4'!Q31</f>
        <v>64.837500000000006</v>
      </c>
      <c r="S6" s="33">
        <f>'Waste 4'!R31</f>
        <v>0</v>
      </c>
      <c r="T6" s="33">
        <f>'Waste 4'!S31</f>
        <v>0</v>
      </c>
      <c r="U6" s="33">
        <f>'Waste 4'!T31</f>
        <v>0</v>
      </c>
      <c r="V6" s="33">
        <f>'Waste 4'!U31</f>
        <v>0</v>
      </c>
    </row>
    <row r="7" spans="1:22" x14ac:dyDescent="0.25">
      <c r="A7" s="36">
        <v>5</v>
      </c>
      <c r="B7" s="91"/>
      <c r="C7" s="33">
        <f>'Waste 5'!B31</f>
        <v>15</v>
      </c>
      <c r="D7" s="33">
        <f>'Waste 5'!C31</f>
        <v>91.299749999999989</v>
      </c>
      <c r="E7" s="33">
        <f>'Waste 5'!D31</f>
        <v>48.291072599999993</v>
      </c>
      <c r="F7" s="33">
        <f>'Waste 5'!E31</f>
        <v>11.060688975</v>
      </c>
      <c r="G7" s="33">
        <f>'Waste 5'!F31</f>
        <v>5.1203350799999994</v>
      </c>
      <c r="H7" s="33">
        <f>'Waste 5'!G31</f>
        <v>2.9289449999999995E-2</v>
      </c>
      <c r="I7" s="33">
        <f>'Waste 5'!H31</f>
        <v>0.21691349999999998</v>
      </c>
      <c r="J7" s="33">
        <f>'Waste 5'!I31</f>
        <v>2.855415E-3</v>
      </c>
      <c r="K7" s="33">
        <f>'Waste 5'!J31</f>
        <v>1.2255E-4</v>
      </c>
      <c r="L7" s="33">
        <f>'Waste 5'!K31</f>
        <v>1.2255E-4</v>
      </c>
      <c r="M7" s="33">
        <f>'Waste 5'!L31</f>
        <v>1.9975650000000001E-2</v>
      </c>
      <c r="N7" s="33">
        <f>'Waste 5'!M31</f>
        <v>5.1961199999999992E-2</v>
      </c>
      <c r="O7" s="33">
        <f>'Waste 5'!N31</f>
        <v>0</v>
      </c>
      <c r="P7" s="33">
        <f>'Waste 5'!O31</f>
        <v>0</v>
      </c>
      <c r="Q7" s="33">
        <f>'Waste 5'!P31</f>
        <v>12.9903</v>
      </c>
      <c r="R7" s="33">
        <f>'Waste 5'!Q31</f>
        <v>56.985749999999996</v>
      </c>
      <c r="S7" s="33">
        <f>'Waste 5'!R31</f>
        <v>0</v>
      </c>
      <c r="T7" s="33">
        <f>'Waste 5'!S31</f>
        <v>0</v>
      </c>
      <c r="U7" s="33">
        <f>'Waste 5'!T31</f>
        <v>0</v>
      </c>
      <c r="V7" s="33">
        <f>'Waste 5'!U31</f>
        <v>0</v>
      </c>
    </row>
    <row r="8" spans="1:22" x14ac:dyDescent="0.25">
      <c r="A8" s="36">
        <v>6</v>
      </c>
      <c r="B8" s="91"/>
      <c r="C8" s="33">
        <f>'Waste 6'!B31</f>
        <v>249</v>
      </c>
      <c r="D8" s="33">
        <f>'Waste 6'!C31</f>
        <v>74.7</v>
      </c>
      <c r="E8" s="33">
        <f>'Waste 6'!D31</f>
        <v>27.952491000000002</v>
      </c>
      <c r="F8" s="33">
        <f>'Waste 6'!E31</f>
        <v>12.301845</v>
      </c>
      <c r="G8" s="33">
        <f>'Waste 6'!F31</f>
        <v>36.536516999999996</v>
      </c>
      <c r="H8" s="33">
        <f>'Waste 6'!G31</f>
        <v>0.27140999999999998</v>
      </c>
      <c r="I8" s="33">
        <f>'Waste 6'!H31</f>
        <v>1.27488</v>
      </c>
      <c r="J8" s="33">
        <f>'Waste 6'!I31</f>
        <v>0.39341999999999999</v>
      </c>
      <c r="K8" s="33">
        <f>'Waste 6'!J31</f>
        <v>4.9800000000000001E-3</v>
      </c>
      <c r="L8" s="33">
        <f>'Waste 6'!K31</f>
        <v>1.2450000000000001E-2</v>
      </c>
      <c r="M8" s="33">
        <f>'Waste 6'!L31</f>
        <v>0.14566500000000002</v>
      </c>
      <c r="N8" s="33">
        <f>'Waste 6'!M31</f>
        <v>0.178782</v>
      </c>
      <c r="O8" s="33">
        <f>'Waste 6'!N31</f>
        <v>908.601</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135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94</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133</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15</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249</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REGU-415-1631406</_dlc_DocId>
    <_dlc_DocIdUrl xmlns="9be56660-2c31-41ef-bc00-23e72f632f2a">
      <Url>https://cyfoethnaturiolcymru.sharepoint.com/teams/Regulatory/Permitting/_layouts/15/DocIdRedir.aspx?ID=REGU-415-1631406</Url>
      <Description>REGU-415-1631406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Mr R&amp;R Piggott, 22 Coniston Drive, Frodsham, Cheshire, WA6 7LR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2024-01-11T00:00:00+00:00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D0E149C-3A78-4F82-B3AC-C61E4352EE85}"/>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668A2A61-9613-4671-A93C-1788ED30CAE7}"/>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9be56660-2c31-41ef-bc00-23e72f632f2a"/>
    <ds:schemaRef ds:uri="http://www.w3.org/XML/1998/namespace"/>
    <ds:schemaRef ds:uri="http://purl.org/dc/elements/1.1/"/>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2023-12-06T15:23:45Z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55989c75-d279-490d-ae0e-b697c01994e5</vt:lpwstr>
  </property>
  <property fmtid="{D5CDD505-2E9C-101B-9397-08002B2CF9AE}" pid="4" name="Order">
    <vt:r8>163140600</vt:r8>
  </property>
  <property fmtid="{D5CDD505-2E9C-101B-9397-08002B2CF9AE}" pid="5" name="MediaServiceImageTags">
    <vt:lpwstr/>
  </property>
</Properties>
</file>