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4175D/"/>
    </mc:Choice>
  </mc:AlternateContent>
  <xr:revisionPtr revIDLastSave="0" documentId="13_ncr:1_{5D2B0AB8-108E-4404-B989-9FE6C80AFA24}" xr6:coauthVersionLast="47" xr6:coauthVersionMax="47" xr10:uidLastSave="{00000000-0000-0000-0000-000000000000}"/>
  <bookViews>
    <workbookView xWindow="-28920" yWindow="-120" windowWidth="29040" windowHeight="15840" tabRatio="870" xr2:uid="{00000000-000D-0000-FFFF-FFFF00000000}"/>
  </bookViews>
  <sheets>
    <sheet name="DCWW CRAI" sheetId="1" r:id="rId1"/>
    <sheet name="DCWW HIRWAUN" sheetId="21" r:id="rId2"/>
    <sheet name="DCWW CEFN DRYSCOED" sheetId="27" r:id="rId3"/>
    <sheet name="DCWW LLYSWEN" sheetId="28" r:id="rId4"/>
    <sheet name="DCWW BRYNGWYN" sheetId="30" r:id="rId5"/>
    <sheet name="DCWW CAPEL DEWI" sheetId="26" r:id="rId6"/>
    <sheet name="DCWW PRESELI" sheetId="24" r:id="rId7"/>
    <sheet name="DCWW BOLTON HILL" sheetId="29"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9" l="1"/>
  <c r="L3" i="24"/>
  <c r="L3" i="26"/>
  <c r="L3" i="30"/>
  <c r="L3" i="28"/>
  <c r="L3" i="27"/>
  <c r="L3" i="21"/>
  <c r="L3" i="1"/>
  <c r="E65" i="1" l="1"/>
  <c r="F65" i="1"/>
  <c r="G65" i="1"/>
  <c r="H65" i="1"/>
  <c r="I65" i="1"/>
  <c r="J65" i="1"/>
  <c r="K65" i="1"/>
  <c r="L65" i="1"/>
  <c r="M65" i="1"/>
  <c r="N65" i="1"/>
  <c r="O65" i="1"/>
  <c r="P65" i="1"/>
  <c r="Q65" i="1"/>
  <c r="R65" i="1"/>
  <c r="S65" i="1"/>
  <c r="T65" i="1"/>
  <c r="U65" i="1"/>
  <c r="E65" i="21"/>
  <c r="F65" i="21"/>
  <c r="G65" i="21"/>
  <c r="H65" i="21"/>
  <c r="I65" i="21"/>
  <c r="J65" i="21"/>
  <c r="K65" i="21"/>
  <c r="L65" i="21"/>
  <c r="M65" i="21"/>
  <c r="N65" i="21"/>
  <c r="O65" i="21"/>
  <c r="P65" i="21"/>
  <c r="Q65" i="21"/>
  <c r="R65" i="21"/>
  <c r="S65" i="21"/>
  <c r="T65" i="21"/>
  <c r="U65" i="21"/>
  <c r="E65" i="27"/>
  <c r="F65" i="27"/>
  <c r="G65" i="27"/>
  <c r="H65" i="27"/>
  <c r="I65" i="27"/>
  <c r="J65" i="27"/>
  <c r="K65" i="27"/>
  <c r="L65" i="27"/>
  <c r="M65" i="27"/>
  <c r="N65" i="27"/>
  <c r="O65" i="27"/>
  <c r="P65" i="27"/>
  <c r="Q65" i="27"/>
  <c r="R65" i="27"/>
  <c r="S65" i="27"/>
  <c r="T65" i="27"/>
  <c r="U65" i="27"/>
  <c r="E65" i="28"/>
  <c r="F65" i="28"/>
  <c r="G65" i="28"/>
  <c r="H65" i="28"/>
  <c r="I65" i="28"/>
  <c r="J65" i="28"/>
  <c r="K65" i="28"/>
  <c r="L65" i="28"/>
  <c r="M65" i="28"/>
  <c r="N65" i="28"/>
  <c r="O65" i="28"/>
  <c r="P65" i="28"/>
  <c r="Q65" i="28"/>
  <c r="R65" i="28"/>
  <c r="S65" i="28"/>
  <c r="T65" i="28"/>
  <c r="U65" i="28"/>
  <c r="E65" i="30"/>
  <c r="F65" i="30"/>
  <c r="G65" i="30"/>
  <c r="H65" i="30"/>
  <c r="I65" i="30"/>
  <c r="J65" i="30"/>
  <c r="K65" i="30"/>
  <c r="L65" i="30"/>
  <c r="M65" i="30"/>
  <c r="N65" i="30"/>
  <c r="O65" i="30"/>
  <c r="P65" i="30"/>
  <c r="Q65" i="30"/>
  <c r="R65" i="30"/>
  <c r="S65" i="30"/>
  <c r="T65" i="30"/>
  <c r="U65" i="30"/>
  <c r="E65" i="26"/>
  <c r="F65" i="26"/>
  <c r="G65" i="26"/>
  <c r="H65" i="26"/>
  <c r="I65" i="26"/>
  <c r="J65" i="26"/>
  <c r="K65" i="26"/>
  <c r="L65" i="26"/>
  <c r="M65" i="26"/>
  <c r="N65" i="26"/>
  <c r="O65" i="26"/>
  <c r="P65" i="26"/>
  <c r="Q65" i="26"/>
  <c r="R65" i="26"/>
  <c r="S65" i="26"/>
  <c r="T65" i="26"/>
  <c r="U65" i="26"/>
  <c r="E65" i="24"/>
  <c r="F65" i="24"/>
  <c r="G65" i="24"/>
  <c r="H65" i="24"/>
  <c r="I65" i="24"/>
  <c r="J65" i="24"/>
  <c r="K65" i="24"/>
  <c r="L65" i="24"/>
  <c r="M65" i="24"/>
  <c r="N65" i="24"/>
  <c r="O65" i="24"/>
  <c r="P65" i="24"/>
  <c r="Q65" i="24"/>
  <c r="R65" i="24"/>
  <c r="S65" i="24"/>
  <c r="T65" i="24"/>
  <c r="U65" i="24"/>
  <c r="E65" i="29"/>
  <c r="F65" i="29"/>
  <c r="G65" i="29"/>
  <c r="H65" i="29"/>
  <c r="I65" i="29"/>
  <c r="J65" i="29"/>
  <c r="K65" i="29"/>
  <c r="L65" i="29"/>
  <c r="M65" i="29"/>
  <c r="N65" i="29"/>
  <c r="O65" i="29"/>
  <c r="P65" i="29"/>
  <c r="Q65" i="29"/>
  <c r="R65" i="29"/>
  <c r="S65" i="29"/>
  <c r="T65" i="29"/>
  <c r="U65" i="29"/>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N22" i="30"/>
  <c r="V20" i="30"/>
  <c r="U20" i="30"/>
  <c r="T20" i="30"/>
  <c r="S20" i="30"/>
  <c r="R20" i="30"/>
  <c r="Q20" i="30"/>
  <c r="P20" i="30"/>
  <c r="O20" i="30"/>
  <c r="N20" i="30"/>
  <c r="M20" i="30"/>
  <c r="L20" i="30"/>
  <c r="K20" i="30"/>
  <c r="J20" i="30"/>
  <c r="I20" i="30"/>
  <c r="H20" i="30"/>
  <c r="G20" i="30"/>
  <c r="F20" i="30"/>
  <c r="Q18" i="30"/>
  <c r="P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Q22" i="29"/>
  <c r="L22" i="29"/>
  <c r="V20" i="29"/>
  <c r="U20" i="29"/>
  <c r="T20" i="29"/>
  <c r="S20" i="29"/>
  <c r="R20" i="29"/>
  <c r="Q20" i="29"/>
  <c r="P20" i="29"/>
  <c r="O20" i="29"/>
  <c r="N20" i="29"/>
  <c r="M20" i="29"/>
  <c r="L20" i="29"/>
  <c r="K20" i="29"/>
  <c r="J20" i="29"/>
  <c r="I20" i="29"/>
  <c r="H20" i="29"/>
  <c r="G20" i="29"/>
  <c r="F20" i="29"/>
  <c r="U18" i="29"/>
  <c r="N18" i="29"/>
  <c r="I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M20" i="28"/>
  <c r="L20" i="28"/>
  <c r="K20" i="28"/>
  <c r="J20" i="28"/>
  <c r="I20" i="28"/>
  <c r="H20" i="28"/>
  <c r="G20" i="28"/>
  <c r="F20" i="28"/>
  <c r="V18" i="28"/>
  <c r="R18" i="28"/>
  <c r="P18" i="28"/>
  <c r="N18" i="28"/>
  <c r="M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M20" i="27"/>
  <c r="L20" i="27"/>
  <c r="K20" i="27"/>
  <c r="J20" i="27"/>
  <c r="I20" i="27"/>
  <c r="H20" i="27"/>
  <c r="G20" i="27"/>
  <c r="F20" i="27"/>
  <c r="T18" i="27"/>
  <c r="O18" i="27"/>
  <c r="L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I22" i="26"/>
  <c r="G22" i="26"/>
  <c r="V20" i="26"/>
  <c r="U20" i="26"/>
  <c r="T20" i="26"/>
  <c r="S20" i="26"/>
  <c r="R20" i="26"/>
  <c r="Q20" i="26"/>
  <c r="P20" i="26"/>
  <c r="O20" i="26"/>
  <c r="N20" i="26"/>
  <c r="M20" i="26"/>
  <c r="L20" i="26"/>
  <c r="K20" i="26"/>
  <c r="J20" i="26"/>
  <c r="I20" i="26"/>
  <c r="H20" i="26"/>
  <c r="G20" i="26"/>
  <c r="F20" i="26"/>
  <c r="V18" i="26"/>
  <c r="S18" i="26"/>
  <c r="O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M22" i="24"/>
  <c r="V20" i="24"/>
  <c r="U20" i="24"/>
  <c r="T20" i="24"/>
  <c r="S20" i="24"/>
  <c r="R20" i="24"/>
  <c r="Q20" i="24"/>
  <c r="P20" i="24"/>
  <c r="O20" i="24"/>
  <c r="N20" i="24"/>
  <c r="M20" i="24"/>
  <c r="L20" i="24"/>
  <c r="K20" i="24"/>
  <c r="J20" i="24"/>
  <c r="I20" i="24"/>
  <c r="H20" i="24"/>
  <c r="G20" i="24"/>
  <c r="F20" i="24"/>
  <c r="V18" i="24"/>
  <c r="P18" i="24"/>
  <c r="M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V18" i="21"/>
  <c r="T6" i="19" l="1"/>
  <c r="T20" i="19" s="1"/>
  <c r="H10" i="19"/>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G12" i="19"/>
  <c r="G26" i="19" s="1"/>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P12" i="19"/>
  <c r="P26" i="19" s="1"/>
  <c r="Q9" i="20"/>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S11" i="19"/>
  <c r="S25" i="19" s="1"/>
  <c r="I59" i="24"/>
  <c r="J21" i="24"/>
  <c r="J17" i="24"/>
  <c r="J19" i="24" s="1"/>
  <c r="Q59" i="24"/>
  <c r="R21" i="24"/>
  <c r="R17" i="24"/>
  <c r="L10" i="20"/>
  <c r="M10" i="19"/>
  <c r="M24" i="19" s="1"/>
  <c r="T10" i="20"/>
  <c r="U10" i="19"/>
  <c r="U24" i="19" s="1"/>
  <c r="K11" i="19"/>
  <c r="K25" i="19" s="1"/>
  <c r="C18" i="29"/>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H21" i="24"/>
  <c r="H17" i="24"/>
  <c r="H19"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J59" i="24"/>
  <c r="K21" i="24"/>
  <c r="K17" i="24"/>
  <c r="R59" i="24"/>
  <c r="S21" i="24"/>
  <c r="S23" i="24" s="1"/>
  <c r="S24" i="24" s="1"/>
  <c r="S17" i="24"/>
  <c r="G21" i="26"/>
  <c r="G17" i="26"/>
  <c r="O17" i="26"/>
  <c r="O21" i="26"/>
  <c r="E59" i="27"/>
  <c r="F17" i="27"/>
  <c r="F19" i="27" s="1"/>
  <c r="M59" i="27"/>
  <c r="N17" i="27"/>
  <c r="U59" i="27"/>
  <c r="V17" i="27"/>
  <c r="E59" i="28"/>
  <c r="F17" i="28"/>
  <c r="F21" i="28"/>
  <c r="M59" i="28"/>
  <c r="N17" i="28"/>
  <c r="N19"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1" i="28"/>
  <c r="G23" i="28" s="1"/>
  <c r="G24" i="28" s="1"/>
  <c r="N59" i="28"/>
  <c r="O17" i="28"/>
  <c r="O19" i="28" s="1"/>
  <c r="O21" i="28"/>
  <c r="E59" i="29"/>
  <c r="F17" i="29"/>
  <c r="F21" i="29"/>
  <c r="M59" i="29"/>
  <c r="N17" i="29"/>
  <c r="N21" i="29"/>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D59" i="24"/>
  <c r="E17" i="24"/>
  <c r="E19" i="24" s="1"/>
  <c r="E20" i="24" s="1"/>
  <c r="E21" i="24"/>
  <c r="E23" i="24" s="1"/>
  <c r="E24" i="24" s="1"/>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T59" i="21"/>
  <c r="T64" i="21" s="1"/>
  <c r="U17" i="21"/>
  <c r="U19" i="21" s="1"/>
  <c r="U21" i="21"/>
  <c r="U23" i="21" s="1"/>
  <c r="U24" i="21" s="1"/>
  <c r="M17" i="21"/>
  <c r="M21" i="21"/>
  <c r="E17" i="21"/>
  <c r="E21" i="21"/>
  <c r="E23" i="21" s="1"/>
  <c r="E24" i="21" s="1"/>
  <c r="E59" i="24"/>
  <c r="F21" i="24"/>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Q21" i="29"/>
  <c r="Q17" i="29"/>
  <c r="Q19" i="29" s="1"/>
  <c r="H17" i="30"/>
  <c r="H19"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S58" i="21"/>
  <c r="S61" i="21" s="1"/>
  <c r="C58" i="21"/>
  <c r="C61" i="21" s="1"/>
  <c r="K58" i="21"/>
  <c r="K61" i="21" s="1"/>
  <c r="K64"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D19" i="27"/>
  <c r="D20" i="27" s="1"/>
  <c r="L21" i="27"/>
  <c r="L23" i="27" s="1"/>
  <c r="L24" i="27" s="1"/>
  <c r="T21" i="27"/>
  <c r="H57" i="29"/>
  <c r="P58" i="21"/>
  <c r="P61" i="21" s="1"/>
  <c r="H58" i="21"/>
  <c r="H61" i="21" s="1"/>
  <c r="R58" i="26"/>
  <c r="R61" i="26" s="1"/>
  <c r="R57" i="21"/>
  <c r="K58" i="29"/>
  <c r="K61" i="29" s="1"/>
  <c r="L58" i="29"/>
  <c r="L61" i="29" s="1"/>
  <c r="T58" i="29"/>
  <c r="T61" i="29" s="1"/>
  <c r="T64" i="29" s="1"/>
  <c r="I23" i="30"/>
  <c r="I24" i="30" s="1"/>
  <c r="Q23" i="30"/>
  <c r="Q24" i="30" s="1"/>
  <c r="U23" i="30"/>
  <c r="U24" i="30" s="1"/>
  <c r="J58" i="28"/>
  <c r="J61" i="28" s="1"/>
  <c r="J64" i="28" s="1"/>
  <c r="J58" i="24"/>
  <c r="J61" i="24" s="1"/>
  <c r="J64" i="24" s="1"/>
  <c r="R58" i="24"/>
  <c r="R61" i="24" s="1"/>
  <c r="F57" i="24"/>
  <c r="T58" i="30"/>
  <c r="T61" i="30" s="1"/>
  <c r="T64" i="30" s="1"/>
  <c r="F58" i="26"/>
  <c r="F61" i="26" s="1"/>
  <c r="D58" i="27"/>
  <c r="D61" i="27" s="1"/>
  <c r="D64" i="27" s="1"/>
  <c r="L58" i="27"/>
  <c r="L61" i="27" s="1"/>
  <c r="T58" i="27"/>
  <c r="T61" i="27" s="1"/>
  <c r="T64" i="27" s="1"/>
  <c r="J58" i="30"/>
  <c r="J61" i="30" s="1"/>
  <c r="J64" i="30" s="1"/>
  <c r="R58" i="30"/>
  <c r="R61" i="30" s="1"/>
  <c r="R64" i="30" s="1"/>
  <c r="P57" i="30"/>
  <c r="J57" i="21"/>
  <c r="H59" i="2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G58" i="27"/>
  <c r="G61" i="27" s="1"/>
  <c r="T58" i="28"/>
  <c r="T61" i="28" s="1"/>
  <c r="T64" i="28" s="1"/>
  <c r="C58" i="29"/>
  <c r="C61" i="29" s="1"/>
  <c r="H58" i="30"/>
  <c r="H61" i="30" s="1"/>
  <c r="N59" i="30"/>
  <c r="K19" i="2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F66" i="26" s="1"/>
  <c r="O58" i="27"/>
  <c r="O61" i="27" s="1"/>
  <c r="A38" i="21"/>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P58" i="30"/>
  <c r="P61" i="30" s="1"/>
  <c r="Q58" i="21"/>
  <c r="Q61" i="21" s="1"/>
  <c r="Q64" i="21" s="1"/>
  <c r="I58" i="21"/>
  <c r="I61" i="21" s="1"/>
  <c r="I23" i="24"/>
  <c r="I24" i="24" s="1"/>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M19" i="21"/>
  <c r="G57" i="2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8"/>
  <c r="B61" i="28" s="1"/>
  <c r="B58" i="29"/>
  <c r="B61" i="29" s="1"/>
  <c r="D5" i="20"/>
  <c r="D6" i="20"/>
  <c r="D4" i="20"/>
  <c r="E9" i="20"/>
  <c r="D9" i="20"/>
  <c r="E8" i="20"/>
  <c r="D8" i="20"/>
  <c r="E10" i="20"/>
  <c r="D10" i="20"/>
  <c r="E7" i="20"/>
  <c r="D7" i="20"/>
  <c r="E6" i="20"/>
  <c r="E5" i="20"/>
  <c r="E4" i="20"/>
  <c r="H64" i="30"/>
  <c r="O23" i="30"/>
  <c r="O24" i="30" s="1"/>
  <c r="H23" i="30"/>
  <c r="H24" i="30" s="1"/>
  <c r="G23" i="30"/>
  <c r="G24" i="30" s="1"/>
  <c r="R19" i="30"/>
  <c r="F63" i="30"/>
  <c r="N63" i="30"/>
  <c r="K19" i="30"/>
  <c r="S19" i="30"/>
  <c r="S23" i="30"/>
  <c r="S24" i="30" s="1"/>
  <c r="A31" i="30"/>
  <c r="A33" i="30"/>
  <c r="A39" i="30"/>
  <c r="A41" i="30"/>
  <c r="A47" i="30"/>
  <c r="A49" i="30"/>
  <c r="G57" i="30"/>
  <c r="O57" i="30"/>
  <c r="G59" i="30"/>
  <c r="G64" i="30" s="1"/>
  <c r="O59" i="30"/>
  <c r="G63" i="30"/>
  <c r="O63" i="30"/>
  <c r="P63" i="30"/>
  <c r="I63" i="30"/>
  <c r="Q63" i="30"/>
  <c r="T19" i="30"/>
  <c r="N19" i="30"/>
  <c r="V19" i="30"/>
  <c r="F23" i="30"/>
  <c r="F24" i="30" s="1"/>
  <c r="N23" i="30"/>
  <c r="N24" i="30" s="1"/>
  <c r="B63" i="30"/>
  <c r="J63" i="30"/>
  <c r="R63" i="30"/>
  <c r="M19" i="30"/>
  <c r="G19" i="30"/>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E23" i="29"/>
  <c r="E24" i="29" s="1"/>
  <c r="M23" i="29"/>
  <c r="M24" i="29" s="1"/>
  <c r="U23" i="29"/>
  <c r="U24" i="29" s="1"/>
  <c r="I57" i="29"/>
  <c r="Q57" i="29"/>
  <c r="I63" i="29"/>
  <c r="Q63" i="29"/>
  <c r="F19" i="29"/>
  <c r="N19" i="29"/>
  <c r="V19" i="29"/>
  <c r="F23" i="29"/>
  <c r="F24" i="29" s="1"/>
  <c r="N23" i="29"/>
  <c r="N24" i="29" s="1"/>
  <c r="B63" i="29"/>
  <c r="J63" i="29"/>
  <c r="R63" i="29"/>
  <c r="L19" i="29"/>
  <c r="G19" i="29"/>
  <c r="O19" i="29"/>
  <c r="A32" i="29"/>
  <c r="A34" i="29"/>
  <c r="A40" i="29"/>
  <c r="A42" i="29"/>
  <c r="A48" i="29"/>
  <c r="A50" i="29"/>
  <c r="C63" i="29"/>
  <c r="K63" i="29"/>
  <c r="S63" i="29"/>
  <c r="H19" i="29"/>
  <c r="P19" i="29"/>
  <c r="D63" i="29"/>
  <c r="L63" i="29"/>
  <c r="T63" i="29"/>
  <c r="E63" i="29"/>
  <c r="M63" i="29"/>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U19" i="28"/>
  <c r="M23" i="28"/>
  <c r="M24" i="28" s="1"/>
  <c r="I57" i="28"/>
  <c r="Q57" i="28"/>
  <c r="I63" i="28"/>
  <c r="Q63" i="28"/>
  <c r="R19" i="28"/>
  <c r="F19" i="28"/>
  <c r="V19" i="28"/>
  <c r="F23" i="28"/>
  <c r="F24" i="28" s="1"/>
  <c r="N23" i="28"/>
  <c r="N24" i="28" s="1"/>
  <c r="V23" i="28"/>
  <c r="V24" i="28" s="1"/>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O19" i="26"/>
  <c r="A32" i="26"/>
  <c r="A34" i="26"/>
  <c r="A40" i="26"/>
  <c r="A42" i="26"/>
  <c r="A48" i="26"/>
  <c r="A50" i="26"/>
  <c r="C63" i="26"/>
  <c r="K63" i="26"/>
  <c r="S63" i="26"/>
  <c r="H19" i="26"/>
  <c r="P19" i="26"/>
  <c r="D63" i="26"/>
  <c r="L63" i="26"/>
  <c r="I19"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F19"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4" i="30" l="1"/>
  <c r="D66" i="30" s="1"/>
  <c r="D65" i="21"/>
  <c r="D65" i="27"/>
  <c r="D65" i="28"/>
  <c r="D64" i="24"/>
  <c r="D65" i="24" s="1"/>
  <c r="C64" i="27"/>
  <c r="C66" i="27" s="1"/>
  <c r="C64" i="29"/>
  <c r="C65" i="29" s="1"/>
  <c r="C64" i="30"/>
  <c r="C66" i="30" s="1"/>
  <c r="C65" i="26"/>
  <c r="C64" i="21"/>
  <c r="C66" i="21" s="1"/>
  <c r="C65" i="21"/>
  <c r="B65" i="30"/>
  <c r="B65" i="24"/>
  <c r="C19" i="29"/>
  <c r="C20" i="29" s="1"/>
  <c r="C23" i="21"/>
  <c r="C24" i="21" s="1"/>
  <c r="M64" i="29"/>
  <c r="D64" i="29"/>
  <c r="D65" i="29" s="1"/>
  <c r="O64" i="24"/>
  <c r="O66" i="24" s="1"/>
  <c r="I64" i="24"/>
  <c r="M64" i="24"/>
  <c r="S64" i="24"/>
  <c r="T64" i="26"/>
  <c r="T66" i="26" s="1"/>
  <c r="E64" i="26"/>
  <c r="E66" i="26" s="1"/>
  <c r="M64" i="28"/>
  <c r="S64" i="28"/>
  <c r="P64" i="27"/>
  <c r="G64" i="21"/>
  <c r="G66" i="21" s="1"/>
  <c r="S64" i="21"/>
  <c r="S66" i="21" s="1"/>
  <c r="E64" i="21"/>
  <c r="E66" i="21" s="1"/>
  <c r="F64" i="21"/>
  <c r="F66" i="21" s="1"/>
  <c r="N64" i="28"/>
  <c r="N66" i="28" s="1"/>
  <c r="J64" i="21"/>
  <c r="J66" i="21" s="1"/>
  <c r="F64" i="24"/>
  <c r="F66" i="24" s="1"/>
  <c r="F64" i="28"/>
  <c r="F66" i="28" s="1"/>
  <c r="D64" i="26"/>
  <c r="D65" i="26" s="1"/>
  <c r="H64" i="29"/>
  <c r="H66" i="29" s="1"/>
  <c r="S64" i="30"/>
  <c r="S66" i="30" s="1"/>
  <c r="F64" i="30"/>
  <c r="F66" i="30" s="1"/>
  <c r="R64" i="26"/>
  <c r="E64" i="24"/>
  <c r="E66" i="24" s="1"/>
  <c r="H64" i="21"/>
  <c r="H64" i="28"/>
  <c r="H66" i="28" s="1"/>
  <c r="G64" i="28"/>
  <c r="G66" i="28" s="1"/>
  <c r="P64" i="26"/>
  <c r="E64" i="28"/>
  <c r="E66" i="28" s="1"/>
  <c r="J64" i="26"/>
  <c r="M64" i="27"/>
  <c r="M66" i="27" s="1"/>
  <c r="H64" i="27"/>
  <c r="H66" i="27" s="1"/>
  <c r="L64" i="29"/>
  <c r="G64" i="24"/>
  <c r="G66" i="24" s="1"/>
  <c r="H64" i="24"/>
  <c r="H66" i="24" s="1"/>
  <c r="K64" i="24"/>
  <c r="P64" i="24"/>
  <c r="U64" i="29"/>
  <c r="U66" i="29" s="1"/>
  <c r="O66" i="21"/>
  <c r="M64" i="30"/>
  <c r="M66" i="30" s="1"/>
  <c r="K64" i="26"/>
  <c r="K66" i="26" s="1"/>
  <c r="C64" i="28"/>
  <c r="C66" i="28" s="1"/>
  <c r="C64" i="24"/>
  <c r="C66" i="24" s="1"/>
  <c r="L64" i="27"/>
  <c r="L66" i="27" s="1"/>
  <c r="R64" i="24"/>
  <c r="R66" i="24" s="1"/>
  <c r="K64" i="29"/>
  <c r="K66" i="29" s="1"/>
  <c r="J64" i="29"/>
  <c r="J66" i="29" s="1"/>
  <c r="E64" i="29"/>
  <c r="E66" i="29" s="1"/>
  <c r="M64" i="21"/>
  <c r="P64" i="28"/>
  <c r="P66" i="28" s="1"/>
  <c r="I64" i="21"/>
  <c r="I66" i="21" s="1"/>
  <c r="U64" i="28"/>
  <c r="U66" i="28" s="1"/>
  <c r="U64" i="24"/>
  <c r="U66" i="24" s="1"/>
  <c r="U64" i="27"/>
  <c r="U66" i="27" s="1"/>
  <c r="S66" i="27"/>
  <c r="Q66" i="30"/>
  <c r="B64" i="29"/>
  <c r="B66" i="29" s="1"/>
  <c r="B64" i="28"/>
  <c r="B66" i="28" s="1"/>
  <c r="B64" i="27"/>
  <c r="B66" i="27" s="1"/>
  <c r="B64" i="26"/>
  <c r="B66" i="26" s="1"/>
  <c r="B64" i="21"/>
  <c r="B66" i="21" s="1"/>
  <c r="T66" i="29"/>
  <c r="O64" i="27"/>
  <c r="O66" i="27" s="1"/>
  <c r="O64" i="28"/>
  <c r="O66" i="28" s="1"/>
  <c r="N64" i="27"/>
  <c r="N66" i="27" s="1"/>
  <c r="N64" i="30"/>
  <c r="N66" i="30" s="1"/>
  <c r="L66" i="30"/>
  <c r="J66" i="28"/>
  <c r="G64" i="26"/>
  <c r="G66" i="26" s="1"/>
  <c r="G64" i="29"/>
  <c r="G66" i="29" s="1"/>
  <c r="O64" i="26"/>
  <c r="O66" i="26" s="1"/>
  <c r="T66" i="24"/>
  <c r="P64" i="30"/>
  <c r="P66" i="30" s="1"/>
  <c r="Q66" i="21"/>
  <c r="P66" i="21"/>
  <c r="K66" i="27"/>
  <c r="Q66" i="24"/>
  <c r="R66" i="27"/>
  <c r="J66" i="27"/>
  <c r="G64" i="27"/>
  <c r="G66" i="27" s="1"/>
  <c r="G66" i="30"/>
  <c r="J66" i="30"/>
  <c r="F64" i="27"/>
  <c r="F66" i="27" s="1"/>
  <c r="T66" i="27"/>
  <c r="L66" i="29"/>
  <c r="J66" i="26"/>
  <c r="T66" i="21"/>
  <c r="H66" i="30"/>
  <c r="E66" i="30"/>
  <c r="S66" i="24"/>
  <c r="L66" i="21"/>
  <c r="S66" i="26"/>
  <c r="L66" i="28"/>
  <c r="L66" i="26"/>
  <c r="T66" i="30"/>
  <c r="R66" i="28"/>
  <c r="N64" i="26"/>
  <c r="N66" i="26" s="1"/>
  <c r="O64" i="29"/>
  <c r="O66" i="29" s="1"/>
  <c r="P64" i="29"/>
  <c r="P66" i="29" s="1"/>
  <c r="S64" i="1"/>
  <c r="R66" i="26"/>
  <c r="D66" i="27"/>
  <c r="N64" i="29"/>
  <c r="N66" i="29" s="1"/>
  <c r="R66" i="30"/>
  <c r="R64" i="1"/>
  <c r="Q64" i="1"/>
  <c r="U64" i="1"/>
  <c r="P64" i="1"/>
  <c r="E66" i="27"/>
  <c r="J66" i="24"/>
  <c r="Q66" i="29"/>
  <c r="F64" i="29"/>
  <c r="F66" i="29" s="1"/>
  <c r="O64" i="30"/>
  <c r="O66" i="30" s="1"/>
  <c r="N64" i="24"/>
  <c r="N66" i="24" s="1"/>
  <c r="B66" i="30"/>
  <c r="B66" i="24"/>
  <c r="K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H66" i="21"/>
  <c r="M66" i="21"/>
  <c r="K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C66" i="29" l="1"/>
  <c r="C65" i="30"/>
  <c r="B65" i="1"/>
  <c r="D65" i="30"/>
  <c r="D66" i="26"/>
  <c r="D65" i="1"/>
  <c r="D66" i="29"/>
  <c r="C65" i="27"/>
  <c r="C65" i="24"/>
  <c r="C65" i="1"/>
  <c r="C65" i="28"/>
  <c r="B65" i="26"/>
  <c r="B65" i="28"/>
  <c r="B65" i="29"/>
  <c r="B65" i="21"/>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<sst xmlns="http://schemas.openxmlformats.org/spreadsheetml/2006/main" count="1785" uniqueCount="170">
  <si>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</si>
  <si>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</si>
  <si>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</si>
  <si>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</si>
  <si>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</si>
  <si>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</si>
  <si>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</si>
  <si>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</si>
  <si>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</si>
  <si>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</si>
  <si>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</si>
  <si>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</si>
  <si>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</si>
  <si>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</si>
  <si>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</si>
  <si>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</si>
  <si>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</si>
  <si>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</si>
  <si>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</si>
  <si>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</si>
  <si>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</si>
  <si>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</si>
  <si>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</si>
  <si>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</si>
  <si>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</si>
  <si>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</si>
  <si>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</si>
  <si>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</si>
  <si>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</si>
  <si>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</si>
  <si>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</si>
  <si>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</si>
  <si>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</si>
  <si>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</si>
  <si>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</si>
  <si>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</si>
  <si>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</si>
  <si>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</si>
  <si>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</si>
  <si>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</si>
  <si>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</si>
  <si>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</si>
  <si>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</si>
  <si>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</si>
  <si>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</si>
  <si>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</si>
  <si>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</si>
  <si>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</si>
  <si>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</si>
  <si>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</si>
  <si>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</si>
  <si>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</si>
  <si>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</si>
  <si>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</si>
  <si>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</si>
  <si>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</si>
  <si>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</si>
  <si>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</si>
  <si>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</si>
  <si>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</si>
  <si>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</si>
  <si>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</si>
  <si>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</si>
  <si>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</si>
  <si>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</si>
  <si>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</si>
  <si>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</si>
  <si>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</si>
  <si>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</si>
  <si>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</si>
  <si>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</si>
  <si>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</si>
  <si>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</si>
  <si>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</si>
  <si>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</si>
  <si>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</si>
  <si>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</si>
  <si>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</si>
  <si>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</si>
  <si>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</si>
  <si>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</si>
  <si>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</si>
  <si>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</si>
  <si>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</si>
  <si>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</si>
  <si>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</si>
  <si>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</si>
  <si>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</si>
  <si>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</si>
  <si>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</si>
  <si>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</si>
  <si>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</si>
  <si>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</si>
  <si>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</si>
  <si>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</si>
  <si>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</si>
  <si>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</si>
  <si>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</si>
  <si>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</si>
  <si>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</si>
  <si>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</si>
  <si>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</si>
  <si>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</si>
  <si>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</si>
  <si>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</si>
  <si>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</si>
  <si>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</si>
  <si>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</si>
  <si>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</si>
  <si>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</si>
  <si>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</si>
  <si>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</si>
  <si>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</si>
  <si>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</si>
  <si>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</si>
  <si>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</si>
  <si>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</si>
  <si>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</si>
  <si>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</si>
  <si>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</si>
  <si>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</si>
  <si>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</si>
  <si>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</si>
  <si>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</si>
  <si>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</si>
  <si>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</si>
  <si>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</si>
  <si>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</si>
  <si>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</si>
  <si>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</si>
  <si>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</si>
  <si>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</si>
  <si>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</si>
  <si>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</si>
  <si>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</si>
  <si>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</si>
  <si>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</si>
  <si>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</si>
  <si>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</si>
  <si>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</si>
  <si>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</si>
  <si>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</si>
  <si>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</si>
  <si>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</si>
  <si>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</si>
  <si>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</si>
  <si>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</si>
  <si>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</si>
  <si>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</si>
  <si>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</si>
  <si>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</si>
  <si>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</si>
  <si>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</si>
  <si>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</si>
  <si>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</si>
  <si>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</si>
  <si>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</si>
  <si>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</si>
  <si>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</si>
  <si>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</si>
  <si>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PAN-024175</t>
  </si>
  <si>
    <t>EPR/GP3792SK</t>
  </si>
  <si>
    <t>BYPRODUCT RECOVERY LIMITED</t>
  </si>
  <si>
    <t>Rosedew Farm, Llantwit Major, CF61 1PZ</t>
  </si>
  <si>
    <t>Owen Clee</t>
  </si>
  <si>
    <t>19 09 02</t>
  </si>
  <si>
    <t>Potable water treatment
sludge</t>
  </si>
  <si>
    <t>5AB</t>
  </si>
  <si>
    <t>6ABC</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</si>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</sst>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4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8" dataDxfId="306" headerRowBorderDxfId="307" tableBorderDxfId="305" totalsRowBorderDxfId="304">
  <autoFilter ref="AI1:AN26" xr:uid="{F8B5EC87-3095-445A-A980-2CFAA0A7B9A2}"/>
  <sortState xmlns:xlrd2="http://schemas.microsoft.com/office/spreadsheetml/2017/richdata2" ref="AI2:AL25">
    <sortCondition ref="AL1:AL25"/>
  </sortState>
  <tableColumns count="6">
    <tableColumn id="1" xr3:uid="{360F44E4-7249-415F-8D5E-41D249F9A162}" name="Crop" dataDxfId="303"/>
    <tableColumn id="2" xr3:uid="{55E07717-B4EC-4E8A-B9A9-34F3CF85E32D}" name="P Offtake" dataDxfId="302"/>
    <tableColumn id="3" xr3:uid="{7B25FA52-8104-4FE3-AED4-B53CBFDF89B2}" name="K Offtake" dataDxfId="301"/>
    <tableColumn id="4" xr3:uid="{0DBAE461-2D09-43C8-9342-3980D552AE4D}" name="Order" dataDxfId="300"/>
    <tableColumn id="5" xr3:uid="{52CACE7B-0CBA-46FC-9F24-02CBD6100239}" name="Lime pH requirement" dataDxfId="299"/>
    <tableColumn id="6" xr3:uid="{F1432630-9B16-4266-8147-CE754A715307}" name="Column1" dataDxfId="29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5" dataDxfId="263" headerRowBorderDxfId="264" tableBorderDxfId="262" totalsRowBorderDxfId="261">
  <autoFilter ref="AI1:AN26" xr:uid="{F8B5EC87-3095-445A-A980-2CFAA0A7B9A2}"/>
  <sortState xmlns:xlrd2="http://schemas.microsoft.com/office/spreadsheetml/2017/richdata2" ref="AI2:AL25">
    <sortCondition ref="AL1:AL25"/>
  </sortState>
  <tableColumns count="6">
    <tableColumn id="1" xr3:uid="{7E96A84B-948F-445F-BD6E-30CC8E6E6DD1}" name="Crop" dataDxfId="260"/>
    <tableColumn id="2" xr3:uid="{12657DDB-F680-47DE-ABB1-8675D5F91E41}" name="P Offtake" dataDxfId="259"/>
    <tableColumn id="3" xr3:uid="{DEB99109-D325-4F98-8A71-E70C03433437}" name="K Offtake" dataDxfId="258"/>
    <tableColumn id="4" xr3:uid="{E96A561F-7E7F-4FB3-97AA-0B35D8C8E93A}" name="Order" dataDxfId="257"/>
    <tableColumn id="5" xr3:uid="{181DD475-0A71-4C52-AF1A-8BFF46F5A827}" name="Lime pH requirement" dataDxfId="256"/>
    <tableColumn id="6" xr3:uid="{AC3FA7E8-D76B-43A3-B715-04446DFF63C6}" name="Column1" dataDxfId="25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22" dataDxfId="220" headerRowBorderDxfId="221" tableBorderDxfId="219" totalsRowBorderDxfId="218">
  <autoFilter ref="AI1:AN26" xr:uid="{F8B5EC87-3095-445A-A980-2CFAA0A7B9A2}"/>
  <sortState xmlns:xlrd2="http://schemas.microsoft.com/office/spreadsheetml/2017/richdata2" ref="AI2:AL25">
    <sortCondition ref="AL1:AL25"/>
  </sortState>
  <tableColumns count="6">
    <tableColumn id="1" xr3:uid="{06008BA1-A1E9-4286-B67A-352533C06A26}" name="Crop" dataDxfId="217"/>
    <tableColumn id="2" xr3:uid="{2AEB5EEB-C9D1-41DC-913E-953A33D1A4AF}" name="P Offtake" dataDxfId="216"/>
    <tableColumn id="3" xr3:uid="{8FA16A0B-1017-4CEE-862E-0A8CBD8EB3D3}" name="K Offtake" dataDxfId="215"/>
    <tableColumn id="4" xr3:uid="{E7A3B8CD-4036-47F4-B818-C3F22E80C749}" name="Order" dataDxfId="214"/>
    <tableColumn id="5" xr3:uid="{8F3EBD84-7904-4559-9B5C-63088B792C98}" name="Lime pH requirement" dataDxfId="213"/>
    <tableColumn id="6" xr3:uid="{A21DD95A-C955-4510-9114-E3F1CB645370}" name="Column1" dataDxfId="21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80" dataDxfId="178" headerRowBorderDxfId="179" tableBorderDxfId="177" totalsRowBorderDxfId="176">
  <autoFilter ref="AI1:AN26" xr:uid="{F8B5EC87-3095-445A-A980-2CFAA0A7B9A2}"/>
  <sortState xmlns:xlrd2="http://schemas.microsoft.com/office/spreadsheetml/2017/richdata2" ref="AI2:AL25">
    <sortCondition ref="AL1:AL25"/>
  </sortState>
  <tableColumns count="6">
    <tableColumn id="1" xr3:uid="{11579FCC-3D9F-49AD-888D-5D79B801F6AE}" name="Crop" dataDxfId="175"/>
    <tableColumn id="2" xr3:uid="{05C08116-56D5-4CC6-A649-B06AF891B931}" name="P Offtake" dataDxfId="174"/>
    <tableColumn id="3" xr3:uid="{59CDE959-192B-4757-9203-A0F691CF0F96}" name="K Offtake" dataDxfId="173"/>
    <tableColumn id="4" xr3:uid="{9FB8E4F7-B91F-4CE0-AF39-D4895D0ECF2F}" name="Order" dataDxfId="172"/>
    <tableColumn id="5" xr3:uid="{688FF2A4-D7C6-4425-A915-A9ADD700A9EE}" name="Lime pH requirement" dataDxfId="171"/>
    <tableColumn id="6" xr3:uid="{05FC5CFF-3D81-4B5F-87C7-2364076F2714}" name="Column1" dataDxfId="17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7" dataDxfId="135" headerRowBorderDxfId="136" tableBorderDxfId="134" totalsRowBorderDxfId="133">
  <autoFilter ref="AI1:AN26" xr:uid="{F8B5EC87-3095-445A-A980-2CFAA0A7B9A2}"/>
  <sortState xmlns:xlrd2="http://schemas.microsoft.com/office/spreadsheetml/2017/richdata2" ref="AI2:AL25">
    <sortCondition ref="AL1:AL25"/>
  </sortState>
  <tableColumns count="6">
    <tableColumn id="1" xr3:uid="{973D7FFB-D248-4199-9B2E-B3C6CC09D382}" name="Crop" dataDxfId="132"/>
    <tableColumn id="2" xr3:uid="{7F2A3986-EC86-4CF9-BD10-791170BA6682}" name="P Offtake" dataDxfId="131"/>
    <tableColumn id="3" xr3:uid="{D6129C35-9DC6-42E5-AE3F-EA3A083168E6}" name="K Offtake" dataDxfId="130"/>
    <tableColumn id="4" xr3:uid="{C1CC42B5-564A-4DE7-B817-B7D686FE9A11}" name="Order" dataDxfId="129"/>
    <tableColumn id="5" xr3:uid="{620F3ABD-564C-411A-8DEA-CE1A34F9FC36}" name="Lime pH requirement" dataDxfId="128"/>
    <tableColumn id="6" xr3:uid="{76C9BC4F-4FF3-4AFB-8E7B-16DC0CC3E97C}" name="Column1" dataDxfId="12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D13A12FC-EAE6-4280-A219-C2622262E5F4}" name="Crop" dataDxfId="89"/>
    <tableColumn id="2" xr3:uid="{FD06C4A3-4B75-490D-88CF-232C7DC3EFC6}" name="P Offtake" dataDxfId="88"/>
    <tableColumn id="3" xr3:uid="{B043BEFF-10D4-4840-989B-BB13A502ECDF}" name="K Offtake" dataDxfId="87"/>
    <tableColumn id="4" xr3:uid="{48481FDC-5D20-466C-B554-D45886EA366A}" name="Order" dataDxfId="86"/>
    <tableColumn id="5" xr3:uid="{9E0852D2-9D0D-44AB-98B7-FBA51F331ACF}" name="Lime pH requirement" dataDxfId="85"/>
    <tableColumn id="6" xr3:uid="{29F9C4A5-6854-4F37-8BD1-0DD9B6024A55}"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B554ED3-7AAF-4192-827C-B071945474B8}" name="Crop" dataDxfId="47"/>
    <tableColumn id="2" xr3:uid="{35F435E0-8D8E-44D1-84BD-C2FF51C3F944}" name="P Offtake" dataDxfId="46"/>
    <tableColumn id="3" xr3:uid="{38465C9D-AA8F-443A-80F5-96D1F6258317}" name="K Offtake" dataDxfId="45"/>
    <tableColumn id="4" xr3:uid="{E0C0E6AF-5628-4BC3-9625-81A87B93D279}" name="Order" dataDxfId="44"/>
    <tableColumn id="5" xr3:uid="{ACDE1D9A-7F94-4404-BDDC-1235C32C758F}" name="Lime pH requirement" dataDxfId="43"/>
    <tableColumn id="6" xr3:uid="{B093C9DF-C4CF-4906-9658-89F446EB9C12}"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C4B2E6E9-5990-417D-9E04-7933BDF1FC69}" name="Crop" dataDxfId="5"/>
    <tableColumn id="2" xr3:uid="{E74EF8D0-6C68-49B8-AE52-40C276CA5FC9}" name="P Offtake" dataDxfId="4"/>
    <tableColumn id="3" xr3:uid="{9E0A7857-36E3-482D-B4B2-65B90760417F}" name="K Offtake" dataDxfId="3"/>
    <tableColumn id="4" xr3:uid="{A78867D2-7566-4070-AF99-15EE4CEB1699}" name="Order" dataDxfId="2"/>
    <tableColumn id="5" xr3:uid="{240FD5FA-5659-468E-8544-C93086800EC9}" name="Lime pH requirement" dataDxfId="1"/>
    <tableColumn id="6" xr3:uid="{D5C8E9C3-9076-473B-AE62-DA32692BAAB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2" sqref="F2"/>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9" t="s">
        <v>41</v>
      </c>
      <c r="B1" s="129"/>
      <c r="C1" s="123" t="s">
        <v>160</v>
      </c>
      <c r="D1" s="124"/>
      <c r="E1" s="93" t="s">
        <v>45</v>
      </c>
      <c r="F1" s="96">
        <v>45.52</v>
      </c>
      <c r="G1" s="125" t="s">
        <v>43</v>
      </c>
      <c r="H1" s="126"/>
      <c r="I1" s="96">
        <v>6.1</v>
      </c>
      <c r="J1" s="129" t="s">
        <v>153</v>
      </c>
      <c r="K1" s="129"/>
      <c r="L1" s="96">
        <v>298</v>
      </c>
      <c r="AB1" s="18"/>
      <c r="AC1" s="18"/>
      <c r="AD1" s="30" t="s">
        <v>126</v>
      </c>
      <c r="AE1" s="17"/>
      <c r="AF1" s="17"/>
      <c r="AG1" s="18"/>
      <c r="AH1" s="18"/>
      <c r="AI1" s="40" t="s">
        <v>79</v>
      </c>
      <c r="AJ1" s="41" t="s">
        <v>94</v>
      </c>
      <c r="AK1" s="42" t="s">
        <v>95</v>
      </c>
      <c r="AL1" s="43" t="s">
        <v>125</v>
      </c>
      <c r="AM1" s="43" t="s">
        <v>131</v>
      </c>
      <c r="AN1" s="43" t="s">
        <v>111</v>
      </c>
    </row>
    <row r="2" spans="1:40" x14ac:dyDescent="0.25">
      <c r="A2" s="129" t="s">
        <v>87</v>
      </c>
      <c r="B2" s="129"/>
      <c r="C2" s="121" t="s">
        <v>161</v>
      </c>
      <c r="D2" s="122"/>
      <c r="E2" s="93" t="s">
        <v>109</v>
      </c>
      <c r="F2" s="96" t="s">
        <v>165</v>
      </c>
      <c r="G2" s="127" t="s">
        <v>110</v>
      </c>
      <c r="H2" s="128"/>
      <c r="I2" s="96"/>
      <c r="J2" s="129" t="s">
        <v>158</v>
      </c>
      <c r="K2" s="129"/>
      <c r="L2" s="96">
        <v>0.72799999999999998</v>
      </c>
      <c r="AB2" s="30" t="s">
        <v>56</v>
      </c>
      <c r="AC2" s="17"/>
      <c r="AD2" s="30" t="s">
        <v>70</v>
      </c>
      <c r="AE2" s="17"/>
      <c r="AF2" s="17"/>
      <c r="AG2" s="44" t="s">
        <v>76</v>
      </c>
      <c r="AH2" s="18"/>
      <c r="AI2" s="45" t="s">
        <v>126</v>
      </c>
      <c r="AJ2" s="46">
        <v>0</v>
      </c>
      <c r="AK2" s="47">
        <v>0</v>
      </c>
      <c r="AL2" s="10">
        <v>0</v>
      </c>
      <c r="AM2" s="11">
        <v>0</v>
      </c>
      <c r="AN2" s="11">
        <v>0</v>
      </c>
    </row>
    <row r="3" spans="1:40" x14ac:dyDescent="0.25">
      <c r="A3" s="125" t="s">
        <v>42</v>
      </c>
      <c r="B3" s="126"/>
      <c r="C3" s="121" t="s">
        <v>162</v>
      </c>
      <c r="D3" s="122"/>
      <c r="E3" s="93" t="s">
        <v>108</v>
      </c>
      <c r="F3" s="31" t="s">
        <v>78</v>
      </c>
      <c r="G3" s="129" t="s">
        <v>159</v>
      </c>
      <c r="H3" s="129"/>
      <c r="I3" s="96"/>
      <c r="J3" s="125" t="s">
        <v>154</v>
      </c>
      <c r="K3" s="126"/>
      <c r="L3" s="96">
        <f>(L1/(L2*10000))*100</f>
        <v>4.0934065934065931</v>
      </c>
      <c r="AB3" s="30" t="s">
        <v>57</v>
      </c>
      <c r="AC3" s="17"/>
      <c r="AD3" s="30" t="s">
        <v>71</v>
      </c>
      <c r="AE3" s="17"/>
      <c r="AF3" s="17"/>
      <c r="AG3" s="44" t="s">
        <v>77</v>
      </c>
      <c r="AH3" s="18"/>
      <c r="AI3" s="48" t="s">
        <v>113</v>
      </c>
      <c r="AJ3" s="49">
        <v>1.7</v>
      </c>
      <c r="AK3" s="50">
        <v>6</v>
      </c>
      <c r="AL3" s="51">
        <v>1</v>
      </c>
      <c r="AM3" s="11">
        <v>6.2</v>
      </c>
      <c r="AN3" s="11" t="s">
        <v>112</v>
      </c>
    </row>
    <row r="4" spans="1:40" ht="26.4" x14ac:dyDescent="0.25">
      <c r="A4" s="129" t="s">
        <v>0</v>
      </c>
      <c r="B4" s="129"/>
      <c r="C4" s="123" t="s">
        <v>163</v>
      </c>
      <c r="D4" s="124"/>
      <c r="E4" s="94" t="s">
        <v>1</v>
      </c>
      <c r="F4" s="120" t="s">
        <v>166</v>
      </c>
      <c r="G4" s="129"/>
      <c r="H4" s="129"/>
      <c r="I4" s="96"/>
      <c r="J4" s="125"/>
      <c r="K4" s="126"/>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9" t="s">
        <v>47</v>
      </c>
      <c r="B5" s="129"/>
      <c r="C5" s="130" t="s">
        <v>164</v>
      </c>
      <c r="D5" s="130"/>
      <c r="E5" s="94"/>
      <c r="F5" s="95"/>
      <c r="G5" s="129"/>
      <c r="H5" s="129"/>
      <c r="I5" s="96"/>
      <c r="J5" s="125"/>
      <c r="K5" s="126"/>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9" t="s">
        <v>2</v>
      </c>
      <c r="B8" s="129"/>
      <c r="C8" s="15">
        <v>3</v>
      </c>
      <c r="D8" s="15" t="s">
        <v>167</v>
      </c>
      <c r="E8" s="15" t="s">
        <v>168</v>
      </c>
      <c r="F8" s="15"/>
      <c r="G8" s="15"/>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9" t="s">
        <v>3</v>
      </c>
      <c r="B9" s="129"/>
      <c r="C9" s="15">
        <v>1</v>
      </c>
      <c r="D9" s="15" t="s">
        <v>169</v>
      </c>
      <c r="E9" s="15" t="s">
        <v>169</v>
      </c>
      <c r="F9" s="15"/>
      <c r="G9" s="15"/>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9" t="s">
        <v>4</v>
      </c>
      <c r="B10" s="129"/>
      <c r="C10" s="15">
        <v>7.6</v>
      </c>
      <c r="D10" s="15">
        <v>7.7</v>
      </c>
      <c r="E10" s="15">
        <v>7.9</v>
      </c>
      <c r="F10" s="15"/>
      <c r="G10" s="15"/>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9" t="s">
        <v>5</v>
      </c>
      <c r="B11" s="129"/>
      <c r="C11" s="15">
        <v>3</v>
      </c>
      <c r="D11" s="15">
        <v>3</v>
      </c>
      <c r="E11" s="15">
        <v>4</v>
      </c>
      <c r="F11" s="15"/>
      <c r="G11" s="15"/>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9" t="s">
        <v>6</v>
      </c>
      <c r="B12" s="129"/>
      <c r="C12" s="15">
        <v>3</v>
      </c>
      <c r="D12" s="15">
        <v>3</v>
      </c>
      <c r="E12" s="15">
        <v>3</v>
      </c>
      <c r="F12" s="15"/>
      <c r="G12" s="15"/>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9" t="s">
        <v>7</v>
      </c>
      <c r="B13" s="129"/>
      <c r="C13" s="15">
        <v>3</v>
      </c>
      <c r="D13" s="15">
        <v>4</v>
      </c>
      <c r="E13" s="15">
        <v>3</v>
      </c>
      <c r="F13" s="15"/>
      <c r="G13" s="15"/>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8" t="s">
        <v>8</v>
      </c>
      <c r="B14" s="138"/>
      <c r="C14" s="100" t="s">
        <v>123</v>
      </c>
      <c r="D14" s="100" t="s">
        <v>113</v>
      </c>
      <c r="E14" s="100" t="s">
        <v>113</v>
      </c>
      <c r="F14" s="100"/>
      <c r="G14" s="100"/>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7" t="s">
        <v>9</v>
      </c>
      <c r="B15" s="137"/>
      <c r="C15" s="15">
        <v>8</v>
      </c>
      <c r="D15" s="15">
        <v>38</v>
      </c>
      <c r="E15" s="15">
        <v>38</v>
      </c>
      <c r="F15" s="15"/>
      <c r="G15" s="15"/>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9" t="s">
        <v>44</v>
      </c>
      <c r="B16" s="139"/>
      <c r="C16" s="101" t="s">
        <v>72</v>
      </c>
      <c r="D16" s="101" t="s">
        <v>72</v>
      </c>
      <c r="E16" s="101" t="s">
        <v>72</v>
      </c>
      <c r="F16" s="101"/>
      <c r="G16" s="101"/>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35" t="s">
        <v>69</v>
      </c>
      <c r="B17" s="136"/>
      <c r="C17" s="28">
        <f>(VLOOKUP(C$14,$AI2:$AK26,2,FALSE))*C$15</f>
        <v>52</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3" t="s">
        <v>23</v>
      </c>
      <c r="B18" s="134"/>
      <c r="C18" s="16">
        <f>$D31</f>
        <v>9.9198009000000003</v>
      </c>
      <c r="D18" s="16">
        <f>$D32</f>
        <v>9.9198009000000003</v>
      </c>
      <c r="E18" s="16">
        <f>$D33</f>
        <v>9.9198009000000003</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3" t="s">
        <v>90</v>
      </c>
      <c r="B19" s="134"/>
      <c r="C19" s="16">
        <f>C18-C17</f>
        <v>-42.080199100000002</v>
      </c>
      <c r="D19" s="16">
        <f t="shared" ref="D19:V19" si="1">D18-D17</f>
        <v>-54.680199099999996</v>
      </c>
      <c r="E19" s="16">
        <f t="shared" si="1"/>
        <v>-54.680199099999996</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5" t="s">
        <v>88</v>
      </c>
      <c r="B21" s="136"/>
      <c r="C21" s="28">
        <f>(VLOOKUP(C$14,$AI2:$AK26,3,FALSE))*C$15</f>
        <v>44</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3" t="s">
        <v>89</v>
      </c>
      <c r="B22" s="134"/>
      <c r="C22" s="16">
        <f>$E31</f>
        <v>0.97713450000000013</v>
      </c>
      <c r="D22" s="16">
        <f>$E32</f>
        <v>0.97713450000000013</v>
      </c>
      <c r="E22" s="16">
        <f>$E33</f>
        <v>0.97713450000000013</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3" t="s">
        <v>92</v>
      </c>
      <c r="B23" s="134"/>
      <c r="C23" s="16">
        <f>C22-C21</f>
        <v>-43.022865500000002</v>
      </c>
      <c r="D23" s="16">
        <f t="shared" ref="D23:V23" si="3">D22-D21</f>
        <v>-227.02286549999999</v>
      </c>
      <c r="E23" s="16">
        <f t="shared" si="3"/>
        <v>-227.02286549999999</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1" t="s">
        <v>93</v>
      </c>
      <c r="B24" s="132"/>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2.04</v>
      </c>
      <c r="C28" s="15">
        <v>0.72799999999999998</v>
      </c>
      <c r="D28" s="15">
        <v>8.4900000000000003E-2</v>
      </c>
      <c r="E28" s="15">
        <v>1.5900000000000001E-2</v>
      </c>
      <c r="F28" s="15">
        <v>595</v>
      </c>
      <c r="G28" s="15">
        <v>28.1</v>
      </c>
      <c r="H28" s="15">
        <v>130</v>
      </c>
      <c r="I28" s="15">
        <v>8.6</v>
      </c>
      <c r="J28" s="15">
        <v>0.61</v>
      </c>
      <c r="K28" s="15">
        <v>0.99</v>
      </c>
      <c r="L28" s="15">
        <v>9.6</v>
      </c>
      <c r="M28" s="15">
        <v>15.1</v>
      </c>
      <c r="N28" s="15">
        <v>3050</v>
      </c>
      <c r="O28" s="15">
        <v>451000</v>
      </c>
      <c r="P28" s="15"/>
      <c r="Q28" s="15">
        <v>2630</v>
      </c>
      <c r="R28" s="15"/>
      <c r="S28" s="15">
        <v>38.700000000000003</v>
      </c>
      <c r="T28" s="15"/>
      <c r="U28" s="15"/>
    </row>
    <row r="29" spans="1:40" s="7" customFormat="1" ht="28.8" x14ac:dyDescent="0.3">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3</v>
      </c>
      <c r="B31" s="15">
        <v>250</v>
      </c>
      <c r="C31" s="77">
        <f>IF(C$27="%w/w SAR",((C$28*10)*$B31),IF(C$27="%w/w DM",(((C$28*10)*($B$28/100))*$B31),IF(C$27="kg/t SAR",(C$28*$B31),IF(C$27="kg/t DM",((C$28*($B$28/100))*$B31),IF(C$27="mg/kg SAR",((C$28*0.001)*$B31),IF(C$27="mg/kg DM",(((C$28*0.001)*($B$28/100))*$B31),0))))))</f>
        <v>37.128</v>
      </c>
      <c r="D31" s="77">
        <f>(IF(D$27="%w/w SAR",((D$28*10)*$B31),IF(D$27="%w/w DM",(((D$28*10)*($B$28/100))*$B31),IF(D$27="kg/t SAR",(D$28*$B31),IF(D$27="kg/t DM",((D$28*($B$28/100))*$B31),IF(D$27="mg/kg SAR",((D$28*0.001)*$B31),IF(D$27="mg/kg DM",(((D$28*0.001)*($B$28/100))*$B31),"0")))))))*2.291</f>
        <v>9.9198009000000003</v>
      </c>
      <c r="E31" s="77">
        <f>(IF(E$27="%w/w SAR",((E$28*10)*$B31),IF(E$27="%w/w DM",(((E$28*10)*($B$28/100))*$B31),IF(E$27="kg/t SAR",(E$28*$B31),IF(E$27="kg/t DM",((E$28*($B$28/100))*$B31),IF(E$27="mg/kg SAR",((E$28*0.001)*$B31),IF(E$27="mg/kg DM",(((E$28*0.001)*($B$28/100))*$B31),"0")))))))*1.205</f>
        <v>0.97713450000000013</v>
      </c>
      <c r="F31" s="77">
        <f>(IF(F$27="%w/w SAR",((F$28*10)*$B31),IF(F$27="%w/w DM",(((F$28*10)*($B$28/100))*$B31),IF(F$27="kg/t SAR",(F$28*$B31),IF(F$27="kg/t DM",((F$28*($B$28/100))*$B31),IF(F$27="mg/kg SAR",((F$28*0.001)*$B31),IF(F$27="mg/kg DM",(((F$28*0.001)*($B$28/100))*$B31),"0")))))))*1.658</f>
        <v>5.0312009999999994</v>
      </c>
      <c r="G31" s="77">
        <f t="shared" ref="G31:P31" si="5">IF(G$27="%w/w SAR",((G$28*10)*$B31),IF(G$27="%w/w DM",(((G$28*10)*($B$28/100))*$B31),IF(G$27="kg/t SAR",(G$28*$B31),IF(G$27="kg/t DM",((G$28*($B$28/100))*$B31),IF(G$27="mg/kg SAR",((G$28*0.001)*$B31),IF(G$27="mg/kg DM",(((G$28*0.001)*($B$28/100))*$B31),0))))))</f>
        <v>0.14331000000000005</v>
      </c>
      <c r="H31" s="77">
        <f t="shared" si="5"/>
        <v>0.66300000000000003</v>
      </c>
      <c r="I31" s="77">
        <f t="shared" si="5"/>
        <v>4.3860000000000003E-2</v>
      </c>
      <c r="J31" s="77">
        <f t="shared" si="5"/>
        <v>3.1110000000000001E-3</v>
      </c>
      <c r="K31" s="77">
        <f t="shared" si="5"/>
        <v>5.0490000000000005E-3</v>
      </c>
      <c r="L31" s="77">
        <f t="shared" si="5"/>
        <v>4.8959999999999997E-2</v>
      </c>
      <c r="M31" s="77">
        <f t="shared" si="5"/>
        <v>7.7010000000000009E-2</v>
      </c>
      <c r="N31" s="77">
        <f t="shared" si="5"/>
        <v>15.555000000000003</v>
      </c>
      <c r="O31" s="77">
        <f t="shared" si="5"/>
        <v>2300.1</v>
      </c>
      <c r="P31" s="77">
        <f t="shared" si="5"/>
        <v>0</v>
      </c>
      <c r="Q31" s="77">
        <f>(IF(Q$27="%w/w SAR",((Q$28*10)*$B31),IF(Q$27="%w/w DM",(((Q$28*10)*($B$28/100))*$B31),IF(Q$27="kg/t SAR",(Q$28*$B31),IF(Q$27="kg/t DM",((Q$28*($B$28/100))*$B31),IF(Q$27="mg/kg SAR",((Q$28*0.001)*$B31),IF(Q$27="mg/kg DM",(((Q$28*0.001)*($B$28/100))*$B31),0)))))))*2.5</f>
        <v>33.532499999999999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0.19737000000000005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5AB</v>
      </c>
      <c r="B32" s="15">
        <v>250</v>
      </c>
      <c r="C32" s="77">
        <f t="shared" ref="C32:C50" si="6">IF(C$27="%w/w SAR",((C$28*10)*$B32),IF(C$27="%w/w DM",(((C$28*10)*($B$28/100))*$B32),IF(C$27="kg/t SAR",(C$28*$B32),IF(C$27="kg/t DM",((C$28*($B$28/100))*$B32),IF(C$27="mg/kg SAR",((C$28*0.001)*$B32),IF(C$27="mg/kg DM",(((C$28*0.001)*($B$28/100))*$B32),0))))))</f>
        <v>37.128</v>
      </c>
      <c r="D32" s="77">
        <f t="shared" ref="D32:D50" si="7">(IF(D$27="%w/w SAR",((D$28*10)*$B32),IF(D$27="%w/w DM",(((D$28*10)*($B$28/100))*$B32),IF(D$27="kg/t SAR",(D$28*$B32),IF(D$27="kg/t DM",((D$28*($B$28/100))*$B32),IF(D$27="mg/kg SAR",((D$28*0.001)*$B32),IF(D$27="mg/kg DM",(((D$28*0.001)*($B$28/100))*$B32),"0")))))))*2.291</f>
        <v>9.9198009000000003</v>
      </c>
      <c r="E32" s="77">
        <f t="shared" ref="E32:E50" si="8">(IF(E$27="%w/w SAR",((E$28*10)*$B32),IF(E$27="%w/w DM",(((E$28*10)*($B$28/100))*$B32),IF(E$27="kg/t SAR",(E$28*$B32),IF(E$27="kg/t DM",((E$28*($B$28/100))*$B32),IF(E$27="mg/kg SAR",((E$28*0.001)*$B32),IF(E$27="mg/kg DM",(((E$28*0.001)*($B$28/100))*$B32),"0")))))))*1.205</f>
        <v>0.97713450000000013</v>
      </c>
      <c r="F32" s="77">
        <f t="shared" ref="F32:F50" si="9">(IF(F$27="%w/w SAR",((F$28*10)*$B32),IF(F$27="%w/w DM",(((F$28*10)*($B$28/100))*$B32),IF(F$27="kg/t SAR",(F$28*$B32),IF(F$27="kg/t DM",((F$28*($B$28/100))*$B32),IF(F$27="mg/kg SAR",((F$28*0.001)*$B32),IF(F$27="mg/kg DM",(((F$28*0.001)*($B$28/100))*$B32),"0")))))))*1.658</f>
        <v>5.0312009999999994</v>
      </c>
      <c r="G32" s="77">
        <f t="shared" ref="G32:P50" si="10">IF(G$27="%w/w SAR",((G$28*10)*$B32),IF(G$27="%w/w DM",(((G$28*10)*($B$28/100))*$B32),IF(G$27="kg/t SAR",(G$28*$B32),IF(G$27="kg/t DM",((G$28*($B$28/100))*$B32),IF(G$27="mg/kg SAR",((G$28*0.001)*$B32),IF(G$27="mg/kg DM",(((G$28*0.001)*($B$28/100))*$B32),0))))))</f>
        <v>0.14331000000000005</v>
      </c>
      <c r="H32" s="77">
        <f t="shared" si="10"/>
        <v>0.66300000000000003</v>
      </c>
      <c r="I32" s="77">
        <f t="shared" si="10"/>
        <v>4.3860000000000003E-2</v>
      </c>
      <c r="J32" s="77">
        <f t="shared" si="10"/>
        <v>3.1110000000000001E-3</v>
      </c>
      <c r="K32" s="77">
        <f t="shared" si="10"/>
        <v>5.0490000000000005E-3</v>
      </c>
      <c r="L32" s="77">
        <f t="shared" si="10"/>
        <v>4.8959999999999997E-2</v>
      </c>
      <c r="M32" s="77">
        <f t="shared" si="10"/>
        <v>7.7010000000000009E-2</v>
      </c>
      <c r="N32" s="77">
        <f t="shared" si="10"/>
        <v>15.555000000000003</v>
      </c>
      <c r="O32" s="77">
        <f t="shared" si="10"/>
        <v>2300.1</v>
      </c>
      <c r="P32" s="77">
        <f t="shared" si="10"/>
        <v>0</v>
      </c>
      <c r="Q32" s="77">
        <f t="shared" ref="Q32:Q50" si="11">(IF(Q$27="%w/w SAR",((Q$28*10)*$B32),IF(Q$27="%w/w DM",(((Q$28*10)*($B$28/100))*$B32),IF(Q$27="kg/t SAR",(Q$28*$B32),IF(Q$27="kg/t DM",((Q$28*($B$28/100))*$B32),IF(Q$27="mg/kg SAR",((Q$28*0.001)*$B32),IF(Q$27="mg/kg DM",(((Q$28*0.001)*($B$28/100))*$B32),0)))))))*2.5</f>
        <v>33.532499999999999</v>
      </c>
      <c r="R32" s="77">
        <f t="shared" ref="R32:U50" si="12">IF(R$27="%w/w SAR",((R$28*10)*$B32),IF(R$27="%w/w DM",(((R$28*10)*($B$28/100))*$B32),IF(R$27="kg/t SAR",(R$28*$B32),IF(R$27="kg/t DM",((R$28*($B$28/100))*$B32),IF(R$27="mg/kg SAR",((R$28*0.001)*$B32),IF(R$27="mg/kg DM",(((R$28*0.001)*($B$28/100))*$B32),0))))))</f>
        <v>0</v>
      </c>
      <c r="S32" s="77">
        <f t="shared" si="12"/>
        <v>0.19737000000000005</v>
      </c>
      <c r="T32" s="77">
        <f t="shared" si="12"/>
        <v>0</v>
      </c>
      <c r="U32" s="77">
        <f t="shared" si="12"/>
        <v>0</v>
      </c>
      <c r="AB32" s="59"/>
      <c r="AC32" s="59"/>
      <c r="AD32" s="59"/>
      <c r="AE32" s="59"/>
      <c r="AF32" s="59"/>
      <c r="AG32" s="59"/>
      <c r="AH32" s="59"/>
      <c r="AI32" s="59"/>
    </row>
    <row r="33" spans="1:35" s="72" customFormat="1" x14ac:dyDescent="0.3">
      <c r="A33" s="13" t="str">
        <f>E8</f>
        <v>6ABC</v>
      </c>
      <c r="B33" s="15">
        <v>250</v>
      </c>
      <c r="C33" s="77">
        <f t="shared" si="6"/>
        <v>37.128</v>
      </c>
      <c r="D33" s="77">
        <f t="shared" si="7"/>
        <v>9.9198009000000003</v>
      </c>
      <c r="E33" s="77">
        <f t="shared" si="8"/>
        <v>0.97713450000000013</v>
      </c>
      <c r="F33" s="77">
        <f t="shared" si="9"/>
        <v>5.0312009999999994</v>
      </c>
      <c r="G33" s="77">
        <f t="shared" si="10"/>
        <v>0.14331000000000005</v>
      </c>
      <c r="H33" s="77">
        <f t="shared" si="10"/>
        <v>0.66300000000000003</v>
      </c>
      <c r="I33" s="77">
        <f t="shared" si="10"/>
        <v>4.3860000000000003E-2</v>
      </c>
      <c r="J33" s="77">
        <f t="shared" si="10"/>
        <v>3.1110000000000001E-3</v>
      </c>
      <c r="K33" s="77">
        <f t="shared" si="10"/>
        <v>5.0490000000000005E-3</v>
      </c>
      <c r="L33" s="77">
        <f t="shared" si="10"/>
        <v>4.8959999999999997E-2</v>
      </c>
      <c r="M33" s="77">
        <f t="shared" si="10"/>
        <v>7.7010000000000009E-2</v>
      </c>
      <c r="N33" s="77">
        <f t="shared" si="10"/>
        <v>15.555000000000003</v>
      </c>
      <c r="O33" s="77">
        <f t="shared" si="10"/>
        <v>2300.1</v>
      </c>
      <c r="P33" s="77">
        <f t="shared" si="10"/>
        <v>0</v>
      </c>
      <c r="Q33" s="77">
        <f t="shared" si="11"/>
        <v>33.532499999999999</v>
      </c>
      <c r="R33" s="77">
        <f t="shared" si="12"/>
        <v>0</v>
      </c>
      <c r="S33" s="77">
        <f t="shared" si="12"/>
        <v>0.19737000000000005</v>
      </c>
      <c r="T33" s="77">
        <f t="shared" si="12"/>
        <v>0</v>
      </c>
      <c r="U33" s="77">
        <f t="shared" si="12"/>
        <v>0</v>
      </c>
      <c r="AB33" s="59"/>
      <c r="AC33" s="59"/>
      <c r="AD33" s="59"/>
      <c r="AE33" s="59"/>
      <c r="AF33" s="59"/>
      <c r="AG33" s="59"/>
      <c r="AH33" s="59"/>
      <c r="AI33" s="59"/>
    </row>
    <row r="34" spans="1:35" s="72" customFormat="1" x14ac:dyDescent="0.3">
      <c r="A34" s="13">
        <f>F8</f>
        <v>0</v>
      </c>
      <c r="B34" s="15"/>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3">
      <c r="A35" s="13">
        <f>G8</f>
        <v>0</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3">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3">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3</v>
      </c>
      <c r="C57" s="8" t="str">
        <f t="shared" ref="C57:U57" si="13">D8</f>
        <v>5AB</v>
      </c>
      <c r="D57" s="8" t="str">
        <f t="shared" si="13"/>
        <v>6ABC</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Arable</v>
      </c>
      <c r="C58" s="13" t="str">
        <f>D16&amp;" I "&amp;(VLOOKUP(D14,Table24[],6,FALSE))</f>
        <v>Medium/Clay I Grass</v>
      </c>
      <c r="D58" s="13" t="str">
        <f>E16&amp;" I "&amp;(VLOOKUP(E14,Table24[],6,FALSE))</f>
        <v>Medium/Clay I Grass</v>
      </c>
      <c r="E58" s="13" t="e">
        <f>F16&amp;" I "&amp;(VLOOKUP(F14,Table24[],6,FALSE))</f>
        <v>#N/A</v>
      </c>
      <c r="F58" s="13" t="e">
        <f>G16&amp;" I "&amp;(VLOOKUP(G14,Table24[],6,FALSE))</f>
        <v>#N/A</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6.7</v>
      </c>
      <c r="C59" s="76">
        <f>VLOOKUP(D$14,Table24[],5,FALSE)</f>
        <v>6.2</v>
      </c>
      <c r="D59" s="76">
        <f>VLOOKUP(E$14,Table24[],5,FALSE)</f>
        <v>6.2</v>
      </c>
      <c r="E59" s="76" t="e">
        <f>VLOOKUP(F$14,Table24[],5,FALSE)</f>
        <v>#N/A</v>
      </c>
      <c r="F59" s="76" t="e">
        <f>VLOOKUP(G$14,Table24[],5,FALSE)</f>
        <v>#N/A</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7.6</v>
      </c>
      <c r="C60" s="76">
        <f t="shared" ref="C60:U60" si="14">D10</f>
        <v>7.7</v>
      </c>
      <c r="D60" s="76">
        <f t="shared" si="14"/>
        <v>7.9</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-9</v>
      </c>
      <c r="D64" s="77">
        <f t="shared" si="17"/>
        <v>-10.200000000000001</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9</v>
      </c>
      <c r="D65" s="77">
        <f t="shared" si="18"/>
        <v>10.200000000000001</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39" priority="43" operator="equal">
      <formula>"DECREASE"</formula>
    </cfRule>
    <cfRule type="cellIs" dxfId="338" priority="44" operator="equal">
      <formula>"INCREASE"</formula>
    </cfRule>
  </conditionalFormatting>
  <conditionalFormatting sqref="B62:U66 B31:B50">
    <cfRule type="cellIs" dxfId="337" priority="42" operator="greaterThan">
      <formula>$B$51</formula>
    </cfRule>
  </conditionalFormatting>
  <conditionalFormatting sqref="C31:C50">
    <cfRule type="cellIs" dxfId="336" priority="41" operator="greaterThan">
      <formula>$C$51</formula>
    </cfRule>
  </conditionalFormatting>
  <conditionalFormatting sqref="C18:V18">
    <cfRule type="cellIs" dxfId="335" priority="37" operator="equal">
      <formula>0</formula>
    </cfRule>
  </conditionalFormatting>
  <conditionalFormatting sqref="C17:V17">
    <cfRule type="cellIs" dxfId="334" priority="35" operator="equal">
      <formula>0</formula>
    </cfRule>
  </conditionalFormatting>
  <conditionalFormatting sqref="C19:V19">
    <cfRule type="cellIs" dxfId="333" priority="34" operator="equal">
      <formula>0</formula>
    </cfRule>
  </conditionalFormatting>
  <conditionalFormatting sqref="G31:G50">
    <cfRule type="cellIs" dxfId="332" priority="31" operator="greaterThan">
      <formula>$G$51</formula>
    </cfRule>
  </conditionalFormatting>
  <conditionalFormatting sqref="H31:H50">
    <cfRule type="cellIs" dxfId="331" priority="30" operator="greaterThan">
      <formula>$H$51</formula>
    </cfRule>
  </conditionalFormatting>
  <conditionalFormatting sqref="I31:I50">
    <cfRule type="cellIs" dxfId="330" priority="29" operator="greaterThan">
      <formula>$I$51</formula>
    </cfRule>
  </conditionalFormatting>
  <conditionalFormatting sqref="K31:K50">
    <cfRule type="cellIs" dxfId="329" priority="27" operator="greaterThan">
      <formula>$K$51</formula>
    </cfRule>
  </conditionalFormatting>
  <conditionalFormatting sqref="L31:L50">
    <cfRule type="cellIs" dxfId="328" priority="26" operator="greaterThan">
      <formula>$L$51</formula>
    </cfRule>
  </conditionalFormatting>
  <conditionalFormatting sqref="M31:M50">
    <cfRule type="cellIs" dxfId="327" priority="25" operator="greaterThan">
      <formula>$M$51</formula>
    </cfRule>
  </conditionalFormatting>
  <conditionalFormatting sqref="P31:P50">
    <cfRule type="cellIs" dxfId="326" priority="24" operator="greaterThan">
      <formula>$P$51</formula>
    </cfRule>
  </conditionalFormatting>
  <conditionalFormatting sqref="R31:R50">
    <cfRule type="cellIs" dxfId="325" priority="23" operator="greaterThan">
      <formula>$R$51</formula>
    </cfRule>
  </conditionalFormatting>
  <conditionalFormatting sqref="S31:S50">
    <cfRule type="cellIs" dxfId="324" priority="22" operator="greaterThan">
      <formula>$S$51</formula>
    </cfRule>
  </conditionalFormatting>
  <conditionalFormatting sqref="T31:T50">
    <cfRule type="cellIs" dxfId="323" priority="21" operator="greaterThan">
      <formula>$T$51</formula>
    </cfRule>
  </conditionalFormatting>
  <conditionalFormatting sqref="U31:U50">
    <cfRule type="cellIs" dxfId="322" priority="20" operator="greaterThan">
      <formula>$U$51</formula>
    </cfRule>
  </conditionalFormatting>
  <conditionalFormatting sqref="C22:V22">
    <cfRule type="cellIs" dxfId="321" priority="18" operator="equal">
      <formula>0</formula>
    </cfRule>
  </conditionalFormatting>
  <conditionalFormatting sqref="C24:V24">
    <cfRule type="cellIs" dxfId="320" priority="16" operator="equal">
      <formula>"DECREASE"</formula>
    </cfRule>
    <cfRule type="cellIs" dxfId="319" priority="17" operator="equal">
      <formula>"INCREASE"</formula>
    </cfRule>
  </conditionalFormatting>
  <conditionalFormatting sqref="C23:V23">
    <cfRule type="cellIs" dxfId="318" priority="15" operator="equal">
      <formula>0</formula>
    </cfRule>
  </conditionalFormatting>
  <conditionalFormatting sqref="I1">
    <cfRule type="cellIs" dxfId="317" priority="11" operator="between">
      <formula>0.1</formula>
      <formula>5</formula>
    </cfRule>
  </conditionalFormatting>
  <conditionalFormatting sqref="I2">
    <cfRule type="cellIs" dxfId="316" priority="10" operator="greaterThan">
      <formula>5000.1</formula>
    </cfRule>
  </conditionalFormatting>
  <conditionalFormatting sqref="I3">
    <cfRule type="cellIs" dxfId="315" priority="9" operator="greaterThan">
      <formula>40000.01</formula>
    </cfRule>
  </conditionalFormatting>
  <conditionalFormatting sqref="C21:V21">
    <cfRule type="cellIs" dxfId="314" priority="8" operator="equal">
      <formula>0</formula>
    </cfRule>
  </conditionalFormatting>
  <conditionalFormatting sqref="B66:U66">
    <cfRule type="cellIs" dxfId="313" priority="4" operator="equal">
      <formula>"UNDER"</formula>
    </cfRule>
    <cfRule type="cellIs" dxfId="312" priority="5" operator="equal">
      <formula>"OVER"</formula>
    </cfRule>
  </conditionalFormatting>
  <conditionalFormatting sqref="J31:J50">
    <cfRule type="cellIs" dxfId="311" priority="3" operator="greaterThan">
      <formula>$J$51</formula>
    </cfRule>
  </conditionalFormatting>
  <conditionalFormatting sqref="L3">
    <cfRule type="cellIs" dxfId="310" priority="1" operator="lessThan">
      <formula>30</formula>
    </cfRule>
    <cfRule type="cellIs" dxfId="30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6" zoomScale="90" zoomScaleNormal="90" workbookViewId="0">
      <selection activeCell="L3" sqref="L3"/>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9" t="s">
        <v>41</v>
      </c>
      <c r="B1" s="129"/>
      <c r="C1" s="142" t="str">
        <f>'DCWW CRAI'!C1:D1</f>
        <v>PAN-024175</v>
      </c>
      <c r="D1" s="143"/>
      <c r="E1" s="93" t="s">
        <v>45</v>
      </c>
      <c r="F1" s="39">
        <f>'DCWW CRAI'!F1</f>
        <v>45.52</v>
      </c>
      <c r="G1" s="125" t="s">
        <v>43</v>
      </c>
      <c r="H1" s="126"/>
      <c r="I1" s="118">
        <v>6.4</v>
      </c>
      <c r="J1" s="129" t="s">
        <v>153</v>
      </c>
      <c r="K1" s="129"/>
      <c r="L1" s="97">
        <v>358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4" t="str">
        <f>'DCWW CRAI'!C2:D2</f>
        <v>EPR/GP3792SK</v>
      </c>
      <c r="D2" s="145"/>
      <c r="E2" s="93" t="s">
        <v>109</v>
      </c>
      <c r="F2" s="119" t="s">
        <v>165</v>
      </c>
      <c r="G2" s="127" t="s">
        <v>110</v>
      </c>
      <c r="H2" s="128"/>
      <c r="I2" s="118"/>
      <c r="J2" s="129" t="s">
        <v>158</v>
      </c>
      <c r="K2" s="129"/>
      <c r="L2" s="97">
        <v>0.63900000000000001</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4" t="str">
        <f>'DCWW CRAI'!C3:D3</f>
        <v>BYPRODUCT RECOVERY LIMITED</v>
      </c>
      <c r="D3" s="145"/>
      <c r="E3" s="93" t="s">
        <v>108</v>
      </c>
      <c r="F3" s="31" t="s">
        <v>78</v>
      </c>
      <c r="G3" s="129" t="s">
        <v>159</v>
      </c>
      <c r="H3" s="129"/>
      <c r="I3" s="118"/>
      <c r="J3" s="125" t="s">
        <v>154</v>
      </c>
      <c r="K3" s="126"/>
      <c r="L3" s="97">
        <f>(L1/(L2*10000))*100</f>
        <v>5.6025039123630673</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2" t="str">
        <f>'DCWW CRAI'!C4:D4</f>
        <v>Rosedew Farm, Llantwit Major, CF61 1PZ</v>
      </c>
      <c r="D4" s="143"/>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2" t="str">
        <f>'DCWW CRAI'!C5:D5</f>
        <v>Owen Clee</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'DCWW CRAI'!C8</f>
        <v>3</v>
      </c>
      <c r="D8" s="60" t="str">
        <f>'DCWW CRAI'!D8</f>
        <v>5AB</v>
      </c>
      <c r="E8" s="60" t="str">
        <f>'DCWW CRAI'!E8</f>
        <v>6ABC</v>
      </c>
      <c r="F8" s="60">
        <f>'DCWW CRAI'!F8</f>
        <v>0</v>
      </c>
      <c r="G8" s="60">
        <f>'DCWW CRAI'!G8</f>
        <v>0</v>
      </c>
      <c r="H8" s="60">
        <f>'DCWW CRAI'!H8</f>
        <v>0</v>
      </c>
      <c r="I8" s="60">
        <f>'DCWW CRAI'!I8</f>
        <v>0</v>
      </c>
      <c r="J8" s="60">
        <f>'DCWW CRAI'!J8</f>
        <v>0</v>
      </c>
      <c r="K8" s="60">
        <f>'DCWW CRAI'!K8</f>
        <v>0</v>
      </c>
      <c r="L8" s="60">
        <f>'DCWW CRAI'!L8</f>
        <v>0</v>
      </c>
      <c r="M8" s="60">
        <f>'DCWW CRAI'!M8</f>
        <v>0</v>
      </c>
      <c r="N8" s="60">
        <f>'DCWW CRAI'!N8</f>
        <v>0</v>
      </c>
      <c r="O8" s="60">
        <f>'DCWW CRAI'!O8</f>
        <v>0</v>
      </c>
      <c r="P8" s="60">
        <f>'DCWW CRAI'!P8</f>
        <v>0</v>
      </c>
      <c r="Q8" s="60">
        <f>'DCWW CRAI'!Q8</f>
        <v>0</v>
      </c>
      <c r="R8" s="60">
        <f>'DCWW CRAI'!R8</f>
        <v>0</v>
      </c>
      <c r="S8" s="60">
        <f>'DCWW CRAI'!S8</f>
        <v>0</v>
      </c>
      <c r="T8" s="60">
        <f>'DCWW CRAI'!T8</f>
        <v>0</v>
      </c>
      <c r="U8" s="60">
        <f>'DCWW CRAI'!U8</f>
        <v>0</v>
      </c>
      <c r="V8" s="60">
        <f>'DCWW CRAI'!V8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'DCWW CRAI'!C9</f>
        <v>1</v>
      </c>
      <c r="D9" s="60" t="str">
        <f>'DCWW CRAI'!D9</f>
        <v>Moderate</v>
      </c>
      <c r="E9" s="60" t="str">
        <f>'DCWW CRAI'!E9</f>
        <v>Moderate</v>
      </c>
      <c r="F9" s="60">
        <f>'DCWW CRAI'!F9</f>
        <v>0</v>
      </c>
      <c r="G9" s="60">
        <f>'DCWW CRAI'!G9</f>
        <v>0</v>
      </c>
      <c r="H9" s="60">
        <f>'DCWW CRAI'!H9</f>
        <v>0</v>
      </c>
      <c r="I9" s="60">
        <f>'DCWW CRAI'!I9</f>
        <v>0</v>
      </c>
      <c r="J9" s="60">
        <f>'DCWW CRAI'!J9</f>
        <v>0</v>
      </c>
      <c r="K9" s="60">
        <f>'DCWW CRAI'!K9</f>
        <v>0</v>
      </c>
      <c r="L9" s="60">
        <f>'DCWW CRAI'!L9</f>
        <v>0</v>
      </c>
      <c r="M9" s="60">
        <f>'DCWW CRAI'!M9</f>
        <v>0</v>
      </c>
      <c r="N9" s="60">
        <f>'DCWW CRAI'!N9</f>
        <v>0</v>
      </c>
      <c r="O9" s="60">
        <f>'DCWW CRAI'!O9</f>
        <v>0</v>
      </c>
      <c r="P9" s="60">
        <f>'DCWW CRAI'!P9</f>
        <v>0</v>
      </c>
      <c r="Q9" s="60">
        <f>'DCWW CRAI'!Q9</f>
        <v>0</v>
      </c>
      <c r="R9" s="60">
        <f>'DCWW CRAI'!R9</f>
        <v>0</v>
      </c>
      <c r="S9" s="60">
        <f>'DCWW CRAI'!S9</f>
        <v>0</v>
      </c>
      <c r="T9" s="60">
        <f>'DCWW CRAI'!T9</f>
        <v>0</v>
      </c>
      <c r="U9" s="60">
        <f>'DCWW CRAI'!U9</f>
        <v>0</v>
      </c>
      <c r="V9" s="60">
        <f>'DCWW CRAI'!V9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'DCWW CRAI'!C10</f>
        <v>7.6</v>
      </c>
      <c r="D10" s="60">
        <f>'DCWW CRAI'!D10</f>
        <v>7.7</v>
      </c>
      <c r="E10" s="60">
        <f>'DCWW CRAI'!E10</f>
        <v>7.9</v>
      </c>
      <c r="F10" s="60">
        <f>'DCWW CRAI'!F10</f>
        <v>0</v>
      </c>
      <c r="G10" s="60">
        <f>'DCWW CRAI'!G10</f>
        <v>0</v>
      </c>
      <c r="H10" s="60">
        <f>'DCWW CRAI'!H10</f>
        <v>0</v>
      </c>
      <c r="I10" s="60">
        <f>'DCWW CRAI'!I10</f>
        <v>0</v>
      </c>
      <c r="J10" s="60">
        <f>'DCWW CRAI'!J10</f>
        <v>0</v>
      </c>
      <c r="K10" s="60">
        <f>'DCWW CRAI'!K10</f>
        <v>0</v>
      </c>
      <c r="L10" s="60">
        <f>'DCWW CRAI'!L10</f>
        <v>0</v>
      </c>
      <c r="M10" s="60">
        <f>'DCWW CRAI'!M10</f>
        <v>0</v>
      </c>
      <c r="N10" s="60">
        <f>'DCWW CRAI'!N10</f>
        <v>0</v>
      </c>
      <c r="O10" s="60">
        <f>'DCWW CRAI'!O10</f>
        <v>0</v>
      </c>
      <c r="P10" s="60">
        <f>'DCWW CRAI'!P10</f>
        <v>0</v>
      </c>
      <c r="Q10" s="60">
        <f>'DCWW CRAI'!Q10</f>
        <v>0</v>
      </c>
      <c r="R10" s="60">
        <f>'DCWW CRAI'!R10</f>
        <v>0</v>
      </c>
      <c r="S10" s="60">
        <f>'DCWW CRAI'!S10</f>
        <v>0</v>
      </c>
      <c r="T10" s="60">
        <f>'DCWW CRAI'!T10</f>
        <v>0</v>
      </c>
      <c r="U10" s="60">
        <f>'DCWW CRAI'!U10</f>
        <v>0</v>
      </c>
      <c r="V10" s="60">
        <f>'DCWW CRAI'!V10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'DCWW CRAI'!C11</f>
        <v>3</v>
      </c>
      <c r="D11" s="60">
        <f>'DCWW CRAI'!D11</f>
        <v>3</v>
      </c>
      <c r="E11" s="60">
        <f>'DCWW CRAI'!E11</f>
        <v>4</v>
      </c>
      <c r="F11" s="60">
        <f>'DCWW CRAI'!F11</f>
        <v>0</v>
      </c>
      <c r="G11" s="60">
        <f>'DCWW CRAI'!G11</f>
        <v>0</v>
      </c>
      <c r="H11" s="60">
        <f>'DCWW CRAI'!H11</f>
        <v>0</v>
      </c>
      <c r="I11" s="60">
        <f>'DCWW CRAI'!I11</f>
        <v>0</v>
      </c>
      <c r="J11" s="60">
        <f>'DCWW CRAI'!J11</f>
        <v>0</v>
      </c>
      <c r="K11" s="60">
        <f>'DCWW CRAI'!K11</f>
        <v>0</v>
      </c>
      <c r="L11" s="60">
        <f>'DCWW CRAI'!L11</f>
        <v>0</v>
      </c>
      <c r="M11" s="60">
        <f>'DCWW CRAI'!M11</f>
        <v>0</v>
      </c>
      <c r="N11" s="60">
        <f>'DCWW CRAI'!N11</f>
        <v>0</v>
      </c>
      <c r="O11" s="60">
        <f>'DCWW CRAI'!O11</f>
        <v>0</v>
      </c>
      <c r="P11" s="60">
        <f>'DCWW CRAI'!P11</f>
        <v>0</v>
      </c>
      <c r="Q11" s="60">
        <f>'DCWW CRAI'!Q11</f>
        <v>0</v>
      </c>
      <c r="R11" s="60">
        <f>'DCWW CRAI'!R11</f>
        <v>0</v>
      </c>
      <c r="S11" s="60">
        <f>'DCWW CRAI'!S11</f>
        <v>0</v>
      </c>
      <c r="T11" s="60">
        <f>'DCWW CRAI'!T11</f>
        <v>0</v>
      </c>
      <c r="U11" s="60">
        <f>'DCWW CRAI'!U11</f>
        <v>0</v>
      </c>
      <c r="V11" s="60">
        <f>'DCWW CRAI'!V11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'DCWW CRAI'!C12</f>
        <v>3</v>
      </c>
      <c r="D12" s="60">
        <f>'DCWW CRAI'!D12</f>
        <v>3</v>
      </c>
      <c r="E12" s="60">
        <f>'DCWW CRAI'!E12</f>
        <v>3</v>
      </c>
      <c r="F12" s="60">
        <f>'DCWW CRAI'!F12</f>
        <v>0</v>
      </c>
      <c r="G12" s="60">
        <f>'DCWW CRAI'!G12</f>
        <v>0</v>
      </c>
      <c r="H12" s="60">
        <f>'DCWW CRAI'!H12</f>
        <v>0</v>
      </c>
      <c r="I12" s="60">
        <f>'DCWW CRAI'!I12</f>
        <v>0</v>
      </c>
      <c r="J12" s="60">
        <f>'DCWW CRAI'!J12</f>
        <v>0</v>
      </c>
      <c r="K12" s="60">
        <f>'DCWW CRAI'!K12</f>
        <v>0</v>
      </c>
      <c r="L12" s="60">
        <f>'DCWW CRAI'!L12</f>
        <v>0</v>
      </c>
      <c r="M12" s="60">
        <f>'DCWW CRAI'!M12</f>
        <v>0</v>
      </c>
      <c r="N12" s="60">
        <f>'DCWW CRAI'!N12</f>
        <v>0</v>
      </c>
      <c r="O12" s="60">
        <f>'DCWW CRAI'!O12</f>
        <v>0</v>
      </c>
      <c r="P12" s="60">
        <f>'DCWW CRAI'!P12</f>
        <v>0</v>
      </c>
      <c r="Q12" s="60">
        <f>'DCWW CRAI'!Q12</f>
        <v>0</v>
      </c>
      <c r="R12" s="60">
        <f>'DCWW CRAI'!R12</f>
        <v>0</v>
      </c>
      <c r="S12" s="60">
        <f>'DCWW CRAI'!S12</f>
        <v>0</v>
      </c>
      <c r="T12" s="60">
        <f>'DCWW CRAI'!T12</f>
        <v>0</v>
      </c>
      <c r="U12" s="60">
        <f>'DCWW CRAI'!U12</f>
        <v>0</v>
      </c>
      <c r="V12" s="60">
        <f>'DCWW CRAI'!V12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'DCWW CRAI'!C13</f>
        <v>3</v>
      </c>
      <c r="D13" s="60">
        <f>'DCWW CRAI'!D13</f>
        <v>4</v>
      </c>
      <c r="E13" s="60">
        <f>'DCWW CRAI'!E13</f>
        <v>3</v>
      </c>
      <c r="F13" s="60">
        <f>'DCWW CRAI'!F13</f>
        <v>0</v>
      </c>
      <c r="G13" s="60">
        <f>'DCWW CRAI'!G13</f>
        <v>0</v>
      </c>
      <c r="H13" s="60">
        <f>'DCWW CRAI'!H13</f>
        <v>0</v>
      </c>
      <c r="I13" s="60">
        <f>'DCWW CRAI'!I13</f>
        <v>0</v>
      </c>
      <c r="J13" s="60">
        <f>'DCWW CRAI'!J13</f>
        <v>0</v>
      </c>
      <c r="K13" s="60">
        <f>'DCWW CRAI'!K13</f>
        <v>0</v>
      </c>
      <c r="L13" s="60">
        <f>'DCWW CRAI'!L13</f>
        <v>0</v>
      </c>
      <c r="M13" s="60">
        <f>'DCWW CRAI'!M13</f>
        <v>0</v>
      </c>
      <c r="N13" s="60">
        <f>'DCWW CRAI'!N13</f>
        <v>0</v>
      </c>
      <c r="O13" s="60">
        <f>'DCWW CRAI'!O13</f>
        <v>0</v>
      </c>
      <c r="P13" s="60">
        <f>'DCWW CRAI'!P13</f>
        <v>0</v>
      </c>
      <c r="Q13" s="60">
        <f>'DCWW CRAI'!Q13</f>
        <v>0</v>
      </c>
      <c r="R13" s="60">
        <f>'DCWW CRAI'!R13</f>
        <v>0</v>
      </c>
      <c r="S13" s="60">
        <f>'DCWW CRAI'!S13</f>
        <v>0</v>
      </c>
      <c r="T13" s="60">
        <f>'DCWW CRAI'!T13</f>
        <v>0</v>
      </c>
      <c r="U13" s="60">
        <f>'DCWW CRAI'!U13</f>
        <v>0</v>
      </c>
      <c r="V13" s="60">
        <f>'DCWW CRAI'!V13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8" t="s">
        <v>8</v>
      </c>
      <c r="B14" s="138"/>
      <c r="C14" s="102" t="str">
        <f>'DCWW CRAI'!C14</f>
        <v xml:space="preserve">Winter wheat- grain only </v>
      </c>
      <c r="D14" s="102" t="str">
        <f>'DCWW CRAI'!D14</f>
        <v xml:space="preserve">Grass Silage (25% DM) </v>
      </c>
      <c r="E14" s="102" t="str">
        <f>'DCWW CRAI'!E14</f>
        <v xml:space="preserve">Grass Silage (25% DM) </v>
      </c>
      <c r="F14" s="102">
        <f>'DCWW CRAI'!F14</f>
        <v>0</v>
      </c>
      <c r="G14" s="102">
        <f>'DCWW CRAI'!G14</f>
        <v>0</v>
      </c>
      <c r="H14" s="102">
        <f>'DCWW CRAI'!H14</f>
        <v>0</v>
      </c>
      <c r="I14" s="102">
        <f>'DCWW CRAI'!I14</f>
        <v>0</v>
      </c>
      <c r="J14" s="102">
        <f>'DCWW CRAI'!J14</f>
        <v>0</v>
      </c>
      <c r="K14" s="102">
        <f>'DCWW CRAI'!K14</f>
        <v>0</v>
      </c>
      <c r="L14" s="102">
        <f>'DCWW CRAI'!L14</f>
        <v>0</v>
      </c>
      <c r="M14" s="102">
        <f>'DCWW CRAI'!M14</f>
        <v>0</v>
      </c>
      <c r="N14" s="102">
        <f>'DCWW CRAI'!N14</f>
        <v>0</v>
      </c>
      <c r="O14" s="102">
        <f>'DCWW CRAI'!O14</f>
        <v>0</v>
      </c>
      <c r="P14" s="102">
        <f>'DCWW CRAI'!P14</f>
        <v>0</v>
      </c>
      <c r="Q14" s="102">
        <f>'DCWW CRAI'!Q14</f>
        <v>0</v>
      </c>
      <c r="R14" s="102">
        <f>'DCWW CRAI'!R14</f>
        <v>0</v>
      </c>
      <c r="S14" s="102">
        <f>'DCWW CRAI'!S14</f>
        <v>0</v>
      </c>
      <c r="T14" s="102">
        <f>'DCWW CRAI'!T14</f>
        <v>0</v>
      </c>
      <c r="U14" s="102">
        <f>'DCWW CRAI'!U14</f>
        <v>0</v>
      </c>
      <c r="V14" s="102">
        <f>'DCWW CRAI'!V14</f>
        <v>0</v>
      </c>
      <c r="AD14" s="30" t="s">
        <v>138</v>
      </c>
      <c r="AE14" s="30">
        <v>6</v>
      </c>
      <c r="AI14" s="53" t="s">
        <v>119</v>
      </c>
      <c r="AJ14" s="54">
        <v>0.8</v>
      </c>
      <c r="AK14" s="55">
        <v>1.7</v>
      </c>
      <c r="AL14" s="11">
        <v>12</v>
      </c>
      <c r="AM14" s="11">
        <v>6.7</v>
      </c>
      <c r="AN14" s="11" t="s">
        <v>135</v>
      </c>
    </row>
    <row r="15" spans="1:41" x14ac:dyDescent="0.25">
      <c r="A15" s="137" t="s">
        <v>9</v>
      </c>
      <c r="B15" s="137"/>
      <c r="C15" s="60">
        <f>'DCWW CRAI'!C15</f>
        <v>8</v>
      </c>
      <c r="D15" s="60">
        <f>'DCWW CRAI'!D15</f>
        <v>38</v>
      </c>
      <c r="E15" s="60">
        <f>'DCWW CRAI'!E15</f>
        <v>38</v>
      </c>
      <c r="F15" s="60">
        <f>'DCWW CRAI'!F15</f>
        <v>0</v>
      </c>
      <c r="G15" s="60">
        <f>'DCWW CRAI'!G15</f>
        <v>0</v>
      </c>
      <c r="H15" s="60">
        <f>'DCWW CRAI'!H15</f>
        <v>0</v>
      </c>
      <c r="I15" s="60">
        <f>'DCWW CRAI'!I15</f>
        <v>0</v>
      </c>
      <c r="J15" s="60">
        <f>'DCWW CRAI'!J15</f>
        <v>0</v>
      </c>
      <c r="K15" s="60">
        <f>'DCWW CRAI'!K15</f>
        <v>0</v>
      </c>
      <c r="L15" s="60">
        <f>'DCWW CRAI'!L15</f>
        <v>0</v>
      </c>
      <c r="M15" s="60">
        <f>'DCWW CRAI'!M15</f>
        <v>0</v>
      </c>
      <c r="N15" s="60">
        <f>'DCWW CRAI'!N15</f>
        <v>0</v>
      </c>
      <c r="O15" s="60">
        <f>'DCWW CRAI'!O15</f>
        <v>0</v>
      </c>
      <c r="P15" s="60">
        <f>'DCWW CRAI'!P15</f>
        <v>0</v>
      </c>
      <c r="Q15" s="60">
        <f>'DCWW CRAI'!Q15</f>
        <v>0</v>
      </c>
      <c r="R15" s="60">
        <f>'DCWW CRAI'!R15</f>
        <v>0</v>
      </c>
      <c r="S15" s="60">
        <f>'DCWW CRAI'!S15</f>
        <v>0</v>
      </c>
      <c r="T15" s="60">
        <f>'DCWW CRAI'!T15</f>
        <v>0</v>
      </c>
      <c r="U15" s="60">
        <f>'DCWW CRAI'!U15</f>
        <v>0</v>
      </c>
      <c r="V15" s="60">
        <f>'DCWW CRAI'!V15</f>
        <v>0</v>
      </c>
      <c r="AD15" s="30" t="s">
        <v>144</v>
      </c>
      <c r="AE15" s="30">
        <v>7</v>
      </c>
      <c r="AI15" s="53" t="s">
        <v>101</v>
      </c>
      <c r="AJ15" s="62">
        <v>1.8</v>
      </c>
      <c r="AK15" s="55">
        <v>5.4</v>
      </c>
      <c r="AL15" s="11">
        <v>13</v>
      </c>
      <c r="AM15" s="11">
        <v>6.7</v>
      </c>
      <c r="AN15" s="11" t="s">
        <v>135</v>
      </c>
    </row>
    <row r="16" spans="1:41" ht="13.8" thickBot="1" x14ac:dyDescent="0.3">
      <c r="A16" s="139" t="s">
        <v>44</v>
      </c>
      <c r="B16" s="139"/>
      <c r="C16" s="103" t="str">
        <f>'DCWW CRAI'!C16</f>
        <v>Medium/Clay</v>
      </c>
      <c r="D16" s="103" t="str">
        <f>'DCWW CRAI'!D16</f>
        <v>Medium/Clay</v>
      </c>
      <c r="E16" s="103" t="str">
        <f>'DCWW CRAI'!E16</f>
        <v>Medium/Clay</v>
      </c>
      <c r="F16" s="103">
        <f>'DCWW CRAI'!F16</f>
        <v>0</v>
      </c>
      <c r="G16" s="103">
        <f>'DCWW CRAI'!G16</f>
        <v>0</v>
      </c>
      <c r="H16" s="103">
        <f>'DCWW CRAI'!H16</f>
        <v>0</v>
      </c>
      <c r="I16" s="103">
        <f>'DCWW CRAI'!I16</f>
        <v>0</v>
      </c>
      <c r="J16" s="103">
        <f>'DCWW CRAI'!J16</f>
        <v>0</v>
      </c>
      <c r="K16" s="103">
        <f>'DCWW CRAI'!K16</f>
        <v>0</v>
      </c>
      <c r="L16" s="103">
        <f>'DCWW CRAI'!L16</f>
        <v>0</v>
      </c>
      <c r="M16" s="103">
        <f>'DCWW CRAI'!M16</f>
        <v>0</v>
      </c>
      <c r="N16" s="103">
        <f>'DCWW CRAI'!N16</f>
        <v>0</v>
      </c>
      <c r="O16" s="103">
        <f>'DCWW CRAI'!O16</f>
        <v>0</v>
      </c>
      <c r="P16" s="103">
        <f>'DCWW CRAI'!P16</f>
        <v>0</v>
      </c>
      <c r="Q16" s="103">
        <f>'DCWW CRAI'!Q16</f>
        <v>0</v>
      </c>
      <c r="R16" s="103">
        <f>'DCWW CRAI'!R16</f>
        <v>0</v>
      </c>
      <c r="S16" s="103">
        <f>'DCWW CRAI'!S16</f>
        <v>0</v>
      </c>
      <c r="T16" s="103">
        <f>'DCWW CRAI'!T16</f>
        <v>0</v>
      </c>
      <c r="U16" s="103">
        <f>'DCWW CRAI'!U16</f>
        <v>0</v>
      </c>
      <c r="V16" s="103">
        <f>'DCWW CRAI'!V16</f>
        <v>0</v>
      </c>
      <c r="AD16" s="52" t="s">
        <v>145</v>
      </c>
      <c r="AE16" s="30">
        <v>8</v>
      </c>
      <c r="AI16" s="53" t="s">
        <v>118</v>
      </c>
      <c r="AJ16" s="54">
        <v>8</v>
      </c>
      <c r="AK16" s="55">
        <v>5.5</v>
      </c>
      <c r="AL16" s="12">
        <v>14</v>
      </c>
      <c r="AM16" s="11">
        <v>6.7</v>
      </c>
      <c r="AN16" s="11" t="s">
        <v>135</v>
      </c>
    </row>
    <row r="17" spans="1:40" x14ac:dyDescent="0.25">
      <c r="A17" s="135" t="s">
        <v>69</v>
      </c>
      <c r="B17" s="136"/>
      <c r="C17" s="28">
        <f>(VLOOKUP(C$14,$AI2:$AK26,2,FALSE))*C$15</f>
        <v>52</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3" t="s">
        <v>23</v>
      </c>
      <c r="B18" s="134"/>
      <c r="C18" s="16">
        <f>$D31</f>
        <v>2.3603600249999999</v>
      </c>
      <c r="D18" s="16">
        <f>$D32</f>
        <v>2.3603600249999999</v>
      </c>
      <c r="E18" s="16">
        <f>$D33</f>
        <v>2.3603600249999999</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3" t="s">
        <v>90</v>
      </c>
      <c r="B19" s="134"/>
      <c r="C19" s="16">
        <f>C18-C17</f>
        <v>-49.639639975000001</v>
      </c>
      <c r="D19" s="16">
        <f t="shared" ref="D19:V19" si="1">D18-D17</f>
        <v>-62.239639974999996</v>
      </c>
      <c r="E19" s="16">
        <f t="shared" si="1"/>
        <v>-62.239639974999996</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5" t="s">
        <v>88</v>
      </c>
      <c r="B21" s="136"/>
      <c r="C21" s="28">
        <f>(VLOOKUP(C$14,$AI2:$AK26,3,FALSE))*C$15</f>
        <v>44</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3" t="s">
        <v>89</v>
      </c>
      <c r="B22" s="134"/>
      <c r="C22" s="16">
        <f>$E31</f>
        <v>2.6581095000000006</v>
      </c>
      <c r="D22" s="16">
        <f>$E32</f>
        <v>2.6581095000000006</v>
      </c>
      <c r="E22" s="16">
        <f>$E33</f>
        <v>2.6581095000000006</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3" t="s">
        <v>92</v>
      </c>
      <c r="B23" s="134"/>
      <c r="C23" s="16">
        <f>C22-C21</f>
        <v>-41.341890499999998</v>
      </c>
      <c r="D23" s="16">
        <f t="shared" ref="D23:V23" si="3">D22-D21</f>
        <v>-225.34189050000001</v>
      </c>
      <c r="E23" s="16">
        <f t="shared" si="3"/>
        <v>-225.34189050000001</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1" t="s">
        <v>93</v>
      </c>
      <c r="B24" s="132"/>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1.71</v>
      </c>
      <c r="C28" s="15">
        <v>0.63900000000000001</v>
      </c>
      <c r="D28" s="15">
        <v>2.41E-2</v>
      </c>
      <c r="E28" s="15">
        <v>5.16E-2</v>
      </c>
      <c r="F28" s="15">
        <v>907</v>
      </c>
      <c r="G28" s="15">
        <v>30.7</v>
      </c>
      <c r="H28" s="15">
        <v>189</v>
      </c>
      <c r="I28" s="15">
        <v>19.8</v>
      </c>
      <c r="J28" s="15">
        <v>0.86</v>
      </c>
      <c r="K28" s="23">
        <v>1.17</v>
      </c>
      <c r="L28" s="15">
        <v>5.0999999999999996</v>
      </c>
      <c r="M28" s="15">
        <v>9.36</v>
      </c>
      <c r="N28" s="15">
        <v>3570</v>
      </c>
      <c r="O28" s="15">
        <v>472000</v>
      </c>
      <c r="P28" s="15"/>
      <c r="Q28" s="15">
        <v>4770</v>
      </c>
      <c r="R28" s="15"/>
      <c r="S28" s="15">
        <v>28.7</v>
      </c>
      <c r="T28" s="15"/>
      <c r="U28" s="15"/>
    </row>
    <row r="29" spans="1:40" s="7" customFormat="1" ht="28.8" x14ac:dyDescent="0.3">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3</v>
      </c>
      <c r="B31" s="15">
        <v>250</v>
      </c>
      <c r="C31" s="77">
        <f>IF(C$27="%w/w SAR",((C$28*10)*$B31),IF(C$27="%w/w DM",(((C$28*10)*($B$28/100))*$B31),IF(C$27="kg/t SAR",(C$28*$B31),IF(C$27="kg/t DM",((C$28*($B$28/100))*$B31),IF(C$27="mg/kg SAR",((C$28*0.001)*$B31),IF(C$27="mg/kg DM",(((C$28*0.001)*($B$28/100))*$B31),0))))))</f>
        <v>27.317250000000005</v>
      </c>
      <c r="D31" s="77">
        <f>(IF(D$27="%w/w SAR",((D$28*10)*$B31),IF(D$27="%w/w DM",(((D$28*10)*($B$28/100))*$B31),IF(D$27="kg/t SAR",(D$28*$B31),IF(D$27="kg/t DM",((D$28*($B$28/100))*$B31),IF(D$27="mg/kg SAR",((D$28*0.001)*$B31),IF(D$27="mg/kg DM",(((D$28*0.001)*($B$28/100))*$B31),"0")))))))*2.291</f>
        <v>2.3603600249999999</v>
      </c>
      <c r="E31" s="77">
        <f>(IF(E$27="%w/w SAR",((E$28*10)*$B31),IF(E$27="%w/w DM",(((E$28*10)*($B$28/100))*$B31),IF(E$27="kg/t SAR",(E$28*$B31),IF(E$27="kg/t DM",((E$28*($B$28/100))*$B31),IF(E$27="mg/kg SAR",((E$28*0.001)*$B31),IF(E$27="mg/kg DM",(((E$28*0.001)*($B$28/100))*$B31),"0")))))))*1.205</f>
        <v>2.6581095000000006</v>
      </c>
      <c r="F31" s="77">
        <f>(IF(F$27="%w/w SAR",((F$28*10)*$B31),IF(F$27="%w/w DM",(((F$28*10)*($B$28/100))*$B31),IF(F$27="kg/t SAR",(F$28*$B31),IF(F$27="kg/t DM",((F$28*($B$28/100))*$B31),IF(F$27="mg/kg SAR",((F$28*0.001)*$B31),IF(F$27="mg/kg DM",(((F$28*0.001)*($B$28/100))*$B31),"0")))))))*1.658</f>
        <v>6.4287706499999997</v>
      </c>
      <c r="G31" s="77">
        <f t="shared" ref="G31:P46" si="5">IF(G$27="%w/w SAR",((G$28*10)*$B31),IF(G$27="%w/w DM",(((G$28*10)*($B$28/100))*$B31),IF(G$27="kg/t SAR",(G$28*$B31),IF(G$27="kg/t DM",((G$28*($B$28/100))*$B31),IF(G$27="mg/kg SAR",((G$28*0.001)*$B31),IF(G$27="mg/kg DM",(((G$28*0.001)*($B$28/100))*$B31),0))))))</f>
        <v>0.13124250000000001</v>
      </c>
      <c r="H31" s="77">
        <f t="shared" si="5"/>
        <v>0.80797500000000011</v>
      </c>
      <c r="I31" s="77">
        <f t="shared" si="5"/>
        <v>8.4645000000000012E-2</v>
      </c>
      <c r="J31" s="77">
        <f t="shared" si="5"/>
        <v>3.6765000000000001E-3</v>
      </c>
      <c r="K31" s="77">
        <f t="shared" si="5"/>
        <v>5.0017500000000001E-3</v>
      </c>
      <c r="L31" s="77">
        <f t="shared" si="5"/>
        <v>2.1802499999999999E-2</v>
      </c>
      <c r="M31" s="77">
        <f t="shared" si="5"/>
        <v>4.0014000000000001E-2</v>
      </c>
      <c r="N31" s="77">
        <f t="shared" si="5"/>
        <v>15.261750000000001</v>
      </c>
      <c r="O31" s="77">
        <f t="shared" si="5"/>
        <v>2017.8000000000002</v>
      </c>
      <c r="P31" s="77">
        <f t="shared" si="5"/>
        <v>0</v>
      </c>
      <c r="Q31" s="77">
        <f>(IF(Q$27="%w/w SAR",((Q$28*10)*$B31),IF(Q$27="%w/w DM",(((Q$28*10)*($B$28/100))*$B31),IF(Q$27="kg/t SAR",(Q$28*$B31),IF(Q$27="kg/t DM",((Q$28*($B$28/100))*$B31),IF(Q$27="mg/kg SAR",((Q$28*0.001)*$B31),IF(Q$27="mg/kg DM",(((Q$28*0.001)*($B$28/100))*$B31),0)))))))*2.5</f>
        <v>50.979375000000012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0.1226925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5AB</v>
      </c>
      <c r="B32" s="15">
        <v>250</v>
      </c>
      <c r="C32" s="77">
        <f t="shared" ref="C32:C50" si="6">IF(C$27="%w/w SAR",((C$28*10)*$B32),IF(C$27="%w/w DM",(((C$28*10)*($B$28/100))*$B32),IF(C$27="kg/t SAR",(C$28*$B32),IF(C$27="kg/t DM",((C$28*($B$28/100))*$B32),IF(C$27="mg/kg SAR",((C$28*0.001)*$B32),IF(C$27="mg/kg DM",(((C$28*0.001)*($B$28/100))*$B32),0))))))</f>
        <v>27.317250000000005</v>
      </c>
      <c r="D32" s="77">
        <f t="shared" ref="D32:D50" si="7">(IF(D$27="%w/w SAR",((D$28*10)*$B32),IF(D$27="%w/w DM",(((D$28*10)*($B$28/100))*$B32),IF(D$27="kg/t SAR",(D$28*$B32),IF(D$27="kg/t DM",((D$28*($B$28/100))*$B32),IF(D$27="mg/kg SAR",((D$28*0.001)*$B32),IF(D$27="mg/kg DM",(((D$28*0.001)*($B$28/100))*$B32),"0")))))))*2.291</f>
        <v>2.3603600249999999</v>
      </c>
      <c r="E32" s="77">
        <f t="shared" ref="E32:E50" si="8">(IF(E$27="%w/w SAR",((E$28*10)*$B32),IF(E$27="%w/w DM",(((E$28*10)*($B$28/100))*$B32),IF(E$27="kg/t SAR",(E$28*$B32),IF(E$27="kg/t DM",((E$28*($B$28/100))*$B32),IF(E$27="mg/kg SAR",((E$28*0.001)*$B32),IF(E$27="mg/kg DM",(((E$28*0.001)*($B$28/100))*$B32),"0")))))))*1.205</f>
        <v>2.6581095000000006</v>
      </c>
      <c r="F32" s="77">
        <f t="shared" ref="F32:F50" si="9">(IF(F$27="%w/w SAR",((F$28*10)*$B32),IF(F$27="%w/w DM",(((F$28*10)*($B$28/100))*$B32),IF(F$27="kg/t SAR",(F$28*$B32),IF(F$27="kg/t DM",((F$28*($B$28/100))*$B32),IF(F$27="mg/kg SAR",((F$28*0.001)*$B32),IF(F$27="mg/kg DM",(((F$28*0.001)*($B$28/100))*$B32),"0")))))))*1.658</f>
        <v>6.4287706499999997</v>
      </c>
      <c r="G32" s="77">
        <f t="shared" si="5"/>
        <v>0.13124250000000001</v>
      </c>
      <c r="H32" s="77">
        <f t="shared" si="5"/>
        <v>0.80797500000000011</v>
      </c>
      <c r="I32" s="77">
        <f t="shared" si="5"/>
        <v>8.4645000000000012E-2</v>
      </c>
      <c r="J32" s="77">
        <f t="shared" si="5"/>
        <v>3.6765000000000001E-3</v>
      </c>
      <c r="K32" s="77">
        <f t="shared" si="5"/>
        <v>5.0017500000000001E-3</v>
      </c>
      <c r="L32" s="77">
        <f t="shared" si="5"/>
        <v>2.1802499999999999E-2</v>
      </c>
      <c r="M32" s="77">
        <f t="shared" si="5"/>
        <v>4.0014000000000001E-2</v>
      </c>
      <c r="N32" s="77">
        <f t="shared" si="5"/>
        <v>15.261750000000001</v>
      </c>
      <c r="O32" s="77">
        <f t="shared" si="5"/>
        <v>2017.8000000000002</v>
      </c>
      <c r="P32" s="77">
        <f t="shared" si="5"/>
        <v>0</v>
      </c>
      <c r="Q32" s="77">
        <f t="shared" ref="Q32:Q50" si="10">(IF(Q$27="%w/w SAR",((Q$28*10)*$B32),IF(Q$27="%w/w DM",(((Q$28*10)*($B$28/100))*$B32),IF(Q$27="kg/t SAR",(Q$28*$B32),IF(Q$27="kg/t DM",((Q$28*($B$28/100))*$B32),IF(Q$27="mg/kg SAR",((Q$28*0.001)*$B32),IF(Q$27="mg/kg DM",(((Q$28*0.001)*($B$28/100))*$B32),0)))))))*2.5</f>
        <v>50.979375000000012</v>
      </c>
      <c r="R32" s="77">
        <f t="shared" ref="R32:U50" si="11">IF(R$27="%w/w SAR",((R$28*10)*$B32),IF(R$27="%w/w DM",(((R$28*10)*($B$28/100))*$B32),IF(R$27="kg/t SAR",(R$28*$B32),IF(R$27="kg/t DM",((R$28*($B$28/100))*$B32),IF(R$27="mg/kg SAR",((R$28*0.001)*$B32),IF(R$27="mg/kg DM",(((R$28*0.001)*($B$28/100))*$B32),0))))))</f>
        <v>0</v>
      </c>
      <c r="S32" s="77">
        <f t="shared" si="11"/>
        <v>0.1226925</v>
      </c>
      <c r="T32" s="77">
        <f t="shared" si="11"/>
        <v>0</v>
      </c>
      <c r="U32" s="77">
        <f t="shared" si="11"/>
        <v>0</v>
      </c>
      <c r="AB32" s="59"/>
      <c r="AC32" s="59"/>
      <c r="AD32" s="59"/>
      <c r="AE32" s="59"/>
      <c r="AF32" s="59"/>
      <c r="AG32" s="59"/>
      <c r="AH32" s="59"/>
      <c r="AI32" s="59"/>
    </row>
    <row r="33" spans="1:35" s="72" customFormat="1" x14ac:dyDescent="0.3">
      <c r="A33" s="13" t="str">
        <f>E8</f>
        <v>6ABC</v>
      </c>
      <c r="B33" s="15">
        <v>250</v>
      </c>
      <c r="C33" s="77">
        <f t="shared" si="6"/>
        <v>27.317250000000005</v>
      </c>
      <c r="D33" s="77">
        <f t="shared" si="7"/>
        <v>2.3603600249999999</v>
      </c>
      <c r="E33" s="77">
        <f t="shared" si="8"/>
        <v>2.6581095000000006</v>
      </c>
      <c r="F33" s="77">
        <f t="shared" si="9"/>
        <v>6.4287706499999997</v>
      </c>
      <c r="G33" s="77">
        <f t="shared" si="5"/>
        <v>0.13124250000000001</v>
      </c>
      <c r="H33" s="77">
        <f t="shared" si="5"/>
        <v>0.80797500000000011</v>
      </c>
      <c r="I33" s="77">
        <f t="shared" si="5"/>
        <v>8.4645000000000012E-2</v>
      </c>
      <c r="J33" s="77">
        <f t="shared" si="5"/>
        <v>3.6765000000000001E-3</v>
      </c>
      <c r="K33" s="77">
        <f t="shared" si="5"/>
        <v>5.0017500000000001E-3</v>
      </c>
      <c r="L33" s="77">
        <f t="shared" si="5"/>
        <v>2.1802499999999999E-2</v>
      </c>
      <c r="M33" s="77">
        <f t="shared" si="5"/>
        <v>4.0014000000000001E-2</v>
      </c>
      <c r="N33" s="77">
        <f t="shared" si="5"/>
        <v>15.261750000000001</v>
      </c>
      <c r="O33" s="77">
        <f t="shared" si="5"/>
        <v>2017.8000000000002</v>
      </c>
      <c r="P33" s="77">
        <f t="shared" si="5"/>
        <v>0</v>
      </c>
      <c r="Q33" s="77">
        <f t="shared" si="10"/>
        <v>50.979375000000012</v>
      </c>
      <c r="R33" s="77">
        <f t="shared" si="11"/>
        <v>0</v>
      </c>
      <c r="S33" s="77">
        <f t="shared" si="11"/>
        <v>0.1226925</v>
      </c>
      <c r="T33" s="77">
        <f t="shared" si="11"/>
        <v>0</v>
      </c>
      <c r="U33" s="77">
        <f t="shared" si="11"/>
        <v>0</v>
      </c>
      <c r="AB33" s="59"/>
      <c r="AC33" s="59"/>
      <c r="AD33" s="59"/>
      <c r="AE33" s="59"/>
      <c r="AF33" s="59"/>
      <c r="AG33" s="59"/>
      <c r="AH33" s="59"/>
      <c r="AI33" s="59"/>
    </row>
    <row r="34" spans="1:35" s="72" customFormat="1" x14ac:dyDescent="0.3">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3</v>
      </c>
      <c r="C57" s="8" t="str">
        <f t="shared" ref="C57:U57" si="13">D8</f>
        <v>5AB</v>
      </c>
      <c r="D57" s="8" t="str">
        <f t="shared" si="13"/>
        <v>6ABC</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Arable</v>
      </c>
      <c r="C58" s="13" t="str">
        <f>D16&amp;" I "&amp;(VLOOKUP(D14,Table245[],6,FALSE))</f>
        <v>Medium/Clay I Grass</v>
      </c>
      <c r="D58" s="13" t="str">
        <f>E16&amp;" I "&amp;(VLOOKUP(E14,Table245[],6,FALSE))</f>
        <v>Medium/Clay I Grass</v>
      </c>
      <c r="E58" s="13" t="e">
        <f>F16&amp;" I "&amp;(VLOOKUP(F14,Table245[],6,FALSE))</f>
        <v>#N/A</v>
      </c>
      <c r="F58" s="13" t="e">
        <f>G16&amp;" I "&amp;(VLOOKUP(G14,Table245[],6,FALSE))</f>
        <v>#N/A</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6.7</v>
      </c>
      <c r="C59" s="76">
        <f>VLOOKUP(D$14,Table245[],5,FALSE)</f>
        <v>6.2</v>
      </c>
      <c r="D59" s="76">
        <f>VLOOKUP(E$14,Table245[],5,FALSE)</f>
        <v>6.2</v>
      </c>
      <c r="E59" s="76" t="e">
        <f>VLOOKUP(F$14,Table245[],5,FALSE)</f>
        <v>#N/A</v>
      </c>
      <c r="F59" s="76" t="e">
        <f>VLOOKUP(G$14,Table245[],5,FALSE)</f>
        <v>#N/A</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7.6</v>
      </c>
      <c r="C60" s="76">
        <f t="shared" ref="C60:U60" si="14">D10</f>
        <v>7.7</v>
      </c>
      <c r="D60" s="76">
        <f t="shared" si="14"/>
        <v>7.9</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-9</v>
      </c>
      <c r="D64" s="77">
        <f t="shared" si="17"/>
        <v>-10.200000000000001</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9</v>
      </c>
      <c r="D65" s="77">
        <f t="shared" si="18"/>
        <v>10.200000000000001</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7" priority="38" operator="equal">
      <formula>"DECREASE"</formula>
    </cfRule>
    <cfRule type="cellIs" dxfId="296" priority="39" operator="equal">
      <formula>"INCREASE"</formula>
    </cfRule>
  </conditionalFormatting>
  <conditionalFormatting sqref="B34:B50 B62:U66">
    <cfRule type="cellIs" dxfId="295" priority="37" operator="greaterThan">
      <formula>$B$51</formula>
    </cfRule>
  </conditionalFormatting>
  <conditionalFormatting sqref="C31:C50">
    <cfRule type="cellIs" dxfId="294" priority="36" operator="greaterThan">
      <formula>$C$51</formula>
    </cfRule>
  </conditionalFormatting>
  <conditionalFormatting sqref="C18:V18">
    <cfRule type="cellIs" dxfId="293" priority="35" operator="equal">
      <formula>0</formula>
    </cfRule>
  </conditionalFormatting>
  <conditionalFormatting sqref="C17:V17">
    <cfRule type="cellIs" dxfId="292" priority="34" operator="equal">
      <formula>0</formula>
    </cfRule>
  </conditionalFormatting>
  <conditionalFormatting sqref="C19:V19">
    <cfRule type="cellIs" dxfId="291" priority="33" operator="equal">
      <formula>0</formula>
    </cfRule>
  </conditionalFormatting>
  <conditionalFormatting sqref="G31:G50">
    <cfRule type="cellIs" dxfId="290" priority="32" operator="greaterThan">
      <formula>$G$51</formula>
    </cfRule>
  </conditionalFormatting>
  <conditionalFormatting sqref="H31:H50">
    <cfRule type="cellIs" dxfId="289" priority="31" operator="greaterThan">
      <formula>$H$51</formula>
    </cfRule>
  </conditionalFormatting>
  <conditionalFormatting sqref="I31:I50">
    <cfRule type="cellIs" dxfId="288" priority="30" operator="greaterThan">
      <formula>$I$51</formula>
    </cfRule>
  </conditionalFormatting>
  <conditionalFormatting sqref="K31:K50">
    <cfRule type="cellIs" dxfId="287" priority="29" operator="greaterThan">
      <formula>$K$51</formula>
    </cfRule>
  </conditionalFormatting>
  <conditionalFormatting sqref="L31:L50">
    <cfRule type="cellIs" dxfId="286" priority="28" operator="greaterThan">
      <formula>$L$51</formula>
    </cfRule>
  </conditionalFormatting>
  <conditionalFormatting sqref="M31:M50">
    <cfRule type="cellIs" dxfId="285" priority="27" operator="greaterThan">
      <formula>$M$51</formula>
    </cfRule>
  </conditionalFormatting>
  <conditionalFormatting sqref="P31:P50">
    <cfRule type="cellIs" dxfId="284" priority="26" operator="greaterThan">
      <formula>$P$51</formula>
    </cfRule>
  </conditionalFormatting>
  <conditionalFormatting sqref="R31:R50">
    <cfRule type="cellIs" dxfId="283" priority="25" operator="greaterThan">
      <formula>$R$51</formula>
    </cfRule>
  </conditionalFormatting>
  <conditionalFormatting sqref="S31:S50">
    <cfRule type="cellIs" dxfId="282" priority="24" operator="greaterThan">
      <formula>$S$51</formula>
    </cfRule>
  </conditionalFormatting>
  <conditionalFormatting sqref="T31:T50">
    <cfRule type="cellIs" dxfId="281" priority="23" operator="greaterThan">
      <formula>$T$51</formula>
    </cfRule>
  </conditionalFormatting>
  <conditionalFormatting sqref="U31:U50">
    <cfRule type="cellIs" dxfId="280" priority="22" operator="greaterThan">
      <formula>$U$51</formula>
    </cfRule>
  </conditionalFormatting>
  <conditionalFormatting sqref="C22:V22">
    <cfRule type="cellIs" dxfId="279" priority="21" operator="equal">
      <formula>0</formula>
    </cfRule>
  </conditionalFormatting>
  <conditionalFormatting sqref="C24:V24">
    <cfRule type="cellIs" dxfId="278" priority="19" operator="equal">
      <formula>"DECREASE"</formula>
    </cfRule>
    <cfRule type="cellIs" dxfId="277" priority="20" operator="equal">
      <formula>"INCREASE"</formula>
    </cfRule>
  </conditionalFormatting>
  <conditionalFormatting sqref="C23:V23">
    <cfRule type="cellIs" dxfId="276" priority="18" operator="equal">
      <formula>0</formula>
    </cfRule>
  </conditionalFormatting>
  <conditionalFormatting sqref="C21:V21">
    <cfRule type="cellIs" dxfId="275" priority="14" operator="equal">
      <formula>0</formula>
    </cfRule>
  </conditionalFormatting>
  <conditionalFormatting sqref="B66:U66">
    <cfRule type="cellIs" dxfId="274" priority="12" operator="equal">
      <formula>"UNDER"</formula>
    </cfRule>
    <cfRule type="cellIs" dxfId="273" priority="13" operator="equal">
      <formula>"OVER"</formula>
    </cfRule>
  </conditionalFormatting>
  <conditionalFormatting sqref="J31:J50">
    <cfRule type="cellIs" dxfId="272" priority="9" operator="greaterThan">
      <formula>$J$51</formula>
    </cfRule>
  </conditionalFormatting>
  <conditionalFormatting sqref="L3">
    <cfRule type="cellIs" dxfId="271" priority="5" operator="lessThan">
      <formula>30</formula>
    </cfRule>
    <cfRule type="cellIs" dxfId="270" priority="6" operator="greaterThanOrEqual">
      <formula>30</formula>
    </cfRule>
  </conditionalFormatting>
  <conditionalFormatting sqref="I1">
    <cfRule type="cellIs" dxfId="269" priority="4" operator="between">
      <formula>0.1</formula>
      <formula>5</formula>
    </cfRule>
  </conditionalFormatting>
  <conditionalFormatting sqref="I2">
    <cfRule type="cellIs" dxfId="268" priority="3" operator="greaterThan">
      <formula>5000.1</formula>
    </cfRule>
  </conditionalFormatting>
  <conditionalFormatting sqref="I3">
    <cfRule type="cellIs" dxfId="267" priority="2" operator="greaterThan">
      <formula>40000.01</formula>
    </cfRule>
  </conditionalFormatting>
  <conditionalFormatting sqref="B31:B33">
    <cfRule type="cellIs" dxfId="266" priority="1" operator="greaterThan">
      <formula>$B$51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J7"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9" t="s">
        <v>41</v>
      </c>
      <c r="B1" s="129"/>
      <c r="C1" s="142" t="str">
        <f>'DCWW CRAI'!C1:D1</f>
        <v>PAN-024175</v>
      </c>
      <c r="D1" s="143"/>
      <c r="E1" s="93" t="s">
        <v>45</v>
      </c>
      <c r="F1" s="39">
        <f>'DCWW CRAI'!F1</f>
        <v>45.52</v>
      </c>
      <c r="G1" s="125" t="s">
        <v>43</v>
      </c>
      <c r="H1" s="126"/>
      <c r="I1" s="118">
        <v>6.3</v>
      </c>
      <c r="J1" s="129" t="s">
        <v>153</v>
      </c>
      <c r="K1" s="129"/>
      <c r="L1" s="97">
        <v>364</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4" t="str">
        <f>'DCWW CRAI'!C2:D2</f>
        <v>EPR/GP3792SK</v>
      </c>
      <c r="D2" s="145"/>
      <c r="E2" s="93" t="s">
        <v>109</v>
      </c>
      <c r="F2" s="119" t="s">
        <v>165</v>
      </c>
      <c r="G2" s="127" t="s">
        <v>110</v>
      </c>
      <c r="H2" s="128"/>
      <c r="I2" s="118"/>
      <c r="J2" s="129" t="s">
        <v>158</v>
      </c>
      <c r="K2" s="129"/>
      <c r="L2" s="97">
        <v>0.96099999999999997</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4" t="str">
        <f>'DCWW CRAI'!C3:D3</f>
        <v>BYPRODUCT RECOVERY LIMITED</v>
      </c>
      <c r="D3" s="145"/>
      <c r="E3" s="93" t="s">
        <v>108</v>
      </c>
      <c r="F3" s="31" t="s">
        <v>78</v>
      </c>
      <c r="G3" s="129" t="s">
        <v>159</v>
      </c>
      <c r="H3" s="129"/>
      <c r="I3" s="118"/>
      <c r="J3" s="125" t="s">
        <v>154</v>
      </c>
      <c r="K3" s="126"/>
      <c r="L3" s="97">
        <f>(L1/(L2*10000))*100</f>
        <v>3.787721123829344</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2" t="str">
        <f>'DCWW CRAI'!C4:D4</f>
        <v>Rosedew Farm, Llantwit Major, CF61 1PZ</v>
      </c>
      <c r="D4" s="143"/>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2" t="str">
        <f>'DCWW CRAI'!C5:D5</f>
        <v>Owen Clee</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'DCWW CRAI'!C8</f>
        <v>3</v>
      </c>
      <c r="D8" s="60" t="str">
        <f>'DCWW CRAI'!D8</f>
        <v>5AB</v>
      </c>
      <c r="E8" s="60" t="str">
        <f>'DCWW CRAI'!E8</f>
        <v>6ABC</v>
      </c>
      <c r="F8" s="60">
        <f>'DCWW CRAI'!F8</f>
        <v>0</v>
      </c>
      <c r="G8" s="60">
        <f>'DCWW CRAI'!G8</f>
        <v>0</v>
      </c>
      <c r="H8" s="60">
        <f>'DCWW CRAI'!H8</f>
        <v>0</v>
      </c>
      <c r="I8" s="60">
        <f>'DCWW CRAI'!I8</f>
        <v>0</v>
      </c>
      <c r="J8" s="60">
        <f>'DCWW CRAI'!J8</f>
        <v>0</v>
      </c>
      <c r="K8" s="60">
        <f>'DCWW CRAI'!K8</f>
        <v>0</v>
      </c>
      <c r="L8" s="60">
        <f>'DCWW CRAI'!L8</f>
        <v>0</v>
      </c>
      <c r="M8" s="60">
        <f>'DCWW CRAI'!M8</f>
        <v>0</v>
      </c>
      <c r="N8" s="60">
        <f>'DCWW CRAI'!N8</f>
        <v>0</v>
      </c>
      <c r="O8" s="60">
        <f>'DCWW CRAI'!O8</f>
        <v>0</v>
      </c>
      <c r="P8" s="60">
        <f>'DCWW CRAI'!P8</f>
        <v>0</v>
      </c>
      <c r="Q8" s="60">
        <f>'DCWW CRAI'!Q8</f>
        <v>0</v>
      </c>
      <c r="R8" s="60">
        <f>'DCWW CRAI'!R8</f>
        <v>0</v>
      </c>
      <c r="S8" s="60">
        <f>'DCWW CRAI'!S8</f>
        <v>0</v>
      </c>
      <c r="T8" s="60">
        <f>'DCWW CRAI'!T8</f>
        <v>0</v>
      </c>
      <c r="U8" s="60">
        <f>'DCWW CRAI'!U8</f>
        <v>0</v>
      </c>
      <c r="V8" s="60">
        <f>'DCWW CRAI'!V8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'DCWW CRAI'!C9</f>
        <v>1</v>
      </c>
      <c r="D9" s="60" t="str">
        <f>'DCWW CRAI'!D9</f>
        <v>Moderate</v>
      </c>
      <c r="E9" s="60" t="str">
        <f>'DCWW CRAI'!E9</f>
        <v>Moderate</v>
      </c>
      <c r="F9" s="60">
        <f>'DCWW CRAI'!F9</f>
        <v>0</v>
      </c>
      <c r="G9" s="60">
        <f>'DCWW CRAI'!G9</f>
        <v>0</v>
      </c>
      <c r="H9" s="60">
        <f>'DCWW CRAI'!H9</f>
        <v>0</v>
      </c>
      <c r="I9" s="60">
        <f>'DCWW CRAI'!I9</f>
        <v>0</v>
      </c>
      <c r="J9" s="60">
        <f>'DCWW CRAI'!J9</f>
        <v>0</v>
      </c>
      <c r="K9" s="60">
        <f>'DCWW CRAI'!K9</f>
        <v>0</v>
      </c>
      <c r="L9" s="60">
        <f>'DCWW CRAI'!L9</f>
        <v>0</v>
      </c>
      <c r="M9" s="60">
        <f>'DCWW CRAI'!M9</f>
        <v>0</v>
      </c>
      <c r="N9" s="60">
        <f>'DCWW CRAI'!N9</f>
        <v>0</v>
      </c>
      <c r="O9" s="60">
        <f>'DCWW CRAI'!O9</f>
        <v>0</v>
      </c>
      <c r="P9" s="60">
        <f>'DCWW CRAI'!P9</f>
        <v>0</v>
      </c>
      <c r="Q9" s="60">
        <f>'DCWW CRAI'!Q9</f>
        <v>0</v>
      </c>
      <c r="R9" s="60">
        <f>'DCWW CRAI'!R9</f>
        <v>0</v>
      </c>
      <c r="S9" s="60">
        <f>'DCWW CRAI'!S9</f>
        <v>0</v>
      </c>
      <c r="T9" s="60">
        <f>'DCWW CRAI'!T9</f>
        <v>0</v>
      </c>
      <c r="U9" s="60">
        <f>'DCWW CRAI'!U9</f>
        <v>0</v>
      </c>
      <c r="V9" s="60">
        <f>'DCWW CRAI'!V9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'DCWW CRAI'!C10</f>
        <v>7.6</v>
      </c>
      <c r="D10" s="60">
        <f>'DCWW CRAI'!D10</f>
        <v>7.7</v>
      </c>
      <c r="E10" s="60">
        <f>'DCWW CRAI'!E10</f>
        <v>7.9</v>
      </c>
      <c r="F10" s="60">
        <f>'DCWW CRAI'!F10</f>
        <v>0</v>
      </c>
      <c r="G10" s="60">
        <f>'DCWW CRAI'!G10</f>
        <v>0</v>
      </c>
      <c r="H10" s="60">
        <f>'DCWW CRAI'!H10</f>
        <v>0</v>
      </c>
      <c r="I10" s="60">
        <f>'DCWW CRAI'!I10</f>
        <v>0</v>
      </c>
      <c r="J10" s="60">
        <f>'DCWW CRAI'!J10</f>
        <v>0</v>
      </c>
      <c r="K10" s="60">
        <f>'DCWW CRAI'!K10</f>
        <v>0</v>
      </c>
      <c r="L10" s="60">
        <f>'DCWW CRAI'!L10</f>
        <v>0</v>
      </c>
      <c r="M10" s="60">
        <f>'DCWW CRAI'!M10</f>
        <v>0</v>
      </c>
      <c r="N10" s="60">
        <f>'DCWW CRAI'!N10</f>
        <v>0</v>
      </c>
      <c r="O10" s="60">
        <f>'DCWW CRAI'!O10</f>
        <v>0</v>
      </c>
      <c r="P10" s="60">
        <f>'DCWW CRAI'!P10</f>
        <v>0</v>
      </c>
      <c r="Q10" s="60">
        <f>'DCWW CRAI'!Q10</f>
        <v>0</v>
      </c>
      <c r="R10" s="60">
        <f>'DCWW CRAI'!R10</f>
        <v>0</v>
      </c>
      <c r="S10" s="60">
        <f>'DCWW CRAI'!S10</f>
        <v>0</v>
      </c>
      <c r="T10" s="60">
        <f>'DCWW CRAI'!T10</f>
        <v>0</v>
      </c>
      <c r="U10" s="60">
        <f>'DCWW CRAI'!U10</f>
        <v>0</v>
      </c>
      <c r="V10" s="60">
        <f>'DCWW CRAI'!V10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'DCWW CRAI'!C11</f>
        <v>3</v>
      </c>
      <c r="D11" s="60">
        <f>'DCWW CRAI'!D11</f>
        <v>3</v>
      </c>
      <c r="E11" s="60">
        <f>'DCWW CRAI'!E11</f>
        <v>4</v>
      </c>
      <c r="F11" s="60">
        <f>'DCWW CRAI'!F11</f>
        <v>0</v>
      </c>
      <c r="G11" s="60">
        <f>'DCWW CRAI'!G11</f>
        <v>0</v>
      </c>
      <c r="H11" s="60">
        <f>'DCWW CRAI'!H11</f>
        <v>0</v>
      </c>
      <c r="I11" s="60">
        <f>'DCWW CRAI'!I11</f>
        <v>0</v>
      </c>
      <c r="J11" s="60">
        <f>'DCWW CRAI'!J11</f>
        <v>0</v>
      </c>
      <c r="K11" s="60">
        <f>'DCWW CRAI'!K11</f>
        <v>0</v>
      </c>
      <c r="L11" s="60">
        <f>'DCWW CRAI'!L11</f>
        <v>0</v>
      </c>
      <c r="M11" s="60">
        <f>'DCWW CRAI'!M11</f>
        <v>0</v>
      </c>
      <c r="N11" s="60">
        <f>'DCWW CRAI'!N11</f>
        <v>0</v>
      </c>
      <c r="O11" s="60">
        <f>'DCWW CRAI'!O11</f>
        <v>0</v>
      </c>
      <c r="P11" s="60">
        <f>'DCWW CRAI'!P11</f>
        <v>0</v>
      </c>
      <c r="Q11" s="60">
        <f>'DCWW CRAI'!Q11</f>
        <v>0</v>
      </c>
      <c r="R11" s="60">
        <f>'DCWW CRAI'!R11</f>
        <v>0</v>
      </c>
      <c r="S11" s="60">
        <f>'DCWW CRAI'!S11</f>
        <v>0</v>
      </c>
      <c r="T11" s="60">
        <f>'DCWW CRAI'!T11</f>
        <v>0</v>
      </c>
      <c r="U11" s="60">
        <f>'DCWW CRAI'!U11</f>
        <v>0</v>
      </c>
      <c r="V11" s="60">
        <f>'DCWW CRAI'!V11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'DCWW CRAI'!C12</f>
        <v>3</v>
      </c>
      <c r="D12" s="60">
        <f>'DCWW CRAI'!D12</f>
        <v>3</v>
      </c>
      <c r="E12" s="60">
        <f>'DCWW CRAI'!E12</f>
        <v>3</v>
      </c>
      <c r="F12" s="60">
        <f>'DCWW CRAI'!F12</f>
        <v>0</v>
      </c>
      <c r="G12" s="60">
        <f>'DCWW CRAI'!G12</f>
        <v>0</v>
      </c>
      <c r="H12" s="60">
        <f>'DCWW CRAI'!H12</f>
        <v>0</v>
      </c>
      <c r="I12" s="60">
        <f>'DCWW CRAI'!I12</f>
        <v>0</v>
      </c>
      <c r="J12" s="60">
        <f>'DCWW CRAI'!J12</f>
        <v>0</v>
      </c>
      <c r="K12" s="60">
        <f>'DCWW CRAI'!K12</f>
        <v>0</v>
      </c>
      <c r="L12" s="60">
        <f>'DCWW CRAI'!L12</f>
        <v>0</v>
      </c>
      <c r="M12" s="60">
        <f>'DCWW CRAI'!M12</f>
        <v>0</v>
      </c>
      <c r="N12" s="60">
        <f>'DCWW CRAI'!N12</f>
        <v>0</v>
      </c>
      <c r="O12" s="60">
        <f>'DCWW CRAI'!O12</f>
        <v>0</v>
      </c>
      <c r="P12" s="60">
        <f>'DCWW CRAI'!P12</f>
        <v>0</v>
      </c>
      <c r="Q12" s="60">
        <f>'DCWW CRAI'!Q12</f>
        <v>0</v>
      </c>
      <c r="R12" s="60">
        <f>'DCWW CRAI'!R12</f>
        <v>0</v>
      </c>
      <c r="S12" s="60">
        <f>'DCWW CRAI'!S12</f>
        <v>0</v>
      </c>
      <c r="T12" s="60">
        <f>'DCWW CRAI'!T12</f>
        <v>0</v>
      </c>
      <c r="U12" s="60">
        <f>'DCWW CRAI'!U12</f>
        <v>0</v>
      </c>
      <c r="V12" s="60">
        <f>'DCWW CRAI'!V12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'DCWW CRAI'!C13</f>
        <v>3</v>
      </c>
      <c r="D13" s="60">
        <f>'DCWW CRAI'!D13</f>
        <v>4</v>
      </c>
      <c r="E13" s="60">
        <f>'DCWW CRAI'!E13</f>
        <v>3</v>
      </c>
      <c r="F13" s="60">
        <f>'DCWW CRAI'!F13</f>
        <v>0</v>
      </c>
      <c r="G13" s="60">
        <f>'DCWW CRAI'!G13</f>
        <v>0</v>
      </c>
      <c r="H13" s="60">
        <f>'DCWW CRAI'!H13</f>
        <v>0</v>
      </c>
      <c r="I13" s="60">
        <f>'DCWW CRAI'!I13</f>
        <v>0</v>
      </c>
      <c r="J13" s="60">
        <f>'DCWW CRAI'!J13</f>
        <v>0</v>
      </c>
      <c r="K13" s="60">
        <f>'DCWW CRAI'!K13</f>
        <v>0</v>
      </c>
      <c r="L13" s="60">
        <f>'DCWW CRAI'!L13</f>
        <v>0</v>
      </c>
      <c r="M13" s="60">
        <f>'DCWW CRAI'!M13</f>
        <v>0</v>
      </c>
      <c r="N13" s="60">
        <f>'DCWW CRAI'!N13</f>
        <v>0</v>
      </c>
      <c r="O13" s="60">
        <f>'DCWW CRAI'!O13</f>
        <v>0</v>
      </c>
      <c r="P13" s="60">
        <f>'DCWW CRAI'!P13</f>
        <v>0</v>
      </c>
      <c r="Q13" s="60">
        <f>'DCWW CRAI'!Q13</f>
        <v>0</v>
      </c>
      <c r="R13" s="60">
        <f>'DCWW CRAI'!R13</f>
        <v>0</v>
      </c>
      <c r="S13" s="60">
        <f>'DCWW CRAI'!S13</f>
        <v>0</v>
      </c>
      <c r="T13" s="60">
        <f>'DCWW CRAI'!T13</f>
        <v>0</v>
      </c>
      <c r="U13" s="60">
        <f>'DCWW CRAI'!U13</f>
        <v>0</v>
      </c>
      <c r="V13" s="60">
        <f>'DCWW CRAI'!V13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8" t="s">
        <v>8</v>
      </c>
      <c r="B14" s="138"/>
      <c r="C14" s="102" t="str">
        <f>'DCWW CRAI'!C14</f>
        <v xml:space="preserve">Winter wheat- grain only </v>
      </c>
      <c r="D14" s="102" t="str">
        <f>'DCWW CRAI'!D14</f>
        <v xml:space="preserve">Grass Silage (25% DM) </v>
      </c>
      <c r="E14" s="102" t="str">
        <f>'DCWW CRAI'!E14</f>
        <v xml:space="preserve">Grass Silage (25% DM) </v>
      </c>
      <c r="F14" s="102">
        <f>'DCWW CRAI'!F14</f>
        <v>0</v>
      </c>
      <c r="G14" s="102">
        <f>'DCWW CRAI'!G14</f>
        <v>0</v>
      </c>
      <c r="H14" s="102">
        <f>'DCWW CRAI'!H14</f>
        <v>0</v>
      </c>
      <c r="I14" s="102">
        <f>'DCWW CRAI'!I14</f>
        <v>0</v>
      </c>
      <c r="J14" s="102">
        <f>'DCWW CRAI'!J14</f>
        <v>0</v>
      </c>
      <c r="K14" s="102">
        <f>'DCWW CRAI'!K14</f>
        <v>0</v>
      </c>
      <c r="L14" s="102">
        <f>'DCWW CRAI'!L14</f>
        <v>0</v>
      </c>
      <c r="M14" s="102">
        <f>'DCWW CRAI'!M14</f>
        <v>0</v>
      </c>
      <c r="N14" s="102">
        <f>'DCWW CRAI'!N14</f>
        <v>0</v>
      </c>
      <c r="O14" s="102">
        <f>'DCWW CRAI'!O14</f>
        <v>0</v>
      </c>
      <c r="P14" s="102">
        <f>'DCWW CRAI'!P14</f>
        <v>0</v>
      </c>
      <c r="Q14" s="102">
        <f>'DCWW CRAI'!Q14</f>
        <v>0</v>
      </c>
      <c r="R14" s="102">
        <f>'DCWW CRAI'!R14</f>
        <v>0</v>
      </c>
      <c r="S14" s="102">
        <f>'DCWW CRAI'!S14</f>
        <v>0</v>
      </c>
      <c r="T14" s="102">
        <f>'DCWW CRAI'!T14</f>
        <v>0</v>
      </c>
      <c r="U14" s="102">
        <f>'DCWW CRAI'!U14</f>
        <v>0</v>
      </c>
      <c r="V14" s="102">
        <f>'DCWW CRAI'!V14</f>
        <v>0</v>
      </c>
      <c r="AD14" s="30" t="s">
        <v>138</v>
      </c>
      <c r="AE14" s="30">
        <v>6</v>
      </c>
      <c r="AI14" s="53" t="s">
        <v>119</v>
      </c>
      <c r="AJ14" s="54">
        <v>0.8</v>
      </c>
      <c r="AK14" s="55">
        <v>1.7</v>
      </c>
      <c r="AL14" s="11">
        <v>12</v>
      </c>
      <c r="AM14" s="11">
        <v>6.7</v>
      </c>
      <c r="AN14" s="11" t="s">
        <v>135</v>
      </c>
    </row>
    <row r="15" spans="1:41" x14ac:dyDescent="0.25">
      <c r="A15" s="137" t="s">
        <v>9</v>
      </c>
      <c r="B15" s="137"/>
      <c r="C15" s="60">
        <f>'DCWW CRAI'!C15</f>
        <v>8</v>
      </c>
      <c r="D15" s="60">
        <f>'DCWW CRAI'!D15</f>
        <v>38</v>
      </c>
      <c r="E15" s="60">
        <f>'DCWW CRAI'!E15</f>
        <v>38</v>
      </c>
      <c r="F15" s="60">
        <f>'DCWW CRAI'!F15</f>
        <v>0</v>
      </c>
      <c r="G15" s="60">
        <f>'DCWW CRAI'!G15</f>
        <v>0</v>
      </c>
      <c r="H15" s="60">
        <f>'DCWW CRAI'!H15</f>
        <v>0</v>
      </c>
      <c r="I15" s="60">
        <f>'DCWW CRAI'!I15</f>
        <v>0</v>
      </c>
      <c r="J15" s="60">
        <f>'DCWW CRAI'!J15</f>
        <v>0</v>
      </c>
      <c r="K15" s="60">
        <f>'DCWW CRAI'!K15</f>
        <v>0</v>
      </c>
      <c r="L15" s="60">
        <f>'DCWW CRAI'!L15</f>
        <v>0</v>
      </c>
      <c r="M15" s="60">
        <f>'DCWW CRAI'!M15</f>
        <v>0</v>
      </c>
      <c r="N15" s="60">
        <f>'DCWW CRAI'!N15</f>
        <v>0</v>
      </c>
      <c r="O15" s="60">
        <f>'DCWW CRAI'!O15</f>
        <v>0</v>
      </c>
      <c r="P15" s="60">
        <f>'DCWW CRAI'!P15</f>
        <v>0</v>
      </c>
      <c r="Q15" s="60">
        <f>'DCWW CRAI'!Q15</f>
        <v>0</v>
      </c>
      <c r="R15" s="60">
        <f>'DCWW CRAI'!R15</f>
        <v>0</v>
      </c>
      <c r="S15" s="60">
        <f>'DCWW CRAI'!S15</f>
        <v>0</v>
      </c>
      <c r="T15" s="60">
        <f>'DCWW CRAI'!T15</f>
        <v>0</v>
      </c>
      <c r="U15" s="60">
        <f>'DCWW CRAI'!U15</f>
        <v>0</v>
      </c>
      <c r="V15" s="60">
        <f>'DCWW CRAI'!V15</f>
        <v>0</v>
      </c>
      <c r="AD15" s="30" t="s">
        <v>144</v>
      </c>
      <c r="AE15" s="30">
        <v>7</v>
      </c>
      <c r="AI15" s="53" t="s">
        <v>101</v>
      </c>
      <c r="AJ15" s="62">
        <v>1.8</v>
      </c>
      <c r="AK15" s="55">
        <v>5.4</v>
      </c>
      <c r="AL15" s="11">
        <v>13</v>
      </c>
      <c r="AM15" s="11">
        <v>6.7</v>
      </c>
      <c r="AN15" s="11" t="s">
        <v>135</v>
      </c>
    </row>
    <row r="16" spans="1:41" ht="13.8" thickBot="1" x14ac:dyDescent="0.3">
      <c r="A16" s="139" t="s">
        <v>44</v>
      </c>
      <c r="B16" s="139"/>
      <c r="C16" s="103" t="str">
        <f>'DCWW CRAI'!C16</f>
        <v>Medium/Clay</v>
      </c>
      <c r="D16" s="103" t="str">
        <f>'DCWW CRAI'!D16</f>
        <v>Medium/Clay</v>
      </c>
      <c r="E16" s="103" t="str">
        <f>'DCWW CRAI'!E16</f>
        <v>Medium/Clay</v>
      </c>
      <c r="F16" s="103">
        <f>'DCWW CRAI'!F16</f>
        <v>0</v>
      </c>
      <c r="G16" s="103">
        <f>'DCWW CRAI'!G16</f>
        <v>0</v>
      </c>
      <c r="H16" s="103">
        <f>'DCWW CRAI'!H16</f>
        <v>0</v>
      </c>
      <c r="I16" s="103">
        <f>'DCWW CRAI'!I16</f>
        <v>0</v>
      </c>
      <c r="J16" s="103">
        <f>'DCWW CRAI'!J16</f>
        <v>0</v>
      </c>
      <c r="K16" s="103">
        <f>'DCWW CRAI'!K16</f>
        <v>0</v>
      </c>
      <c r="L16" s="103">
        <f>'DCWW CRAI'!L16</f>
        <v>0</v>
      </c>
      <c r="M16" s="103">
        <f>'DCWW CRAI'!M16</f>
        <v>0</v>
      </c>
      <c r="N16" s="103">
        <f>'DCWW CRAI'!N16</f>
        <v>0</v>
      </c>
      <c r="O16" s="103">
        <f>'DCWW CRAI'!O16</f>
        <v>0</v>
      </c>
      <c r="P16" s="103">
        <f>'DCWW CRAI'!P16</f>
        <v>0</v>
      </c>
      <c r="Q16" s="103">
        <f>'DCWW CRAI'!Q16</f>
        <v>0</v>
      </c>
      <c r="R16" s="103">
        <f>'DCWW CRAI'!R16</f>
        <v>0</v>
      </c>
      <c r="S16" s="103">
        <f>'DCWW CRAI'!S16</f>
        <v>0</v>
      </c>
      <c r="T16" s="103">
        <f>'DCWW CRAI'!T16</f>
        <v>0</v>
      </c>
      <c r="U16" s="103">
        <f>'DCWW CRAI'!U16</f>
        <v>0</v>
      </c>
      <c r="V16" s="103">
        <f>'DCWW CRAI'!V16</f>
        <v>0</v>
      </c>
      <c r="AD16" s="52" t="s">
        <v>145</v>
      </c>
      <c r="AE16" s="30">
        <v>8</v>
      </c>
      <c r="AI16" s="53" t="s">
        <v>118</v>
      </c>
      <c r="AJ16" s="54">
        <v>8</v>
      </c>
      <c r="AK16" s="55">
        <v>5.5</v>
      </c>
      <c r="AL16" s="12">
        <v>14</v>
      </c>
      <c r="AM16" s="11">
        <v>6.7</v>
      </c>
      <c r="AN16" s="11" t="s">
        <v>135</v>
      </c>
    </row>
    <row r="17" spans="1:40" x14ac:dyDescent="0.25">
      <c r="A17" s="135" t="s">
        <v>69</v>
      </c>
      <c r="B17" s="136"/>
      <c r="C17" s="28">
        <f>(VLOOKUP(C$14,$AI2:$AK26,2,FALSE))*C$15</f>
        <v>52</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3" t="s">
        <v>23</v>
      </c>
      <c r="B18" s="134"/>
      <c r="C18" s="16">
        <f>$D31</f>
        <v>4.2818789999999991</v>
      </c>
      <c r="D18" s="16">
        <f>$D32</f>
        <v>4.2818789999999991</v>
      </c>
      <c r="E18" s="16">
        <f>$D33</f>
        <v>4.2818789999999991</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3" t="s">
        <v>90</v>
      </c>
      <c r="B19" s="134"/>
      <c r="C19" s="16">
        <f>C18-C17</f>
        <v>-47.718121000000004</v>
      </c>
      <c r="D19" s="16">
        <f t="shared" ref="D19:V19" si="1">D18-D17</f>
        <v>-60.318120999999998</v>
      </c>
      <c r="E19" s="16">
        <f t="shared" si="1"/>
        <v>-60.318120999999998</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5" t="s">
        <v>88</v>
      </c>
      <c r="B21" s="136"/>
      <c r="C21" s="28">
        <f>(VLOOKUP(C$14,$AI2:$AK26,3,FALSE))*C$15</f>
        <v>44</v>
      </c>
      <c r="D21" s="28">
        <f t="shared" ref="D21:V21" si="2">(VLOOKUP(D$14,$AI2:$AK24,3,FALSE))*D$15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3" t="s">
        <v>89</v>
      </c>
      <c r="B22" s="134"/>
      <c r="C22" s="16">
        <f>$E31</f>
        <v>0.44030699999999995</v>
      </c>
      <c r="D22" s="16">
        <f>$E32</f>
        <v>0.44030699999999995</v>
      </c>
      <c r="E22" s="16">
        <f>$E33</f>
        <v>0.44030699999999995</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3" t="s">
        <v>92</v>
      </c>
      <c r="B23" s="134"/>
      <c r="C23" s="16">
        <f>C22-C21</f>
        <v>-43.559693000000003</v>
      </c>
      <c r="D23" s="16">
        <f t="shared" ref="D23:V23" si="3">D22-D21</f>
        <v>-227.55969300000001</v>
      </c>
      <c r="E23" s="16">
        <f t="shared" si="3"/>
        <v>-227.55969300000001</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1" t="s">
        <v>93</v>
      </c>
      <c r="B24" s="132"/>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1.68</v>
      </c>
      <c r="C28" s="15">
        <v>0.96099999999999997</v>
      </c>
      <c r="D28" s="15">
        <v>4.4499999999999998E-2</v>
      </c>
      <c r="E28" s="15">
        <v>8.6999999999999994E-3</v>
      </c>
      <c r="F28" s="15">
        <v>220</v>
      </c>
      <c r="G28" s="15">
        <v>45.2</v>
      </c>
      <c r="H28" s="15">
        <v>106</v>
      </c>
      <c r="I28" s="15">
        <v>7.67</v>
      </c>
      <c r="J28" s="15">
        <v>0.67</v>
      </c>
      <c r="K28" s="23">
        <v>1.18</v>
      </c>
      <c r="L28" s="15">
        <v>5.07</v>
      </c>
      <c r="M28" s="15">
        <v>4.01</v>
      </c>
      <c r="N28" s="15">
        <v>183000</v>
      </c>
      <c r="O28" s="15">
        <v>5020</v>
      </c>
      <c r="P28" s="15"/>
      <c r="Q28" s="15">
        <v>8990</v>
      </c>
      <c r="R28" s="15"/>
      <c r="S28" s="15">
        <v>40.4</v>
      </c>
      <c r="T28" s="15"/>
      <c r="U28" s="15"/>
    </row>
    <row r="29" spans="1:40" s="7" customFormat="1" ht="28.8" x14ac:dyDescent="0.3">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3</v>
      </c>
      <c r="B31" s="15">
        <v>250</v>
      </c>
      <c r="C31" s="77">
        <f>IF(C$27="%w/w SAR",((C$28*10)*$B31),IF(C$27="%w/w DM",(((C$28*10)*($B$28/100))*$B31),IF(C$27="kg/t SAR",(C$28*$B31),IF(C$27="kg/t DM",((C$28*($B$28/100))*$B31),IF(C$27="mg/kg SAR",((C$28*0.001)*$B31),IF(C$27="mg/kg DM",(((C$28*0.001)*($B$28/100))*$B31),0))))))</f>
        <v>40.361999999999995</v>
      </c>
      <c r="D31" s="77">
        <f>(IF(D$27="%w/w SAR",((D$28*10)*$B31),IF(D$27="%w/w DM",(((D$28*10)*($B$28/100))*$B31),IF(D$27="kg/t SAR",(D$28*$B31),IF(D$27="kg/t DM",((D$28*($B$28/100))*$B31),IF(D$27="mg/kg SAR",((D$28*0.001)*$B31),IF(D$27="mg/kg DM",(((D$28*0.001)*($B$28/100))*$B31),"0")))))))*2.291</f>
        <v>4.2818789999999991</v>
      </c>
      <c r="E31" s="77">
        <f>(IF(E$27="%w/w SAR",((E$28*10)*$B31),IF(E$27="%w/w DM",(((E$28*10)*($B$28/100))*$B31),IF(E$27="kg/t SAR",(E$28*$B31),IF(E$27="kg/t DM",((E$28*($B$28/100))*$B31),IF(E$27="mg/kg SAR",((E$28*0.001)*$B31),IF(E$27="mg/kg DM",(((E$28*0.001)*($B$28/100))*$B31),"0")))))))*1.205</f>
        <v>0.44030699999999995</v>
      </c>
      <c r="F31" s="77">
        <f>(IF(F$27="%w/w SAR",((F$28*10)*$B31),IF(F$27="%w/w DM",(((F$28*10)*($B$28/100))*$B31),IF(F$27="kg/t SAR",(F$28*$B31),IF(F$27="kg/t DM",((F$28*($B$28/100))*$B31),IF(F$27="mg/kg SAR",((F$28*0.001)*$B31),IF(F$27="mg/kg DM",(((F$28*0.001)*($B$28/100))*$B31),"0")))))))*1.658</f>
        <v>1.5319919999999998</v>
      </c>
      <c r="G31" s="77">
        <f t="shared" ref="G31:P46" si="5">IF(G$27="%w/w SAR",((G$28*10)*$B31),IF(G$27="%w/w DM",(((G$28*10)*($B$28/100))*$B31),IF(G$27="kg/t SAR",(G$28*$B31),IF(G$27="kg/t DM",((G$28*($B$28/100))*$B31),IF(G$27="mg/kg SAR",((G$28*0.001)*$B31),IF(G$27="mg/kg DM",(((G$28*0.001)*($B$28/100))*$B31),0))))))</f>
        <v>0.18984000000000001</v>
      </c>
      <c r="H31" s="77">
        <f t="shared" si="5"/>
        <v>0.44519999999999998</v>
      </c>
      <c r="I31" s="77">
        <f t="shared" si="5"/>
        <v>3.2214E-2</v>
      </c>
      <c r="J31" s="77">
        <f t="shared" si="5"/>
        <v>2.8140000000000001E-3</v>
      </c>
      <c r="K31" s="77">
        <f t="shared" si="5"/>
        <v>4.9559999999999995E-3</v>
      </c>
      <c r="L31" s="77">
        <f t="shared" si="5"/>
        <v>2.1294000000000004E-2</v>
      </c>
      <c r="M31" s="77">
        <f t="shared" si="5"/>
        <v>1.6841999999999999E-2</v>
      </c>
      <c r="N31" s="77">
        <f t="shared" si="5"/>
        <v>768.59999999999991</v>
      </c>
      <c r="O31" s="77">
        <f t="shared" si="5"/>
        <v>21.084000000000003</v>
      </c>
      <c r="P31" s="77">
        <f t="shared" si="5"/>
        <v>0</v>
      </c>
      <c r="Q31" s="77">
        <f>(IF(Q$27="%w/w SAR",((Q$28*10)*$B31),IF(Q$27="%w/w DM",(((Q$28*10)*($B$28/100))*$B31),IF(Q$27="kg/t SAR",(Q$28*$B31),IF(Q$27="kg/t DM",((Q$28*($B$28/100))*$B31),IF(Q$27="mg/kg SAR",((Q$28*0.001)*$B31),IF(Q$27="mg/kg DM",(((Q$28*0.001)*($B$28/100))*$B31),0)))))))*2.5</f>
        <v>94.39500000000001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0.16968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5AB</v>
      </c>
      <c r="B32" s="15">
        <v>250</v>
      </c>
      <c r="C32" s="77">
        <f t="shared" ref="C32:C50" si="6">IF(C$27="%w/w SAR",((C$28*10)*$B32),IF(C$27="%w/w DM",(((C$28*10)*($B$28/100))*$B32),IF(C$27="kg/t SAR",(C$28*$B32),IF(C$27="kg/t DM",((C$28*($B$28/100))*$B32),IF(C$27="mg/kg SAR",((C$28*0.001)*$B32),IF(C$27="mg/kg DM",(((C$28*0.001)*($B$28/100))*$B32),0))))))</f>
        <v>40.361999999999995</v>
      </c>
      <c r="D32" s="77">
        <f t="shared" ref="D32:D50" si="7">(IF(D$27="%w/w SAR",((D$28*10)*$B32),IF(D$27="%w/w DM",(((D$28*10)*($B$28/100))*$B32),IF(D$27="kg/t SAR",(D$28*$B32),IF(D$27="kg/t DM",((D$28*($B$28/100))*$B32),IF(D$27="mg/kg SAR",((D$28*0.001)*$B32),IF(D$27="mg/kg DM",(((D$28*0.001)*($B$28/100))*$B32),"0")))))))*2.291</f>
        <v>4.2818789999999991</v>
      </c>
      <c r="E32" s="77">
        <f t="shared" ref="E32:E50" si="8">(IF(E$27="%w/w SAR",((E$28*10)*$B32),IF(E$27="%w/w DM",(((E$28*10)*($B$28/100))*$B32),IF(E$27="kg/t SAR",(E$28*$B32),IF(E$27="kg/t DM",((E$28*($B$28/100))*$B32),IF(E$27="mg/kg SAR",((E$28*0.001)*$B32),IF(E$27="mg/kg DM",(((E$28*0.001)*($B$28/100))*$B32),"0")))))))*1.205</f>
        <v>0.44030699999999995</v>
      </c>
      <c r="F32" s="77">
        <f t="shared" ref="F32:F50" si="9">(IF(F$27="%w/w SAR",((F$28*10)*$B32),IF(F$27="%w/w DM",(((F$28*10)*($B$28/100))*$B32),IF(F$27="kg/t SAR",(F$28*$B32),IF(F$27="kg/t DM",((F$28*($B$28/100))*$B32),IF(F$27="mg/kg SAR",((F$28*0.001)*$B32),IF(F$27="mg/kg DM",(((F$28*0.001)*($B$28/100))*$B32),"0")))))))*1.658</f>
        <v>1.5319919999999998</v>
      </c>
      <c r="G32" s="77">
        <f t="shared" si="5"/>
        <v>0.18984000000000001</v>
      </c>
      <c r="H32" s="77">
        <f t="shared" si="5"/>
        <v>0.44519999999999998</v>
      </c>
      <c r="I32" s="77">
        <f t="shared" si="5"/>
        <v>3.2214E-2</v>
      </c>
      <c r="J32" s="77">
        <f t="shared" si="5"/>
        <v>2.8140000000000001E-3</v>
      </c>
      <c r="K32" s="77">
        <f t="shared" si="5"/>
        <v>4.9559999999999995E-3</v>
      </c>
      <c r="L32" s="77">
        <f t="shared" si="5"/>
        <v>2.1294000000000004E-2</v>
      </c>
      <c r="M32" s="77">
        <f t="shared" si="5"/>
        <v>1.6841999999999999E-2</v>
      </c>
      <c r="N32" s="77">
        <f t="shared" si="5"/>
        <v>768.59999999999991</v>
      </c>
      <c r="O32" s="77">
        <f t="shared" si="5"/>
        <v>21.084000000000003</v>
      </c>
      <c r="P32" s="77">
        <f t="shared" si="5"/>
        <v>0</v>
      </c>
      <c r="Q32" s="77">
        <f t="shared" ref="Q32:Q50" si="10">(IF(Q$27="%w/w SAR",((Q$28*10)*$B32),IF(Q$27="%w/w DM",(((Q$28*10)*($B$28/100))*$B32),IF(Q$27="kg/t SAR",(Q$28*$B32),IF(Q$27="kg/t DM",((Q$28*($B$28/100))*$B32),IF(Q$27="mg/kg SAR",((Q$28*0.001)*$B32),IF(Q$27="mg/kg DM",(((Q$28*0.001)*($B$28/100))*$B32),0)))))))*2.5</f>
        <v>94.39500000000001</v>
      </c>
      <c r="R32" s="77">
        <f t="shared" ref="R32:U50" si="11">IF(R$27="%w/w SAR",((R$28*10)*$B32),IF(R$27="%w/w DM",(((R$28*10)*($B$28/100))*$B32),IF(R$27="kg/t SAR",(R$28*$B32),IF(R$27="kg/t DM",((R$28*($B$28/100))*$B32),IF(R$27="mg/kg SAR",((R$28*0.001)*$B32),IF(R$27="mg/kg DM",(((R$28*0.001)*($B$28/100))*$B32),0))))))</f>
        <v>0</v>
      </c>
      <c r="S32" s="77">
        <f t="shared" si="11"/>
        <v>0.16968</v>
      </c>
      <c r="T32" s="77">
        <f t="shared" si="11"/>
        <v>0</v>
      </c>
      <c r="U32" s="77">
        <f t="shared" si="11"/>
        <v>0</v>
      </c>
      <c r="AB32" s="59"/>
      <c r="AC32" s="59"/>
      <c r="AD32" s="59"/>
      <c r="AE32" s="59"/>
      <c r="AF32" s="59"/>
      <c r="AG32" s="59"/>
      <c r="AH32" s="59"/>
      <c r="AI32" s="59"/>
    </row>
    <row r="33" spans="1:35" s="72" customFormat="1" x14ac:dyDescent="0.3">
      <c r="A33" s="13" t="str">
        <f>E8</f>
        <v>6ABC</v>
      </c>
      <c r="B33" s="15">
        <v>250</v>
      </c>
      <c r="C33" s="77">
        <f t="shared" si="6"/>
        <v>40.361999999999995</v>
      </c>
      <c r="D33" s="77">
        <f t="shared" si="7"/>
        <v>4.2818789999999991</v>
      </c>
      <c r="E33" s="77">
        <f t="shared" si="8"/>
        <v>0.44030699999999995</v>
      </c>
      <c r="F33" s="77">
        <f t="shared" si="9"/>
        <v>1.5319919999999998</v>
      </c>
      <c r="G33" s="77">
        <f t="shared" si="5"/>
        <v>0.18984000000000001</v>
      </c>
      <c r="H33" s="77">
        <f t="shared" si="5"/>
        <v>0.44519999999999998</v>
      </c>
      <c r="I33" s="77">
        <f t="shared" si="5"/>
        <v>3.2214E-2</v>
      </c>
      <c r="J33" s="77">
        <f t="shared" si="5"/>
        <v>2.8140000000000001E-3</v>
      </c>
      <c r="K33" s="77">
        <f t="shared" si="5"/>
        <v>4.9559999999999995E-3</v>
      </c>
      <c r="L33" s="77">
        <f t="shared" si="5"/>
        <v>2.1294000000000004E-2</v>
      </c>
      <c r="M33" s="77">
        <f t="shared" si="5"/>
        <v>1.6841999999999999E-2</v>
      </c>
      <c r="N33" s="77">
        <f t="shared" si="5"/>
        <v>768.59999999999991</v>
      </c>
      <c r="O33" s="77">
        <f t="shared" si="5"/>
        <v>21.084000000000003</v>
      </c>
      <c r="P33" s="77">
        <f t="shared" si="5"/>
        <v>0</v>
      </c>
      <c r="Q33" s="77">
        <f t="shared" si="10"/>
        <v>94.39500000000001</v>
      </c>
      <c r="R33" s="77">
        <f t="shared" si="11"/>
        <v>0</v>
      </c>
      <c r="S33" s="77">
        <f t="shared" si="11"/>
        <v>0.16968</v>
      </c>
      <c r="T33" s="77">
        <f t="shared" si="11"/>
        <v>0</v>
      </c>
      <c r="U33" s="77">
        <f t="shared" si="11"/>
        <v>0</v>
      </c>
      <c r="AB33" s="59"/>
      <c r="AC33" s="59"/>
      <c r="AD33" s="59"/>
      <c r="AE33" s="59"/>
      <c r="AF33" s="59"/>
      <c r="AG33" s="59"/>
      <c r="AH33" s="59"/>
      <c r="AI33" s="59"/>
    </row>
    <row r="34" spans="1:35" s="72" customFormat="1" x14ac:dyDescent="0.3">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3</v>
      </c>
      <c r="C57" s="8" t="str">
        <f t="shared" ref="C57:U57" si="13">D8</f>
        <v>5AB</v>
      </c>
      <c r="D57" s="8" t="str">
        <f t="shared" si="13"/>
        <v>6ABC</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Arable</v>
      </c>
      <c r="C58" s="13" t="str">
        <f>D16&amp;" I "&amp;(VLOOKUP(D14,Table245811[],6,FALSE))</f>
        <v>Medium/Clay I Grass</v>
      </c>
      <c r="D58" s="13" t="str">
        <f>E16&amp;" I "&amp;(VLOOKUP(E14,Table245811[],6,FALSE))</f>
        <v>Medium/Clay I Grass</v>
      </c>
      <c r="E58" s="13" t="e">
        <f>F16&amp;" I "&amp;(VLOOKUP(F14,Table245811[],6,FALSE))</f>
        <v>#N/A</v>
      </c>
      <c r="F58" s="13" t="e">
        <f>G16&amp;" I "&amp;(VLOOKUP(G14,Table245811[],6,FALSE))</f>
        <v>#N/A</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6.7</v>
      </c>
      <c r="C59" s="76">
        <f>VLOOKUP(D$14,Table245811[],5,FALSE)</f>
        <v>6.2</v>
      </c>
      <c r="D59" s="76">
        <f>VLOOKUP(E$14,Table245811[],5,FALSE)</f>
        <v>6.2</v>
      </c>
      <c r="E59" s="76" t="e">
        <f>VLOOKUP(F$14,Table245811[],5,FALSE)</f>
        <v>#N/A</v>
      </c>
      <c r="F59" s="76" t="e">
        <f>VLOOKUP(G$14,Table245811[],5,FALSE)</f>
        <v>#N/A</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7.6</v>
      </c>
      <c r="C60" s="76">
        <f t="shared" ref="C60:U60" si="14">D10</f>
        <v>7.7</v>
      </c>
      <c r="D60" s="76">
        <f t="shared" si="14"/>
        <v>7.9</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-9</v>
      </c>
      <c r="D64" s="77">
        <f t="shared" si="17"/>
        <v>-10.200000000000001</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9</v>
      </c>
      <c r="D65" s="77">
        <f t="shared" si="18"/>
        <v>10.200000000000001</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4" priority="38" operator="equal">
      <formula>"DECREASE"</formula>
    </cfRule>
    <cfRule type="cellIs" dxfId="253" priority="39" operator="equal">
      <formula>"INCREASE"</formula>
    </cfRule>
  </conditionalFormatting>
  <conditionalFormatting sqref="B34:B50 B62:U66">
    <cfRule type="cellIs" dxfId="252" priority="37" operator="greaterThan">
      <formula>$B$51</formula>
    </cfRule>
  </conditionalFormatting>
  <conditionalFormatting sqref="C31:C50">
    <cfRule type="cellIs" dxfId="251" priority="36" operator="greaterThan">
      <formula>$C$51</formula>
    </cfRule>
  </conditionalFormatting>
  <conditionalFormatting sqref="C18:V18">
    <cfRule type="cellIs" dxfId="250" priority="35" operator="equal">
      <formula>0</formula>
    </cfRule>
  </conditionalFormatting>
  <conditionalFormatting sqref="C17:V17">
    <cfRule type="cellIs" dxfId="249" priority="34" operator="equal">
      <formula>0</formula>
    </cfRule>
  </conditionalFormatting>
  <conditionalFormatting sqref="C19:V19">
    <cfRule type="cellIs" dxfId="248" priority="33" operator="equal">
      <formula>0</formula>
    </cfRule>
  </conditionalFormatting>
  <conditionalFormatting sqref="G31:G50">
    <cfRule type="cellIs" dxfId="247" priority="32" operator="greaterThan">
      <formula>$G$51</formula>
    </cfRule>
  </conditionalFormatting>
  <conditionalFormatting sqref="H31:H50">
    <cfRule type="cellIs" dxfId="246" priority="31" operator="greaterThan">
      <formula>$H$51</formula>
    </cfRule>
  </conditionalFormatting>
  <conditionalFormatting sqref="I31:I50">
    <cfRule type="cellIs" dxfId="245" priority="30" operator="greaterThan">
      <formula>$I$51</formula>
    </cfRule>
  </conditionalFormatting>
  <conditionalFormatting sqref="K31:K50">
    <cfRule type="cellIs" dxfId="244" priority="29" operator="greaterThan">
      <formula>$K$51</formula>
    </cfRule>
  </conditionalFormatting>
  <conditionalFormatting sqref="L31:L50">
    <cfRule type="cellIs" dxfId="243" priority="28" operator="greaterThan">
      <formula>$L$51</formula>
    </cfRule>
  </conditionalFormatting>
  <conditionalFormatting sqref="M31:M50">
    <cfRule type="cellIs" dxfId="242" priority="27" operator="greaterThan">
      <formula>$M$51</formula>
    </cfRule>
  </conditionalFormatting>
  <conditionalFormatting sqref="P31:P50">
    <cfRule type="cellIs" dxfId="241" priority="26" operator="greaterThan">
      <formula>$P$51</formula>
    </cfRule>
  </conditionalFormatting>
  <conditionalFormatting sqref="R31:R50">
    <cfRule type="cellIs" dxfId="240" priority="25" operator="greaterThan">
      <formula>$R$51</formula>
    </cfRule>
  </conditionalFormatting>
  <conditionalFormatting sqref="S31:S50">
    <cfRule type="cellIs" dxfId="239" priority="24" operator="greaterThan">
      <formula>$S$51</formula>
    </cfRule>
  </conditionalFormatting>
  <conditionalFormatting sqref="T31:T50">
    <cfRule type="cellIs" dxfId="238" priority="23" operator="greaterThan">
      <formula>$T$51</formula>
    </cfRule>
  </conditionalFormatting>
  <conditionalFormatting sqref="U31:U50">
    <cfRule type="cellIs" dxfId="237" priority="22" operator="greaterThan">
      <formula>$U$51</formula>
    </cfRule>
  </conditionalFormatting>
  <conditionalFormatting sqref="C22:V22">
    <cfRule type="cellIs" dxfId="236" priority="21" operator="equal">
      <formula>0</formula>
    </cfRule>
  </conditionalFormatting>
  <conditionalFormatting sqref="C24:V24">
    <cfRule type="cellIs" dxfId="235" priority="19" operator="equal">
      <formula>"DECREASE"</formula>
    </cfRule>
    <cfRule type="cellIs" dxfId="234" priority="20" operator="equal">
      <formula>"INCREASE"</formula>
    </cfRule>
  </conditionalFormatting>
  <conditionalFormatting sqref="C23:V23">
    <cfRule type="cellIs" dxfId="233" priority="18" operator="equal">
      <formula>0</formula>
    </cfRule>
  </conditionalFormatting>
  <conditionalFormatting sqref="C21:V21">
    <cfRule type="cellIs" dxfId="232" priority="14" operator="equal">
      <formula>0</formula>
    </cfRule>
  </conditionalFormatting>
  <conditionalFormatting sqref="B66:U66">
    <cfRule type="cellIs" dxfId="231" priority="12" operator="equal">
      <formula>"UNDER"</formula>
    </cfRule>
    <cfRule type="cellIs" dxfId="230" priority="13" operator="equal">
      <formula>"OVER"</formula>
    </cfRule>
  </conditionalFormatting>
  <conditionalFormatting sqref="J31:J50">
    <cfRule type="cellIs" dxfId="229" priority="9" operator="greaterThan">
      <formula>$J$51</formula>
    </cfRule>
  </conditionalFormatting>
  <conditionalFormatting sqref="L3">
    <cfRule type="cellIs" dxfId="228" priority="5" operator="lessThan">
      <formula>30</formula>
    </cfRule>
    <cfRule type="cellIs" dxfId="227" priority="6" operator="greaterThanOrEqual">
      <formula>30</formula>
    </cfRule>
  </conditionalFormatting>
  <conditionalFormatting sqref="I1">
    <cfRule type="cellIs" dxfId="226" priority="4" operator="between">
      <formula>0.1</formula>
      <formula>5</formula>
    </cfRule>
  </conditionalFormatting>
  <conditionalFormatting sqref="I2">
    <cfRule type="cellIs" dxfId="225" priority="3" operator="greaterThan">
      <formula>5000.1</formula>
    </cfRule>
  </conditionalFormatting>
  <conditionalFormatting sqref="I3">
    <cfRule type="cellIs" dxfId="224" priority="2" operator="greaterThan">
      <formula>40000.01</formula>
    </cfRule>
  </conditionalFormatting>
  <conditionalFormatting sqref="B31:B33">
    <cfRule type="cellIs" dxfId="223" priority="1" operator="greaterThan">
      <formula>$B$51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4" zoomScale="90" zoomScaleNormal="90" workbookViewId="0">
      <selection activeCell="V26" sqref="V26"/>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9" t="s">
        <v>41</v>
      </c>
      <c r="B1" s="129"/>
      <c r="C1" s="142" t="str">
        <f>'DCWW CRAI'!C1:D1</f>
        <v>PAN-024175</v>
      </c>
      <c r="D1" s="143"/>
      <c r="E1" s="93" t="s">
        <v>45</v>
      </c>
      <c r="F1" s="39">
        <f>'DCWW CRAI'!F1</f>
        <v>45.52</v>
      </c>
      <c r="G1" s="125" t="s">
        <v>43</v>
      </c>
      <c r="H1" s="126"/>
      <c r="I1" s="118">
        <v>7.1</v>
      </c>
      <c r="J1" s="129" t="s">
        <v>153</v>
      </c>
      <c r="K1" s="129"/>
      <c r="L1" s="97">
        <v>313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4" t="str">
        <f>'DCWW CRAI'!C2:D2</f>
        <v>EPR/GP3792SK</v>
      </c>
      <c r="D2" s="145"/>
      <c r="E2" s="93" t="s">
        <v>109</v>
      </c>
      <c r="F2" s="119" t="s">
        <v>165</v>
      </c>
      <c r="G2" s="127" t="s">
        <v>110</v>
      </c>
      <c r="H2" s="128"/>
      <c r="I2" s="118"/>
      <c r="J2" s="129" t="s">
        <v>158</v>
      </c>
      <c r="K2" s="129"/>
      <c r="L2" s="97">
        <v>0.67200000000000004</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4" t="str">
        <f>'DCWW CRAI'!C3:D3</f>
        <v>BYPRODUCT RECOVERY LIMITED</v>
      </c>
      <c r="D3" s="145"/>
      <c r="E3" s="93" t="s">
        <v>108</v>
      </c>
      <c r="F3" s="31" t="s">
        <v>78</v>
      </c>
      <c r="G3" s="129" t="s">
        <v>159</v>
      </c>
      <c r="H3" s="129"/>
      <c r="I3" s="118"/>
      <c r="J3" s="125" t="s">
        <v>154</v>
      </c>
      <c r="K3" s="126"/>
      <c r="L3" s="97">
        <f>(L1/(L2*10000))*100</f>
        <v>4.6577380952380949</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2" t="str">
        <f>'DCWW CRAI'!C4:D4</f>
        <v>Rosedew Farm, Llantwit Major, CF61 1PZ</v>
      </c>
      <c r="D4" s="143"/>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2" t="str">
        <f>'DCWW CRAI'!C5:D5</f>
        <v>Owen Clee</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'DCWW CRAI'!C8</f>
        <v>3</v>
      </c>
      <c r="D8" s="60" t="str">
        <f>'DCWW CRAI'!D8</f>
        <v>5AB</v>
      </c>
      <c r="E8" s="60" t="str">
        <f>'DCWW CRAI'!E8</f>
        <v>6ABC</v>
      </c>
      <c r="F8" s="60">
        <f>'DCWW CRAI'!F8</f>
        <v>0</v>
      </c>
      <c r="G8" s="60">
        <f>'DCWW CRAI'!G8</f>
        <v>0</v>
      </c>
      <c r="H8" s="60">
        <f>'DCWW CRAI'!H8</f>
        <v>0</v>
      </c>
      <c r="I8" s="60">
        <f>'DCWW CRAI'!I8</f>
        <v>0</v>
      </c>
      <c r="J8" s="60">
        <f>'DCWW CRAI'!J8</f>
        <v>0</v>
      </c>
      <c r="K8" s="60">
        <f>'DCWW CRAI'!K8</f>
        <v>0</v>
      </c>
      <c r="L8" s="60">
        <f>'DCWW CRAI'!L8</f>
        <v>0</v>
      </c>
      <c r="M8" s="60">
        <f>'DCWW CRAI'!M8</f>
        <v>0</v>
      </c>
      <c r="N8" s="60">
        <f>'DCWW CRAI'!N8</f>
        <v>0</v>
      </c>
      <c r="O8" s="60">
        <f>'DCWW CRAI'!O8</f>
        <v>0</v>
      </c>
      <c r="P8" s="60">
        <f>'DCWW CRAI'!P8</f>
        <v>0</v>
      </c>
      <c r="Q8" s="60">
        <f>'DCWW CRAI'!Q8</f>
        <v>0</v>
      </c>
      <c r="R8" s="60">
        <f>'DCWW CRAI'!R8</f>
        <v>0</v>
      </c>
      <c r="S8" s="60">
        <f>'DCWW CRAI'!S8</f>
        <v>0</v>
      </c>
      <c r="T8" s="60">
        <f>'DCWW CRAI'!T8</f>
        <v>0</v>
      </c>
      <c r="U8" s="60">
        <f>'DCWW CRAI'!U8</f>
        <v>0</v>
      </c>
      <c r="V8" s="60">
        <f>'DCWW CRAI'!V8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'DCWW CRAI'!C9</f>
        <v>1</v>
      </c>
      <c r="D9" s="60" t="str">
        <f>'DCWW CRAI'!D9</f>
        <v>Moderate</v>
      </c>
      <c r="E9" s="60" t="str">
        <f>'DCWW CRAI'!E9</f>
        <v>Moderate</v>
      </c>
      <c r="F9" s="60">
        <f>'DCWW CRAI'!F9</f>
        <v>0</v>
      </c>
      <c r="G9" s="60">
        <f>'DCWW CRAI'!G9</f>
        <v>0</v>
      </c>
      <c r="H9" s="60">
        <f>'DCWW CRAI'!H9</f>
        <v>0</v>
      </c>
      <c r="I9" s="60">
        <f>'DCWW CRAI'!I9</f>
        <v>0</v>
      </c>
      <c r="J9" s="60">
        <f>'DCWW CRAI'!J9</f>
        <v>0</v>
      </c>
      <c r="K9" s="60">
        <f>'DCWW CRAI'!K9</f>
        <v>0</v>
      </c>
      <c r="L9" s="60">
        <f>'DCWW CRAI'!L9</f>
        <v>0</v>
      </c>
      <c r="M9" s="60">
        <f>'DCWW CRAI'!M9</f>
        <v>0</v>
      </c>
      <c r="N9" s="60">
        <f>'DCWW CRAI'!N9</f>
        <v>0</v>
      </c>
      <c r="O9" s="60">
        <f>'DCWW CRAI'!O9</f>
        <v>0</v>
      </c>
      <c r="P9" s="60">
        <f>'DCWW CRAI'!P9</f>
        <v>0</v>
      </c>
      <c r="Q9" s="60">
        <f>'DCWW CRAI'!Q9</f>
        <v>0</v>
      </c>
      <c r="R9" s="60">
        <f>'DCWW CRAI'!R9</f>
        <v>0</v>
      </c>
      <c r="S9" s="60">
        <f>'DCWW CRAI'!S9</f>
        <v>0</v>
      </c>
      <c r="T9" s="60">
        <f>'DCWW CRAI'!T9</f>
        <v>0</v>
      </c>
      <c r="U9" s="60">
        <f>'DCWW CRAI'!U9</f>
        <v>0</v>
      </c>
      <c r="V9" s="60">
        <f>'DCWW CRAI'!V9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'DCWW CRAI'!C10</f>
        <v>7.6</v>
      </c>
      <c r="D10" s="60">
        <f>'DCWW CRAI'!D10</f>
        <v>7.7</v>
      </c>
      <c r="E10" s="60">
        <f>'DCWW CRAI'!E10</f>
        <v>7.9</v>
      </c>
      <c r="F10" s="60">
        <f>'DCWW CRAI'!F10</f>
        <v>0</v>
      </c>
      <c r="G10" s="60">
        <f>'DCWW CRAI'!G10</f>
        <v>0</v>
      </c>
      <c r="H10" s="60">
        <f>'DCWW CRAI'!H10</f>
        <v>0</v>
      </c>
      <c r="I10" s="60">
        <f>'DCWW CRAI'!I10</f>
        <v>0</v>
      </c>
      <c r="J10" s="60">
        <f>'DCWW CRAI'!J10</f>
        <v>0</v>
      </c>
      <c r="K10" s="60">
        <f>'DCWW CRAI'!K10</f>
        <v>0</v>
      </c>
      <c r="L10" s="60">
        <f>'DCWW CRAI'!L10</f>
        <v>0</v>
      </c>
      <c r="M10" s="60">
        <f>'DCWW CRAI'!M10</f>
        <v>0</v>
      </c>
      <c r="N10" s="60">
        <f>'DCWW CRAI'!N10</f>
        <v>0</v>
      </c>
      <c r="O10" s="60">
        <f>'DCWW CRAI'!O10</f>
        <v>0</v>
      </c>
      <c r="P10" s="60">
        <f>'DCWW CRAI'!P10</f>
        <v>0</v>
      </c>
      <c r="Q10" s="60">
        <f>'DCWW CRAI'!Q10</f>
        <v>0</v>
      </c>
      <c r="R10" s="60">
        <f>'DCWW CRAI'!R10</f>
        <v>0</v>
      </c>
      <c r="S10" s="60">
        <f>'DCWW CRAI'!S10</f>
        <v>0</v>
      </c>
      <c r="T10" s="60">
        <f>'DCWW CRAI'!T10</f>
        <v>0</v>
      </c>
      <c r="U10" s="60">
        <f>'DCWW CRAI'!U10</f>
        <v>0</v>
      </c>
      <c r="V10" s="60">
        <f>'DCWW CRAI'!V10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'DCWW CRAI'!C11</f>
        <v>3</v>
      </c>
      <c r="D11" s="60">
        <f>'DCWW CRAI'!D11</f>
        <v>3</v>
      </c>
      <c r="E11" s="60">
        <f>'DCWW CRAI'!E11</f>
        <v>4</v>
      </c>
      <c r="F11" s="60">
        <f>'DCWW CRAI'!F11</f>
        <v>0</v>
      </c>
      <c r="G11" s="60">
        <f>'DCWW CRAI'!G11</f>
        <v>0</v>
      </c>
      <c r="H11" s="60">
        <f>'DCWW CRAI'!H11</f>
        <v>0</v>
      </c>
      <c r="I11" s="60">
        <f>'DCWW CRAI'!I11</f>
        <v>0</v>
      </c>
      <c r="J11" s="60">
        <f>'DCWW CRAI'!J11</f>
        <v>0</v>
      </c>
      <c r="K11" s="60">
        <f>'DCWW CRAI'!K11</f>
        <v>0</v>
      </c>
      <c r="L11" s="60">
        <f>'DCWW CRAI'!L11</f>
        <v>0</v>
      </c>
      <c r="M11" s="60">
        <f>'DCWW CRAI'!M11</f>
        <v>0</v>
      </c>
      <c r="N11" s="60">
        <f>'DCWW CRAI'!N11</f>
        <v>0</v>
      </c>
      <c r="O11" s="60">
        <f>'DCWW CRAI'!O11</f>
        <v>0</v>
      </c>
      <c r="P11" s="60">
        <f>'DCWW CRAI'!P11</f>
        <v>0</v>
      </c>
      <c r="Q11" s="60">
        <f>'DCWW CRAI'!Q11</f>
        <v>0</v>
      </c>
      <c r="R11" s="60">
        <f>'DCWW CRAI'!R11</f>
        <v>0</v>
      </c>
      <c r="S11" s="60">
        <f>'DCWW CRAI'!S11</f>
        <v>0</v>
      </c>
      <c r="T11" s="60">
        <f>'DCWW CRAI'!T11</f>
        <v>0</v>
      </c>
      <c r="U11" s="60">
        <f>'DCWW CRAI'!U11</f>
        <v>0</v>
      </c>
      <c r="V11" s="60">
        <f>'DCWW CRAI'!V11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'DCWW CRAI'!C12</f>
        <v>3</v>
      </c>
      <c r="D12" s="60">
        <f>'DCWW CRAI'!D12</f>
        <v>3</v>
      </c>
      <c r="E12" s="60">
        <f>'DCWW CRAI'!E12</f>
        <v>3</v>
      </c>
      <c r="F12" s="60">
        <f>'DCWW CRAI'!F12</f>
        <v>0</v>
      </c>
      <c r="G12" s="60">
        <f>'DCWW CRAI'!G12</f>
        <v>0</v>
      </c>
      <c r="H12" s="60">
        <f>'DCWW CRAI'!H12</f>
        <v>0</v>
      </c>
      <c r="I12" s="60">
        <f>'DCWW CRAI'!I12</f>
        <v>0</v>
      </c>
      <c r="J12" s="60">
        <f>'DCWW CRAI'!J12</f>
        <v>0</v>
      </c>
      <c r="K12" s="60">
        <f>'DCWW CRAI'!K12</f>
        <v>0</v>
      </c>
      <c r="L12" s="60">
        <f>'DCWW CRAI'!L12</f>
        <v>0</v>
      </c>
      <c r="M12" s="60">
        <f>'DCWW CRAI'!M12</f>
        <v>0</v>
      </c>
      <c r="N12" s="60">
        <f>'DCWW CRAI'!N12</f>
        <v>0</v>
      </c>
      <c r="O12" s="60">
        <f>'DCWW CRAI'!O12</f>
        <v>0</v>
      </c>
      <c r="P12" s="60">
        <f>'DCWW CRAI'!P12</f>
        <v>0</v>
      </c>
      <c r="Q12" s="60">
        <f>'DCWW CRAI'!Q12</f>
        <v>0</v>
      </c>
      <c r="R12" s="60">
        <f>'DCWW CRAI'!R12</f>
        <v>0</v>
      </c>
      <c r="S12" s="60">
        <f>'DCWW CRAI'!S12</f>
        <v>0</v>
      </c>
      <c r="T12" s="60">
        <f>'DCWW CRAI'!T12</f>
        <v>0</v>
      </c>
      <c r="U12" s="60">
        <f>'DCWW CRAI'!U12</f>
        <v>0</v>
      </c>
      <c r="V12" s="60">
        <f>'DCWW CRAI'!V12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'DCWW CRAI'!C13</f>
        <v>3</v>
      </c>
      <c r="D13" s="60">
        <f>'DCWW CRAI'!D13</f>
        <v>4</v>
      </c>
      <c r="E13" s="60">
        <f>'DCWW CRAI'!E13</f>
        <v>3</v>
      </c>
      <c r="F13" s="60">
        <f>'DCWW CRAI'!F13</f>
        <v>0</v>
      </c>
      <c r="G13" s="60">
        <f>'DCWW CRAI'!G13</f>
        <v>0</v>
      </c>
      <c r="H13" s="60">
        <f>'DCWW CRAI'!H13</f>
        <v>0</v>
      </c>
      <c r="I13" s="60">
        <f>'DCWW CRAI'!I13</f>
        <v>0</v>
      </c>
      <c r="J13" s="60">
        <f>'DCWW CRAI'!J13</f>
        <v>0</v>
      </c>
      <c r="K13" s="60">
        <f>'DCWW CRAI'!K13</f>
        <v>0</v>
      </c>
      <c r="L13" s="60">
        <f>'DCWW CRAI'!L13</f>
        <v>0</v>
      </c>
      <c r="M13" s="60">
        <f>'DCWW CRAI'!M13</f>
        <v>0</v>
      </c>
      <c r="N13" s="60">
        <f>'DCWW CRAI'!N13</f>
        <v>0</v>
      </c>
      <c r="O13" s="60">
        <f>'DCWW CRAI'!O13</f>
        <v>0</v>
      </c>
      <c r="P13" s="60">
        <f>'DCWW CRAI'!P13</f>
        <v>0</v>
      </c>
      <c r="Q13" s="60">
        <f>'DCWW CRAI'!Q13</f>
        <v>0</v>
      </c>
      <c r="R13" s="60">
        <f>'DCWW CRAI'!R13</f>
        <v>0</v>
      </c>
      <c r="S13" s="60">
        <f>'DCWW CRAI'!S13</f>
        <v>0</v>
      </c>
      <c r="T13" s="60">
        <f>'DCWW CRAI'!T13</f>
        <v>0</v>
      </c>
      <c r="U13" s="60">
        <f>'DCWW CRAI'!U13</f>
        <v>0</v>
      </c>
      <c r="V13" s="60">
        <f>'DCWW CRAI'!V13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8" t="s">
        <v>8</v>
      </c>
      <c r="B14" s="138"/>
      <c r="C14" s="102" t="str">
        <f>'DCWW CRAI'!C14</f>
        <v xml:space="preserve">Winter wheat- grain only </v>
      </c>
      <c r="D14" s="102" t="str">
        <f>'DCWW CRAI'!D14</f>
        <v xml:space="preserve">Grass Silage (25% DM) </v>
      </c>
      <c r="E14" s="102" t="str">
        <f>'DCWW CRAI'!E14</f>
        <v xml:space="preserve">Grass Silage (25% DM) </v>
      </c>
      <c r="F14" s="102">
        <f>'DCWW CRAI'!F14</f>
        <v>0</v>
      </c>
      <c r="G14" s="102">
        <f>'DCWW CRAI'!G14</f>
        <v>0</v>
      </c>
      <c r="H14" s="102">
        <f>'DCWW CRAI'!H14</f>
        <v>0</v>
      </c>
      <c r="I14" s="102">
        <f>'DCWW CRAI'!I14</f>
        <v>0</v>
      </c>
      <c r="J14" s="102">
        <f>'DCWW CRAI'!J14</f>
        <v>0</v>
      </c>
      <c r="K14" s="102">
        <f>'DCWW CRAI'!K14</f>
        <v>0</v>
      </c>
      <c r="L14" s="102">
        <f>'DCWW CRAI'!L14</f>
        <v>0</v>
      </c>
      <c r="M14" s="102">
        <f>'DCWW CRAI'!M14</f>
        <v>0</v>
      </c>
      <c r="N14" s="102">
        <f>'DCWW CRAI'!N14</f>
        <v>0</v>
      </c>
      <c r="O14" s="102">
        <f>'DCWW CRAI'!O14</f>
        <v>0</v>
      </c>
      <c r="P14" s="102">
        <f>'DCWW CRAI'!P14</f>
        <v>0</v>
      </c>
      <c r="Q14" s="102">
        <f>'DCWW CRAI'!Q14</f>
        <v>0</v>
      </c>
      <c r="R14" s="102">
        <f>'DCWW CRAI'!R14</f>
        <v>0</v>
      </c>
      <c r="S14" s="102">
        <f>'DCWW CRAI'!S14</f>
        <v>0</v>
      </c>
      <c r="T14" s="102">
        <f>'DCWW CRAI'!T14</f>
        <v>0</v>
      </c>
      <c r="U14" s="102">
        <f>'DCWW CRAI'!U14</f>
        <v>0</v>
      </c>
      <c r="V14" s="102">
        <f>'DCWW CRAI'!V14</f>
        <v>0</v>
      </c>
      <c r="AD14" s="30" t="s">
        <v>138</v>
      </c>
      <c r="AE14" s="30">
        <v>6</v>
      </c>
      <c r="AI14" s="53" t="s">
        <v>119</v>
      </c>
      <c r="AJ14" s="54">
        <v>0.8</v>
      </c>
      <c r="AK14" s="55">
        <v>1.7</v>
      </c>
      <c r="AL14" s="11">
        <v>12</v>
      </c>
      <c r="AM14" s="11">
        <v>6.7</v>
      </c>
      <c r="AN14" s="11" t="s">
        <v>135</v>
      </c>
    </row>
    <row r="15" spans="1:41" x14ac:dyDescent="0.25">
      <c r="A15" s="137" t="s">
        <v>9</v>
      </c>
      <c r="B15" s="137"/>
      <c r="C15" s="60">
        <f>'DCWW CRAI'!C15</f>
        <v>8</v>
      </c>
      <c r="D15" s="60">
        <f>'DCWW CRAI'!D15</f>
        <v>38</v>
      </c>
      <c r="E15" s="60">
        <f>'DCWW CRAI'!E15</f>
        <v>38</v>
      </c>
      <c r="F15" s="60">
        <f>'DCWW CRAI'!F15</f>
        <v>0</v>
      </c>
      <c r="G15" s="60">
        <f>'DCWW CRAI'!G15</f>
        <v>0</v>
      </c>
      <c r="H15" s="60">
        <f>'DCWW CRAI'!H15</f>
        <v>0</v>
      </c>
      <c r="I15" s="60">
        <f>'DCWW CRAI'!I15</f>
        <v>0</v>
      </c>
      <c r="J15" s="60">
        <f>'DCWW CRAI'!J15</f>
        <v>0</v>
      </c>
      <c r="K15" s="60">
        <f>'DCWW CRAI'!K15</f>
        <v>0</v>
      </c>
      <c r="L15" s="60">
        <f>'DCWW CRAI'!L15</f>
        <v>0</v>
      </c>
      <c r="M15" s="60">
        <f>'DCWW CRAI'!M15</f>
        <v>0</v>
      </c>
      <c r="N15" s="60">
        <f>'DCWW CRAI'!N15</f>
        <v>0</v>
      </c>
      <c r="O15" s="60">
        <f>'DCWW CRAI'!O15</f>
        <v>0</v>
      </c>
      <c r="P15" s="60">
        <f>'DCWW CRAI'!P15</f>
        <v>0</v>
      </c>
      <c r="Q15" s="60">
        <f>'DCWW CRAI'!Q15</f>
        <v>0</v>
      </c>
      <c r="R15" s="60">
        <f>'DCWW CRAI'!R15</f>
        <v>0</v>
      </c>
      <c r="S15" s="60">
        <f>'DCWW CRAI'!S15</f>
        <v>0</v>
      </c>
      <c r="T15" s="60">
        <f>'DCWW CRAI'!T15</f>
        <v>0</v>
      </c>
      <c r="U15" s="60">
        <f>'DCWW CRAI'!U15</f>
        <v>0</v>
      </c>
      <c r="V15" s="60">
        <f>'DCWW CRAI'!V15</f>
        <v>0</v>
      </c>
      <c r="AD15" s="30" t="s">
        <v>144</v>
      </c>
      <c r="AE15" s="30">
        <v>7</v>
      </c>
      <c r="AI15" s="53" t="s">
        <v>101</v>
      </c>
      <c r="AJ15" s="62">
        <v>1.8</v>
      </c>
      <c r="AK15" s="55">
        <v>5.4</v>
      </c>
      <c r="AL15" s="11">
        <v>13</v>
      </c>
      <c r="AM15" s="11">
        <v>6.7</v>
      </c>
      <c r="AN15" s="11" t="s">
        <v>135</v>
      </c>
    </row>
    <row r="16" spans="1:41" ht="13.8" thickBot="1" x14ac:dyDescent="0.3">
      <c r="A16" s="139" t="s">
        <v>44</v>
      </c>
      <c r="B16" s="139"/>
      <c r="C16" s="103" t="str">
        <f>'DCWW CRAI'!C16</f>
        <v>Medium/Clay</v>
      </c>
      <c r="D16" s="103" t="str">
        <f>'DCWW CRAI'!D16</f>
        <v>Medium/Clay</v>
      </c>
      <c r="E16" s="103" t="str">
        <f>'DCWW CRAI'!E16</f>
        <v>Medium/Clay</v>
      </c>
      <c r="F16" s="103">
        <f>'DCWW CRAI'!F16</f>
        <v>0</v>
      </c>
      <c r="G16" s="103">
        <f>'DCWW CRAI'!G16</f>
        <v>0</v>
      </c>
      <c r="H16" s="103">
        <f>'DCWW CRAI'!H16</f>
        <v>0</v>
      </c>
      <c r="I16" s="103">
        <f>'DCWW CRAI'!I16</f>
        <v>0</v>
      </c>
      <c r="J16" s="103">
        <f>'DCWW CRAI'!J16</f>
        <v>0</v>
      </c>
      <c r="K16" s="103">
        <f>'DCWW CRAI'!K16</f>
        <v>0</v>
      </c>
      <c r="L16" s="103">
        <f>'DCWW CRAI'!L16</f>
        <v>0</v>
      </c>
      <c r="M16" s="103">
        <f>'DCWW CRAI'!M16</f>
        <v>0</v>
      </c>
      <c r="N16" s="103">
        <f>'DCWW CRAI'!N16</f>
        <v>0</v>
      </c>
      <c r="O16" s="103">
        <f>'DCWW CRAI'!O16</f>
        <v>0</v>
      </c>
      <c r="P16" s="103">
        <f>'DCWW CRAI'!P16</f>
        <v>0</v>
      </c>
      <c r="Q16" s="103">
        <f>'DCWW CRAI'!Q16</f>
        <v>0</v>
      </c>
      <c r="R16" s="103">
        <f>'DCWW CRAI'!R16</f>
        <v>0</v>
      </c>
      <c r="S16" s="103">
        <f>'DCWW CRAI'!S16</f>
        <v>0</v>
      </c>
      <c r="T16" s="103">
        <f>'DCWW CRAI'!T16</f>
        <v>0</v>
      </c>
      <c r="U16" s="103">
        <f>'DCWW CRAI'!U16</f>
        <v>0</v>
      </c>
      <c r="V16" s="103">
        <f>'DCWW CRAI'!V16</f>
        <v>0</v>
      </c>
      <c r="AD16" s="52" t="s">
        <v>145</v>
      </c>
      <c r="AE16" s="30">
        <v>8</v>
      </c>
      <c r="AI16" s="53" t="s">
        <v>118</v>
      </c>
      <c r="AJ16" s="54">
        <v>8</v>
      </c>
      <c r="AK16" s="55">
        <v>5.5</v>
      </c>
      <c r="AL16" s="12">
        <v>14</v>
      </c>
      <c r="AM16" s="11">
        <v>6.7</v>
      </c>
      <c r="AN16" s="11" t="s">
        <v>135</v>
      </c>
    </row>
    <row r="17" spans="1:40" x14ac:dyDescent="0.25">
      <c r="A17" s="135" t="s">
        <v>69</v>
      </c>
      <c r="B17" s="136"/>
      <c r="C17" s="28">
        <f>(VLOOKUP(C$14,$AI2:$AK26,2,FALSE))*C$15</f>
        <v>52</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3" t="s">
        <v>23</v>
      </c>
      <c r="B18" s="134"/>
      <c r="C18" s="16">
        <f>$D31</f>
        <v>17.009300400000001</v>
      </c>
      <c r="D18" s="16">
        <f>$D32</f>
        <v>17.009300400000001</v>
      </c>
      <c r="E18" s="16">
        <f>$D33</f>
        <v>17.009300400000001</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3" t="s">
        <v>90</v>
      </c>
      <c r="B19" s="134"/>
      <c r="C19" s="16">
        <f>C18-C17</f>
        <v>-34.990699599999999</v>
      </c>
      <c r="D19" s="16">
        <f t="shared" ref="D19:V19" si="1">D18-D17</f>
        <v>-47.590699599999994</v>
      </c>
      <c r="E19" s="16">
        <f t="shared" si="1"/>
        <v>-47.590699599999994</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5" t="s">
        <v>88</v>
      </c>
      <c r="B21" s="136"/>
      <c r="C21" s="28">
        <f>(VLOOKUP(C$14,$AI2:$AK26,3,FALSE))*C$15</f>
        <v>44</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3" t="s">
        <v>89</v>
      </c>
      <c r="B22" s="134"/>
      <c r="C22" s="16">
        <f>$E31</f>
        <v>0.7066361000000001</v>
      </c>
      <c r="D22" s="16">
        <f>$E32</f>
        <v>0.7066361000000001</v>
      </c>
      <c r="E22" s="16">
        <f>$E33</f>
        <v>0.7066361000000001</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3" t="s">
        <v>92</v>
      </c>
      <c r="B23" s="134"/>
      <c r="C23" s="16">
        <f>C22-C21</f>
        <v>-43.293363900000003</v>
      </c>
      <c r="D23" s="16">
        <f t="shared" ref="D23:V23" si="3">D22-D21</f>
        <v>-227.2933639</v>
      </c>
      <c r="E23" s="16">
        <f t="shared" si="3"/>
        <v>-227.2933639</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1" t="s">
        <v>93</v>
      </c>
      <c r="B24" s="132"/>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5.38</v>
      </c>
      <c r="C28" s="15">
        <v>0.67200000000000004</v>
      </c>
      <c r="D28" s="15">
        <v>1.38</v>
      </c>
      <c r="E28" s="15">
        <v>0.109</v>
      </c>
      <c r="F28" s="15">
        <v>2390</v>
      </c>
      <c r="G28" s="15">
        <v>28.1</v>
      </c>
      <c r="H28" s="15">
        <v>304</v>
      </c>
      <c r="I28" s="15">
        <v>6.2</v>
      </c>
      <c r="J28" s="15">
        <v>0.6</v>
      </c>
      <c r="K28" s="23">
        <v>0.37</v>
      </c>
      <c r="L28" s="15">
        <v>14.1</v>
      </c>
      <c r="M28" s="15">
        <v>10.7</v>
      </c>
      <c r="N28" s="15">
        <v>109000</v>
      </c>
      <c r="O28" s="15">
        <v>10400</v>
      </c>
      <c r="P28" s="15"/>
      <c r="Q28" s="15">
        <v>4520</v>
      </c>
      <c r="R28" s="15"/>
      <c r="S28" s="15">
        <v>36.700000000000003</v>
      </c>
      <c r="T28" s="15"/>
      <c r="U28" s="15"/>
    </row>
    <row r="29" spans="1:40" s="7" customFormat="1" ht="28.8" x14ac:dyDescent="0.3">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3</v>
      </c>
      <c r="B31" s="15">
        <v>10</v>
      </c>
      <c r="C31" s="77">
        <f>IF(C$27="%w/w SAR",((C$28*10)*$B31),IF(C$27="%w/w DM",(((C$28*10)*($B$28/100))*$B31),IF(C$27="kg/t SAR",(C$28*$B31),IF(C$27="kg/t DM",((C$28*($B$28/100))*$B31),IF(C$27="mg/kg SAR",((C$28*0.001)*$B31),IF(C$27="mg/kg DM",(((C$28*0.001)*($B$28/100))*$B31),0))))))</f>
        <v>3.6153600000000004</v>
      </c>
      <c r="D31" s="77">
        <f>(IF(D$27="%w/w SAR",((D$28*10)*$B31),IF(D$27="%w/w DM",(((D$28*10)*($B$28/100))*$B31),IF(D$27="kg/t SAR",(D$28*$B31),IF(D$27="kg/t DM",((D$28*($B$28/100))*$B31),IF(D$27="mg/kg SAR",((D$28*0.001)*$B31),IF(D$27="mg/kg DM",(((D$28*0.001)*($B$28/100))*$B31),"0")))))))*2.291</f>
        <v>17.009300400000001</v>
      </c>
      <c r="E31" s="77">
        <f>(IF(E$27="%w/w SAR",((E$28*10)*$B31),IF(E$27="%w/w DM",(((E$28*10)*($B$28/100))*$B31),IF(E$27="kg/t SAR",(E$28*$B31),IF(E$27="kg/t DM",((E$28*($B$28/100))*$B31),IF(E$27="mg/kg SAR",((E$28*0.001)*$B31),IF(E$27="mg/kg DM",(((E$28*0.001)*($B$28/100))*$B31),"0")))))))*1.205</f>
        <v>0.7066361000000001</v>
      </c>
      <c r="F31" s="77">
        <f>(IF(F$27="%w/w SAR",((F$28*10)*$B31),IF(F$27="%w/w DM",(((F$28*10)*($B$28/100))*$B31),IF(F$27="kg/t SAR",(F$28*$B31),IF(F$27="kg/t DM",((F$28*($B$28/100))*$B31),IF(F$27="mg/kg SAR",((F$28*0.001)*$B31),IF(F$27="mg/kg DM",(((F$28*0.001)*($B$28/100))*$B31),"0")))))))*1.658</f>
        <v>2.1318895599999999</v>
      </c>
      <c r="G31" s="77">
        <f t="shared" ref="G31:P46" si="5">IF(G$27="%w/w SAR",((G$28*10)*$B31),IF(G$27="%w/w DM",(((G$28*10)*($B$28/100))*$B31),IF(G$27="kg/t SAR",(G$28*$B31),IF(G$27="kg/t DM",((G$28*($B$28/100))*$B31),IF(G$27="mg/kg SAR",((G$28*0.001)*$B31),IF(G$27="mg/kg DM",(((G$28*0.001)*($B$28/100))*$B31),0))))))</f>
        <v>1.5117800000000001E-2</v>
      </c>
      <c r="H31" s="77">
        <f t="shared" si="5"/>
        <v>0.163552</v>
      </c>
      <c r="I31" s="77">
        <f t="shared" si="5"/>
        <v>3.3356000000000006E-3</v>
      </c>
      <c r="J31" s="77">
        <f t="shared" si="5"/>
        <v>3.2279999999999993E-4</v>
      </c>
      <c r="K31" s="77">
        <f t="shared" si="5"/>
        <v>1.9905999999999998E-4</v>
      </c>
      <c r="L31" s="77">
        <f t="shared" si="5"/>
        <v>7.5858000000000002E-3</v>
      </c>
      <c r="M31" s="77">
        <f t="shared" si="5"/>
        <v>5.7565999999999997E-3</v>
      </c>
      <c r="N31" s="77">
        <f t="shared" si="5"/>
        <v>58.642000000000003</v>
      </c>
      <c r="O31" s="77">
        <f t="shared" si="5"/>
        <v>5.5952000000000002</v>
      </c>
      <c r="P31" s="77">
        <f t="shared" si="5"/>
        <v>0</v>
      </c>
      <c r="Q31" s="77">
        <f>(IF(Q$27="%w/w SAR",((Q$28*10)*$B31),IF(Q$27="%w/w DM",(((Q$28*10)*($B$28/100))*$B31),IF(Q$27="kg/t SAR",(Q$28*$B31),IF(Q$27="kg/t DM",((Q$28*($B$28/100))*$B31),IF(Q$27="mg/kg SAR",((Q$28*0.001)*$B31),IF(Q$27="mg/kg DM",(((Q$28*0.001)*($B$28/100))*$B31),0)))))))*2.5</f>
        <v>6.0794000000000006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1.9744600000000005E-2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5AB</v>
      </c>
      <c r="B32" s="15">
        <v>10</v>
      </c>
      <c r="C32" s="77">
        <f t="shared" ref="C32:C50" si="6">IF(C$27="%w/w SAR",((C$28*10)*$B32),IF(C$27="%w/w DM",(((C$28*10)*($B$28/100))*$B32),IF(C$27="kg/t SAR",(C$28*$B32),IF(C$27="kg/t DM",((C$28*($B$28/100))*$B32),IF(C$27="mg/kg SAR",((C$28*0.001)*$B32),IF(C$27="mg/kg DM",(((C$28*0.001)*($B$28/100))*$B32),0))))))</f>
        <v>3.6153600000000004</v>
      </c>
      <c r="D32" s="77">
        <f t="shared" ref="D32:D50" si="7">(IF(D$27="%w/w SAR",((D$28*10)*$B32),IF(D$27="%w/w DM",(((D$28*10)*($B$28/100))*$B32),IF(D$27="kg/t SAR",(D$28*$B32),IF(D$27="kg/t DM",((D$28*($B$28/100))*$B32),IF(D$27="mg/kg SAR",((D$28*0.001)*$B32),IF(D$27="mg/kg DM",(((D$28*0.001)*($B$28/100))*$B32),"0")))))))*2.291</f>
        <v>17.009300400000001</v>
      </c>
      <c r="E32" s="77">
        <f t="shared" ref="E32:E50" si="8">(IF(E$27="%w/w SAR",((E$28*10)*$B32),IF(E$27="%w/w DM",(((E$28*10)*($B$28/100))*$B32),IF(E$27="kg/t SAR",(E$28*$B32),IF(E$27="kg/t DM",((E$28*($B$28/100))*$B32),IF(E$27="mg/kg SAR",((E$28*0.001)*$B32),IF(E$27="mg/kg DM",(((E$28*0.001)*($B$28/100))*$B32),"0")))))))*1.205</f>
        <v>0.7066361000000001</v>
      </c>
      <c r="F32" s="77">
        <f t="shared" ref="F32:F50" si="9">(IF(F$27="%w/w SAR",((F$28*10)*$B32),IF(F$27="%w/w DM",(((F$28*10)*($B$28/100))*$B32),IF(F$27="kg/t SAR",(F$28*$B32),IF(F$27="kg/t DM",((F$28*($B$28/100))*$B32),IF(F$27="mg/kg SAR",((F$28*0.001)*$B32),IF(F$27="mg/kg DM",(((F$28*0.001)*($B$28/100))*$B32),"0")))))))*1.658</f>
        <v>2.1318895599999999</v>
      </c>
      <c r="G32" s="77">
        <f t="shared" si="5"/>
        <v>1.5117800000000001E-2</v>
      </c>
      <c r="H32" s="77">
        <f t="shared" si="5"/>
        <v>0.163552</v>
      </c>
      <c r="I32" s="77">
        <f t="shared" si="5"/>
        <v>3.3356000000000006E-3</v>
      </c>
      <c r="J32" s="77">
        <f t="shared" si="5"/>
        <v>3.2279999999999993E-4</v>
      </c>
      <c r="K32" s="77">
        <f t="shared" si="5"/>
        <v>1.9905999999999998E-4</v>
      </c>
      <c r="L32" s="77">
        <f t="shared" si="5"/>
        <v>7.5858000000000002E-3</v>
      </c>
      <c r="M32" s="77">
        <f t="shared" si="5"/>
        <v>5.7565999999999997E-3</v>
      </c>
      <c r="N32" s="77">
        <f t="shared" si="5"/>
        <v>58.642000000000003</v>
      </c>
      <c r="O32" s="77">
        <f t="shared" si="5"/>
        <v>5.5952000000000002</v>
      </c>
      <c r="P32" s="77">
        <f t="shared" si="5"/>
        <v>0</v>
      </c>
      <c r="Q32" s="77">
        <f t="shared" ref="Q32:Q50" si="10">(IF(Q$27="%w/w SAR",((Q$28*10)*$B32),IF(Q$27="%w/w DM",(((Q$28*10)*($B$28/100))*$B32),IF(Q$27="kg/t SAR",(Q$28*$B32),IF(Q$27="kg/t DM",((Q$28*($B$28/100))*$B32),IF(Q$27="mg/kg SAR",((Q$28*0.001)*$B32),IF(Q$27="mg/kg DM",(((Q$28*0.001)*($B$28/100))*$B32),0)))))))*2.5</f>
        <v>6.0794000000000006</v>
      </c>
      <c r="R32" s="77">
        <f t="shared" ref="R32:U50" si="11">IF(R$27="%w/w SAR",((R$28*10)*$B32),IF(R$27="%w/w DM",(((R$28*10)*($B$28/100))*$B32),IF(R$27="kg/t SAR",(R$28*$B32),IF(R$27="kg/t DM",((R$28*($B$28/100))*$B32),IF(R$27="mg/kg SAR",((R$28*0.001)*$B32),IF(R$27="mg/kg DM",(((R$28*0.001)*($B$28/100))*$B32),0))))))</f>
        <v>0</v>
      </c>
      <c r="S32" s="77">
        <f t="shared" si="11"/>
        <v>1.9744600000000005E-2</v>
      </c>
      <c r="T32" s="77">
        <f t="shared" si="11"/>
        <v>0</v>
      </c>
      <c r="U32" s="77">
        <f t="shared" si="11"/>
        <v>0</v>
      </c>
      <c r="AB32" s="59"/>
      <c r="AC32" s="59"/>
      <c r="AD32" s="59"/>
      <c r="AE32" s="59"/>
      <c r="AF32" s="59"/>
      <c r="AG32" s="59"/>
      <c r="AH32" s="59"/>
      <c r="AI32" s="59"/>
    </row>
    <row r="33" spans="1:35" s="72" customFormat="1" x14ac:dyDescent="0.3">
      <c r="A33" s="13" t="str">
        <f>E8</f>
        <v>6ABC</v>
      </c>
      <c r="B33" s="15">
        <v>10</v>
      </c>
      <c r="C33" s="77">
        <f t="shared" si="6"/>
        <v>3.6153600000000004</v>
      </c>
      <c r="D33" s="77">
        <f t="shared" si="7"/>
        <v>17.009300400000001</v>
      </c>
      <c r="E33" s="77">
        <f t="shared" si="8"/>
        <v>0.7066361000000001</v>
      </c>
      <c r="F33" s="77">
        <f t="shared" si="9"/>
        <v>2.1318895599999999</v>
      </c>
      <c r="G33" s="77">
        <f t="shared" si="5"/>
        <v>1.5117800000000001E-2</v>
      </c>
      <c r="H33" s="77">
        <f t="shared" si="5"/>
        <v>0.163552</v>
      </c>
      <c r="I33" s="77">
        <f t="shared" si="5"/>
        <v>3.3356000000000006E-3</v>
      </c>
      <c r="J33" s="77">
        <f t="shared" si="5"/>
        <v>3.2279999999999993E-4</v>
      </c>
      <c r="K33" s="77">
        <f t="shared" si="5"/>
        <v>1.9905999999999998E-4</v>
      </c>
      <c r="L33" s="77">
        <f t="shared" si="5"/>
        <v>7.5858000000000002E-3</v>
      </c>
      <c r="M33" s="77">
        <f t="shared" si="5"/>
        <v>5.7565999999999997E-3</v>
      </c>
      <c r="N33" s="77">
        <f t="shared" si="5"/>
        <v>58.642000000000003</v>
      </c>
      <c r="O33" s="77">
        <f t="shared" si="5"/>
        <v>5.5952000000000002</v>
      </c>
      <c r="P33" s="77">
        <f t="shared" si="5"/>
        <v>0</v>
      </c>
      <c r="Q33" s="77">
        <f t="shared" si="10"/>
        <v>6.0794000000000006</v>
      </c>
      <c r="R33" s="77">
        <f t="shared" si="11"/>
        <v>0</v>
      </c>
      <c r="S33" s="77">
        <f t="shared" si="11"/>
        <v>1.9744600000000005E-2</v>
      </c>
      <c r="T33" s="77">
        <f t="shared" si="11"/>
        <v>0</v>
      </c>
      <c r="U33" s="77">
        <f t="shared" si="11"/>
        <v>0</v>
      </c>
      <c r="AB33" s="59"/>
      <c r="AC33" s="59"/>
      <c r="AD33" s="59"/>
      <c r="AE33" s="59"/>
      <c r="AF33" s="59"/>
      <c r="AG33" s="59"/>
      <c r="AH33" s="59"/>
      <c r="AI33" s="59"/>
    </row>
    <row r="34" spans="1:35" s="72" customFormat="1" x14ac:dyDescent="0.3">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3</v>
      </c>
      <c r="C57" s="8" t="str">
        <f t="shared" ref="C57:U57" si="13">D8</f>
        <v>5AB</v>
      </c>
      <c r="D57" s="8" t="str">
        <f t="shared" si="13"/>
        <v>6ABC</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Arable</v>
      </c>
      <c r="C58" s="13" t="str">
        <f>D16&amp;" I "&amp;(VLOOKUP(D14,Table24581112[],6,FALSE))</f>
        <v>Medium/Clay I Grass</v>
      </c>
      <c r="D58" s="13" t="str">
        <f>E16&amp;" I "&amp;(VLOOKUP(E14,Table24581112[],6,FALSE))</f>
        <v>Medium/Clay I Grass</v>
      </c>
      <c r="E58" s="13" t="e">
        <f>F16&amp;" I "&amp;(VLOOKUP(F14,Table24581112[],6,FALSE))</f>
        <v>#N/A</v>
      </c>
      <c r="F58" s="13" t="e">
        <f>G16&amp;" I "&amp;(VLOOKUP(G14,Table24581112[],6,FALSE))</f>
        <v>#N/A</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6.7</v>
      </c>
      <c r="C59" s="76">
        <f>VLOOKUP(D$14,Table24581112[],5,FALSE)</f>
        <v>6.2</v>
      </c>
      <c r="D59" s="76">
        <f>VLOOKUP(E$14,Table24581112[],5,FALSE)</f>
        <v>6.2</v>
      </c>
      <c r="E59" s="76" t="e">
        <f>VLOOKUP(F$14,Table24581112[],5,FALSE)</f>
        <v>#N/A</v>
      </c>
      <c r="F59" s="76" t="e">
        <f>VLOOKUP(G$14,Table24581112[],5,FALSE)</f>
        <v>#N/A</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1" t="s">
        <v>4</v>
      </c>
      <c r="B60" s="76">
        <f>C10</f>
        <v>7.6</v>
      </c>
      <c r="C60" s="76">
        <f t="shared" ref="C60:U60" si="14">D10</f>
        <v>7.7</v>
      </c>
      <c r="D60" s="76">
        <f t="shared" si="14"/>
        <v>7.9</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10</v>
      </c>
      <c r="C62" s="77">
        <f>B32</f>
        <v>10</v>
      </c>
      <c r="D62" s="77">
        <f>B33</f>
        <v>10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-9</v>
      </c>
      <c r="D64" s="77">
        <f t="shared" si="17"/>
        <v>-10.200000000000001</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9</v>
      </c>
      <c r="D65" s="77">
        <f t="shared" si="18"/>
        <v>10.200000000000001</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11" priority="37" operator="equal">
      <formula>"DECREASE"</formula>
    </cfRule>
    <cfRule type="cellIs" dxfId="210" priority="38" operator="equal">
      <formula>"INCREASE"</formula>
    </cfRule>
  </conditionalFormatting>
  <conditionalFormatting sqref="B62:U66 B31:B50">
    <cfRule type="cellIs" dxfId="209" priority="36" operator="greaterThan">
      <formula>$B$51</formula>
    </cfRule>
  </conditionalFormatting>
  <conditionalFormatting sqref="C31:C50">
    <cfRule type="cellIs" dxfId="208" priority="35" operator="greaterThan">
      <formula>$C$51</formula>
    </cfRule>
  </conditionalFormatting>
  <conditionalFormatting sqref="C18:V18">
    <cfRule type="cellIs" dxfId="207" priority="34" operator="equal">
      <formula>0</formula>
    </cfRule>
  </conditionalFormatting>
  <conditionalFormatting sqref="C17:V17">
    <cfRule type="cellIs" dxfId="206" priority="33" operator="equal">
      <formula>0</formula>
    </cfRule>
  </conditionalFormatting>
  <conditionalFormatting sqref="C19:V19">
    <cfRule type="cellIs" dxfId="205" priority="32" operator="equal">
      <formula>0</formula>
    </cfRule>
  </conditionalFormatting>
  <conditionalFormatting sqref="G31:G50">
    <cfRule type="cellIs" dxfId="204" priority="31" operator="greaterThan">
      <formula>$G$51</formula>
    </cfRule>
  </conditionalFormatting>
  <conditionalFormatting sqref="H31:H50">
    <cfRule type="cellIs" dxfId="203" priority="30" operator="greaterThan">
      <formula>$H$51</formula>
    </cfRule>
  </conditionalFormatting>
  <conditionalFormatting sqref="I31:I50">
    <cfRule type="cellIs" dxfId="202" priority="29" operator="greaterThan">
      <formula>$I$51</formula>
    </cfRule>
  </conditionalFormatting>
  <conditionalFormatting sqref="K31:K50">
    <cfRule type="cellIs" dxfId="201" priority="28" operator="greaterThan">
      <formula>$K$51</formula>
    </cfRule>
  </conditionalFormatting>
  <conditionalFormatting sqref="L31:L50">
    <cfRule type="cellIs" dxfId="200" priority="27" operator="greaterThan">
      <formula>$L$51</formula>
    </cfRule>
  </conditionalFormatting>
  <conditionalFormatting sqref="M31:M50">
    <cfRule type="cellIs" dxfId="199" priority="26" operator="greaterThan">
      <formula>$M$51</formula>
    </cfRule>
  </conditionalFormatting>
  <conditionalFormatting sqref="P31:P50">
    <cfRule type="cellIs" dxfId="198" priority="25" operator="greaterThan">
      <formula>$P$51</formula>
    </cfRule>
  </conditionalFormatting>
  <conditionalFormatting sqref="R31:R50">
    <cfRule type="cellIs" dxfId="197" priority="24" operator="greaterThan">
      <formula>$R$51</formula>
    </cfRule>
  </conditionalFormatting>
  <conditionalFormatting sqref="S31:S50">
    <cfRule type="cellIs" dxfId="196" priority="23" operator="greaterThan">
      <formula>$S$51</formula>
    </cfRule>
  </conditionalFormatting>
  <conditionalFormatting sqref="T31:T50">
    <cfRule type="cellIs" dxfId="195" priority="22" operator="greaterThan">
      <formula>$T$51</formula>
    </cfRule>
  </conditionalFormatting>
  <conditionalFormatting sqref="U31:U50">
    <cfRule type="cellIs" dxfId="194" priority="21" operator="greaterThan">
      <formula>$U$51</formula>
    </cfRule>
  </conditionalFormatting>
  <conditionalFormatting sqref="C22:V22">
    <cfRule type="cellIs" dxfId="193" priority="20" operator="equal">
      <formula>0</formula>
    </cfRule>
  </conditionalFormatting>
  <conditionalFormatting sqref="C24:V24">
    <cfRule type="cellIs" dxfId="192" priority="18" operator="equal">
      <formula>"DECREASE"</formula>
    </cfRule>
    <cfRule type="cellIs" dxfId="191" priority="19" operator="equal">
      <formula>"INCREASE"</formula>
    </cfRule>
  </conditionalFormatting>
  <conditionalFormatting sqref="C23:V23">
    <cfRule type="cellIs" dxfId="190" priority="17" operator="equal">
      <formula>0</formula>
    </cfRule>
  </conditionalFormatting>
  <conditionalFormatting sqref="C21:V21">
    <cfRule type="cellIs" dxfId="189" priority="13" operator="equal">
      <formula>0</formula>
    </cfRule>
  </conditionalFormatting>
  <conditionalFormatting sqref="B66:U66">
    <cfRule type="cellIs" dxfId="188" priority="11" operator="equal">
      <formula>"UNDER"</formula>
    </cfRule>
    <cfRule type="cellIs" dxfId="187" priority="12" operator="equal">
      <formula>"OVER"</formula>
    </cfRule>
  </conditionalFormatting>
  <conditionalFormatting sqref="J31:J50">
    <cfRule type="cellIs" dxfId="186" priority="8" operator="greaterThan">
      <formula>$J$51</formula>
    </cfRule>
  </conditionalFormatting>
  <conditionalFormatting sqref="L3">
    <cfRule type="cellIs" dxfId="185" priority="4" operator="lessThan">
      <formula>30</formula>
    </cfRule>
    <cfRule type="cellIs" dxfId="184" priority="5" operator="greaterThanOrEqual">
      <formula>30</formula>
    </cfRule>
  </conditionalFormatting>
  <conditionalFormatting sqref="I1">
    <cfRule type="cellIs" dxfId="183" priority="3" operator="between">
      <formula>0.1</formula>
      <formula>5</formula>
    </cfRule>
  </conditionalFormatting>
  <conditionalFormatting sqref="I2">
    <cfRule type="cellIs" dxfId="182" priority="2" operator="greaterThan">
      <formula>5000.1</formula>
    </cfRule>
  </conditionalFormatting>
  <conditionalFormatting sqref="I3">
    <cfRule type="cellIs" dxfId="18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F7"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42" width="0" style="11" hidden="1" customWidth="1"/>
    <col min="43" max="16384" width="13.109375" style="11"/>
  </cols>
  <sheetData>
    <row r="1" spans="1:41" x14ac:dyDescent="0.25">
      <c r="A1" s="129" t="s">
        <v>41</v>
      </c>
      <c r="B1" s="129"/>
      <c r="C1" s="142" t="str">
        <f>'DCWW CRAI'!C1:D1</f>
        <v>PAN-024175</v>
      </c>
      <c r="D1" s="143"/>
      <c r="E1" s="93" t="s">
        <v>45</v>
      </c>
      <c r="F1" s="39">
        <f>'DCWW CRAI'!F1</f>
        <v>45.52</v>
      </c>
      <c r="G1" s="125" t="s">
        <v>43</v>
      </c>
      <c r="H1" s="126"/>
      <c r="I1" s="118">
        <v>6.4</v>
      </c>
      <c r="J1" s="129" t="s">
        <v>153</v>
      </c>
      <c r="K1" s="129"/>
      <c r="L1" s="97">
        <v>366</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4" t="str">
        <f>'DCWW CRAI'!C2:D2</f>
        <v>EPR/GP3792SK</v>
      </c>
      <c r="D2" s="145"/>
      <c r="E2" s="93" t="s">
        <v>109</v>
      </c>
      <c r="F2" s="119" t="s">
        <v>165</v>
      </c>
      <c r="G2" s="127" t="s">
        <v>110</v>
      </c>
      <c r="H2" s="128"/>
      <c r="I2" s="118"/>
      <c r="J2" s="129" t="s">
        <v>158</v>
      </c>
      <c r="K2" s="129"/>
      <c r="L2" s="97">
        <v>0.63</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4" t="str">
        <f>'DCWW CRAI'!C3:D3</f>
        <v>BYPRODUCT RECOVERY LIMITED</v>
      </c>
      <c r="D3" s="145"/>
      <c r="E3" s="93" t="s">
        <v>108</v>
      </c>
      <c r="F3" s="31" t="s">
        <v>78</v>
      </c>
      <c r="G3" s="129" t="s">
        <v>159</v>
      </c>
      <c r="H3" s="129"/>
      <c r="I3" s="118"/>
      <c r="J3" s="125" t="s">
        <v>154</v>
      </c>
      <c r="K3" s="126"/>
      <c r="L3" s="97">
        <f>(L1/(L2*10000))*100</f>
        <v>5.8095238095238093</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2" t="str">
        <f>'DCWW CRAI'!C4:D4</f>
        <v>Rosedew Farm, Llantwit Major, CF61 1PZ</v>
      </c>
      <c r="D4" s="143"/>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2" t="str">
        <f>'DCWW CRAI'!C5:D5</f>
        <v>Owen Clee</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'DCWW CRAI'!C8</f>
        <v>3</v>
      </c>
      <c r="D8" s="60" t="str">
        <f>'DCWW CRAI'!D8</f>
        <v>5AB</v>
      </c>
      <c r="E8" s="60" t="str">
        <f>'DCWW CRAI'!E8</f>
        <v>6ABC</v>
      </c>
      <c r="F8" s="60">
        <f>'DCWW CRAI'!F8</f>
        <v>0</v>
      </c>
      <c r="G8" s="60">
        <f>'DCWW CRAI'!G8</f>
        <v>0</v>
      </c>
      <c r="H8" s="60">
        <f>'DCWW CRAI'!H8</f>
        <v>0</v>
      </c>
      <c r="I8" s="60">
        <f>'DCWW CRAI'!I8</f>
        <v>0</v>
      </c>
      <c r="J8" s="60">
        <f>'DCWW CRAI'!J8</f>
        <v>0</v>
      </c>
      <c r="K8" s="60">
        <f>'DCWW CRAI'!K8</f>
        <v>0</v>
      </c>
      <c r="L8" s="60">
        <f>'DCWW CRAI'!L8</f>
        <v>0</v>
      </c>
      <c r="M8" s="60">
        <f>'DCWW CRAI'!M8</f>
        <v>0</v>
      </c>
      <c r="N8" s="60">
        <f>'DCWW CRAI'!N8</f>
        <v>0</v>
      </c>
      <c r="O8" s="60">
        <f>'DCWW CRAI'!O8</f>
        <v>0</v>
      </c>
      <c r="P8" s="60">
        <f>'DCWW CRAI'!P8</f>
        <v>0</v>
      </c>
      <c r="Q8" s="60">
        <f>'DCWW CRAI'!Q8</f>
        <v>0</v>
      </c>
      <c r="R8" s="60">
        <f>'DCWW CRAI'!R8</f>
        <v>0</v>
      </c>
      <c r="S8" s="60">
        <f>'DCWW CRAI'!S8</f>
        <v>0</v>
      </c>
      <c r="T8" s="60">
        <f>'DCWW CRAI'!T8</f>
        <v>0</v>
      </c>
      <c r="U8" s="60">
        <f>'DCWW CRAI'!U8</f>
        <v>0</v>
      </c>
      <c r="V8" s="60">
        <f>'DCWW CRAI'!V8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'DCWW CRAI'!C9</f>
        <v>1</v>
      </c>
      <c r="D9" s="60" t="str">
        <f>'DCWW CRAI'!D9</f>
        <v>Moderate</v>
      </c>
      <c r="E9" s="60" t="str">
        <f>'DCWW CRAI'!E9</f>
        <v>Moderate</v>
      </c>
      <c r="F9" s="60">
        <f>'DCWW CRAI'!F9</f>
        <v>0</v>
      </c>
      <c r="G9" s="60">
        <f>'DCWW CRAI'!G9</f>
        <v>0</v>
      </c>
      <c r="H9" s="60">
        <f>'DCWW CRAI'!H9</f>
        <v>0</v>
      </c>
      <c r="I9" s="60">
        <f>'DCWW CRAI'!I9</f>
        <v>0</v>
      </c>
      <c r="J9" s="60">
        <f>'DCWW CRAI'!J9</f>
        <v>0</v>
      </c>
      <c r="K9" s="60">
        <f>'DCWW CRAI'!K9</f>
        <v>0</v>
      </c>
      <c r="L9" s="60">
        <f>'DCWW CRAI'!L9</f>
        <v>0</v>
      </c>
      <c r="M9" s="60">
        <f>'DCWW CRAI'!M9</f>
        <v>0</v>
      </c>
      <c r="N9" s="60">
        <f>'DCWW CRAI'!N9</f>
        <v>0</v>
      </c>
      <c r="O9" s="60">
        <f>'DCWW CRAI'!O9</f>
        <v>0</v>
      </c>
      <c r="P9" s="60">
        <f>'DCWW CRAI'!P9</f>
        <v>0</v>
      </c>
      <c r="Q9" s="60">
        <f>'DCWW CRAI'!Q9</f>
        <v>0</v>
      </c>
      <c r="R9" s="60">
        <f>'DCWW CRAI'!R9</f>
        <v>0</v>
      </c>
      <c r="S9" s="60">
        <f>'DCWW CRAI'!S9</f>
        <v>0</v>
      </c>
      <c r="T9" s="60">
        <f>'DCWW CRAI'!T9</f>
        <v>0</v>
      </c>
      <c r="U9" s="60">
        <f>'DCWW CRAI'!U9</f>
        <v>0</v>
      </c>
      <c r="V9" s="60">
        <f>'DCWW CRAI'!V9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'DCWW CRAI'!C10</f>
        <v>7.6</v>
      </c>
      <c r="D10" s="60">
        <f>'DCWW CRAI'!D10</f>
        <v>7.7</v>
      </c>
      <c r="E10" s="60">
        <f>'DCWW CRAI'!E10</f>
        <v>7.9</v>
      </c>
      <c r="F10" s="60">
        <f>'DCWW CRAI'!F10</f>
        <v>0</v>
      </c>
      <c r="G10" s="60">
        <f>'DCWW CRAI'!G10</f>
        <v>0</v>
      </c>
      <c r="H10" s="60">
        <f>'DCWW CRAI'!H10</f>
        <v>0</v>
      </c>
      <c r="I10" s="60">
        <f>'DCWW CRAI'!I10</f>
        <v>0</v>
      </c>
      <c r="J10" s="60">
        <f>'DCWW CRAI'!J10</f>
        <v>0</v>
      </c>
      <c r="K10" s="60">
        <f>'DCWW CRAI'!K10</f>
        <v>0</v>
      </c>
      <c r="L10" s="60">
        <f>'DCWW CRAI'!L10</f>
        <v>0</v>
      </c>
      <c r="M10" s="60">
        <f>'DCWW CRAI'!M10</f>
        <v>0</v>
      </c>
      <c r="N10" s="60">
        <f>'DCWW CRAI'!N10</f>
        <v>0</v>
      </c>
      <c r="O10" s="60">
        <f>'DCWW CRAI'!O10</f>
        <v>0</v>
      </c>
      <c r="P10" s="60">
        <f>'DCWW CRAI'!P10</f>
        <v>0</v>
      </c>
      <c r="Q10" s="60">
        <f>'DCWW CRAI'!Q10</f>
        <v>0</v>
      </c>
      <c r="R10" s="60">
        <f>'DCWW CRAI'!R10</f>
        <v>0</v>
      </c>
      <c r="S10" s="60">
        <f>'DCWW CRAI'!S10</f>
        <v>0</v>
      </c>
      <c r="T10" s="60">
        <f>'DCWW CRAI'!T10</f>
        <v>0</v>
      </c>
      <c r="U10" s="60">
        <f>'DCWW CRAI'!U10</f>
        <v>0</v>
      </c>
      <c r="V10" s="60">
        <f>'DCWW CRAI'!V10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'DCWW CRAI'!C11</f>
        <v>3</v>
      </c>
      <c r="D11" s="60">
        <f>'DCWW CRAI'!D11</f>
        <v>3</v>
      </c>
      <c r="E11" s="60">
        <f>'DCWW CRAI'!E11</f>
        <v>4</v>
      </c>
      <c r="F11" s="60">
        <f>'DCWW CRAI'!F11</f>
        <v>0</v>
      </c>
      <c r="G11" s="60">
        <f>'DCWW CRAI'!G11</f>
        <v>0</v>
      </c>
      <c r="H11" s="60">
        <f>'DCWW CRAI'!H11</f>
        <v>0</v>
      </c>
      <c r="I11" s="60">
        <f>'DCWW CRAI'!I11</f>
        <v>0</v>
      </c>
      <c r="J11" s="60">
        <f>'DCWW CRAI'!J11</f>
        <v>0</v>
      </c>
      <c r="K11" s="60">
        <f>'DCWW CRAI'!K11</f>
        <v>0</v>
      </c>
      <c r="L11" s="60">
        <f>'DCWW CRAI'!L11</f>
        <v>0</v>
      </c>
      <c r="M11" s="60">
        <f>'DCWW CRAI'!M11</f>
        <v>0</v>
      </c>
      <c r="N11" s="60">
        <f>'DCWW CRAI'!N11</f>
        <v>0</v>
      </c>
      <c r="O11" s="60">
        <f>'DCWW CRAI'!O11</f>
        <v>0</v>
      </c>
      <c r="P11" s="60">
        <f>'DCWW CRAI'!P11</f>
        <v>0</v>
      </c>
      <c r="Q11" s="60">
        <f>'DCWW CRAI'!Q11</f>
        <v>0</v>
      </c>
      <c r="R11" s="60">
        <f>'DCWW CRAI'!R11</f>
        <v>0</v>
      </c>
      <c r="S11" s="60">
        <f>'DCWW CRAI'!S11</f>
        <v>0</v>
      </c>
      <c r="T11" s="60">
        <f>'DCWW CRAI'!T11</f>
        <v>0</v>
      </c>
      <c r="U11" s="60">
        <f>'DCWW CRAI'!U11</f>
        <v>0</v>
      </c>
      <c r="V11" s="60">
        <f>'DCWW CRAI'!V11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'DCWW CRAI'!C12</f>
        <v>3</v>
      </c>
      <c r="D12" s="60">
        <f>'DCWW CRAI'!D12</f>
        <v>3</v>
      </c>
      <c r="E12" s="60">
        <f>'DCWW CRAI'!E12</f>
        <v>3</v>
      </c>
      <c r="F12" s="60">
        <f>'DCWW CRAI'!F12</f>
        <v>0</v>
      </c>
      <c r="G12" s="60">
        <f>'DCWW CRAI'!G12</f>
        <v>0</v>
      </c>
      <c r="H12" s="60">
        <f>'DCWW CRAI'!H12</f>
        <v>0</v>
      </c>
      <c r="I12" s="60">
        <f>'DCWW CRAI'!I12</f>
        <v>0</v>
      </c>
      <c r="J12" s="60">
        <f>'DCWW CRAI'!J12</f>
        <v>0</v>
      </c>
      <c r="K12" s="60">
        <f>'DCWW CRAI'!K12</f>
        <v>0</v>
      </c>
      <c r="L12" s="60">
        <f>'DCWW CRAI'!L12</f>
        <v>0</v>
      </c>
      <c r="M12" s="60">
        <f>'DCWW CRAI'!M12</f>
        <v>0</v>
      </c>
      <c r="N12" s="60">
        <f>'DCWW CRAI'!N12</f>
        <v>0</v>
      </c>
      <c r="O12" s="60">
        <f>'DCWW CRAI'!O12</f>
        <v>0</v>
      </c>
      <c r="P12" s="60">
        <f>'DCWW CRAI'!P12</f>
        <v>0</v>
      </c>
      <c r="Q12" s="60">
        <f>'DCWW CRAI'!Q12</f>
        <v>0</v>
      </c>
      <c r="R12" s="60">
        <f>'DCWW CRAI'!R12</f>
        <v>0</v>
      </c>
      <c r="S12" s="60">
        <f>'DCWW CRAI'!S12</f>
        <v>0</v>
      </c>
      <c r="T12" s="60">
        <f>'DCWW CRAI'!T12</f>
        <v>0</v>
      </c>
      <c r="U12" s="60">
        <f>'DCWW CRAI'!U12</f>
        <v>0</v>
      </c>
      <c r="V12" s="60">
        <f>'DCWW CRAI'!V12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'DCWW CRAI'!C13</f>
        <v>3</v>
      </c>
      <c r="D13" s="60">
        <f>'DCWW CRAI'!D13</f>
        <v>4</v>
      </c>
      <c r="E13" s="60">
        <f>'DCWW CRAI'!E13</f>
        <v>3</v>
      </c>
      <c r="F13" s="60">
        <f>'DCWW CRAI'!F13</f>
        <v>0</v>
      </c>
      <c r="G13" s="60">
        <f>'DCWW CRAI'!G13</f>
        <v>0</v>
      </c>
      <c r="H13" s="60">
        <f>'DCWW CRAI'!H13</f>
        <v>0</v>
      </c>
      <c r="I13" s="60">
        <f>'DCWW CRAI'!I13</f>
        <v>0</v>
      </c>
      <c r="J13" s="60">
        <f>'DCWW CRAI'!J13</f>
        <v>0</v>
      </c>
      <c r="K13" s="60">
        <f>'DCWW CRAI'!K13</f>
        <v>0</v>
      </c>
      <c r="L13" s="60">
        <f>'DCWW CRAI'!L13</f>
        <v>0</v>
      </c>
      <c r="M13" s="60">
        <f>'DCWW CRAI'!M13</f>
        <v>0</v>
      </c>
      <c r="N13" s="60">
        <f>'DCWW CRAI'!N13</f>
        <v>0</v>
      </c>
      <c r="O13" s="60">
        <f>'DCWW CRAI'!O13</f>
        <v>0</v>
      </c>
      <c r="P13" s="60">
        <f>'DCWW CRAI'!P13</f>
        <v>0</v>
      </c>
      <c r="Q13" s="60">
        <f>'DCWW CRAI'!Q13</f>
        <v>0</v>
      </c>
      <c r="R13" s="60">
        <f>'DCWW CRAI'!R13</f>
        <v>0</v>
      </c>
      <c r="S13" s="60">
        <f>'DCWW CRAI'!S13</f>
        <v>0</v>
      </c>
      <c r="T13" s="60">
        <f>'DCWW CRAI'!T13</f>
        <v>0</v>
      </c>
      <c r="U13" s="60">
        <f>'DCWW CRAI'!U13</f>
        <v>0</v>
      </c>
      <c r="V13" s="60">
        <f>'DCWW CRAI'!V13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8" t="s">
        <v>8</v>
      </c>
      <c r="B14" s="138"/>
      <c r="C14" s="102" t="str">
        <f>'DCWW CRAI'!C14</f>
        <v xml:space="preserve">Winter wheat- grain only </v>
      </c>
      <c r="D14" s="102" t="str">
        <f>'DCWW CRAI'!D14</f>
        <v xml:space="preserve">Grass Silage (25% DM) </v>
      </c>
      <c r="E14" s="102" t="str">
        <f>'DCWW CRAI'!E14</f>
        <v xml:space="preserve">Grass Silage (25% DM) </v>
      </c>
      <c r="F14" s="102">
        <f>'DCWW CRAI'!F14</f>
        <v>0</v>
      </c>
      <c r="G14" s="102">
        <f>'DCWW CRAI'!G14</f>
        <v>0</v>
      </c>
      <c r="H14" s="102">
        <f>'DCWW CRAI'!H14</f>
        <v>0</v>
      </c>
      <c r="I14" s="102">
        <f>'DCWW CRAI'!I14</f>
        <v>0</v>
      </c>
      <c r="J14" s="102">
        <f>'DCWW CRAI'!J14</f>
        <v>0</v>
      </c>
      <c r="K14" s="102">
        <f>'DCWW CRAI'!K14</f>
        <v>0</v>
      </c>
      <c r="L14" s="102">
        <f>'DCWW CRAI'!L14</f>
        <v>0</v>
      </c>
      <c r="M14" s="102">
        <f>'DCWW CRAI'!M14</f>
        <v>0</v>
      </c>
      <c r="N14" s="102">
        <f>'DCWW CRAI'!N14</f>
        <v>0</v>
      </c>
      <c r="O14" s="102">
        <f>'DCWW CRAI'!O14</f>
        <v>0</v>
      </c>
      <c r="P14" s="102">
        <f>'DCWW CRAI'!P14</f>
        <v>0</v>
      </c>
      <c r="Q14" s="102">
        <f>'DCWW CRAI'!Q14</f>
        <v>0</v>
      </c>
      <c r="R14" s="102">
        <f>'DCWW CRAI'!R14</f>
        <v>0</v>
      </c>
      <c r="S14" s="102">
        <f>'DCWW CRAI'!S14</f>
        <v>0</v>
      </c>
      <c r="T14" s="102">
        <f>'DCWW CRAI'!T14</f>
        <v>0</v>
      </c>
      <c r="U14" s="102">
        <f>'DCWW CRAI'!U14</f>
        <v>0</v>
      </c>
      <c r="V14" s="102">
        <f>'DCWW CRAI'!V14</f>
        <v>0</v>
      </c>
      <c r="AD14" s="30" t="s">
        <v>138</v>
      </c>
      <c r="AE14" s="30">
        <v>6</v>
      </c>
      <c r="AI14" s="53" t="s">
        <v>119</v>
      </c>
      <c r="AJ14" s="54">
        <v>0.8</v>
      </c>
      <c r="AK14" s="55">
        <v>1.7</v>
      </c>
      <c r="AL14" s="11">
        <v>12</v>
      </c>
      <c r="AM14" s="11">
        <v>6.7</v>
      </c>
      <c r="AN14" s="11" t="s">
        <v>135</v>
      </c>
    </row>
    <row r="15" spans="1:41" x14ac:dyDescent="0.25">
      <c r="A15" s="137" t="s">
        <v>9</v>
      </c>
      <c r="B15" s="137"/>
      <c r="C15" s="60">
        <f>'DCWW CRAI'!C15</f>
        <v>8</v>
      </c>
      <c r="D15" s="60">
        <f>'DCWW CRAI'!D15</f>
        <v>38</v>
      </c>
      <c r="E15" s="60">
        <f>'DCWW CRAI'!E15</f>
        <v>38</v>
      </c>
      <c r="F15" s="60">
        <f>'DCWW CRAI'!F15</f>
        <v>0</v>
      </c>
      <c r="G15" s="60">
        <f>'DCWW CRAI'!G15</f>
        <v>0</v>
      </c>
      <c r="H15" s="60">
        <f>'DCWW CRAI'!H15</f>
        <v>0</v>
      </c>
      <c r="I15" s="60">
        <f>'DCWW CRAI'!I15</f>
        <v>0</v>
      </c>
      <c r="J15" s="60">
        <f>'DCWW CRAI'!J15</f>
        <v>0</v>
      </c>
      <c r="K15" s="60">
        <f>'DCWW CRAI'!K15</f>
        <v>0</v>
      </c>
      <c r="L15" s="60">
        <f>'DCWW CRAI'!L15</f>
        <v>0</v>
      </c>
      <c r="M15" s="60">
        <f>'DCWW CRAI'!M15</f>
        <v>0</v>
      </c>
      <c r="N15" s="60">
        <f>'DCWW CRAI'!N15</f>
        <v>0</v>
      </c>
      <c r="O15" s="60">
        <f>'DCWW CRAI'!O15</f>
        <v>0</v>
      </c>
      <c r="P15" s="60">
        <f>'DCWW CRAI'!P15</f>
        <v>0</v>
      </c>
      <c r="Q15" s="60">
        <f>'DCWW CRAI'!Q15</f>
        <v>0</v>
      </c>
      <c r="R15" s="60">
        <f>'DCWW CRAI'!R15</f>
        <v>0</v>
      </c>
      <c r="S15" s="60">
        <f>'DCWW CRAI'!S15</f>
        <v>0</v>
      </c>
      <c r="T15" s="60">
        <f>'DCWW CRAI'!T15</f>
        <v>0</v>
      </c>
      <c r="U15" s="60">
        <f>'DCWW CRAI'!U15</f>
        <v>0</v>
      </c>
      <c r="V15" s="60">
        <f>'DCWW CRAI'!V15</f>
        <v>0</v>
      </c>
      <c r="AD15" s="30" t="s">
        <v>144</v>
      </c>
      <c r="AE15" s="30">
        <v>7</v>
      </c>
      <c r="AI15" s="53" t="s">
        <v>101</v>
      </c>
      <c r="AJ15" s="62">
        <v>1.8</v>
      </c>
      <c r="AK15" s="55">
        <v>5.4</v>
      </c>
      <c r="AL15" s="11">
        <v>13</v>
      </c>
      <c r="AM15" s="11">
        <v>6.7</v>
      </c>
      <c r="AN15" s="11" t="s">
        <v>135</v>
      </c>
    </row>
    <row r="16" spans="1:41" ht="13.8" thickBot="1" x14ac:dyDescent="0.3">
      <c r="A16" s="139" t="s">
        <v>44</v>
      </c>
      <c r="B16" s="139"/>
      <c r="C16" s="103" t="str">
        <f>'DCWW CRAI'!C16</f>
        <v>Medium/Clay</v>
      </c>
      <c r="D16" s="103" t="str">
        <f>'DCWW CRAI'!D16</f>
        <v>Medium/Clay</v>
      </c>
      <c r="E16" s="103" t="str">
        <f>'DCWW CRAI'!E16</f>
        <v>Medium/Clay</v>
      </c>
      <c r="F16" s="103">
        <f>'DCWW CRAI'!F16</f>
        <v>0</v>
      </c>
      <c r="G16" s="103">
        <f>'DCWW CRAI'!G16</f>
        <v>0</v>
      </c>
      <c r="H16" s="103">
        <f>'DCWW CRAI'!H16</f>
        <v>0</v>
      </c>
      <c r="I16" s="103">
        <f>'DCWW CRAI'!I16</f>
        <v>0</v>
      </c>
      <c r="J16" s="103">
        <f>'DCWW CRAI'!J16</f>
        <v>0</v>
      </c>
      <c r="K16" s="103">
        <f>'DCWW CRAI'!K16</f>
        <v>0</v>
      </c>
      <c r="L16" s="103">
        <f>'DCWW CRAI'!L16</f>
        <v>0</v>
      </c>
      <c r="M16" s="103">
        <f>'DCWW CRAI'!M16</f>
        <v>0</v>
      </c>
      <c r="N16" s="103">
        <f>'DCWW CRAI'!N16</f>
        <v>0</v>
      </c>
      <c r="O16" s="103">
        <f>'DCWW CRAI'!O16</f>
        <v>0</v>
      </c>
      <c r="P16" s="103">
        <f>'DCWW CRAI'!P16</f>
        <v>0</v>
      </c>
      <c r="Q16" s="103">
        <f>'DCWW CRAI'!Q16</f>
        <v>0</v>
      </c>
      <c r="R16" s="103">
        <f>'DCWW CRAI'!R16</f>
        <v>0</v>
      </c>
      <c r="S16" s="103">
        <f>'DCWW CRAI'!S16</f>
        <v>0</v>
      </c>
      <c r="T16" s="103">
        <f>'DCWW CRAI'!T16</f>
        <v>0</v>
      </c>
      <c r="U16" s="103">
        <f>'DCWW CRAI'!U16</f>
        <v>0</v>
      </c>
      <c r="V16" s="103">
        <f>'DCWW CRAI'!V16</f>
        <v>0</v>
      </c>
      <c r="AD16" s="52" t="s">
        <v>145</v>
      </c>
      <c r="AE16" s="30">
        <v>8</v>
      </c>
      <c r="AI16" s="53" t="s">
        <v>118</v>
      </c>
      <c r="AJ16" s="54">
        <v>8</v>
      </c>
      <c r="AK16" s="55">
        <v>5.5</v>
      </c>
      <c r="AL16" s="12">
        <v>14</v>
      </c>
      <c r="AM16" s="11">
        <v>6.7</v>
      </c>
      <c r="AN16" s="11" t="s">
        <v>135</v>
      </c>
    </row>
    <row r="17" spans="1:40" x14ac:dyDescent="0.25">
      <c r="A17" s="135" t="s">
        <v>69</v>
      </c>
      <c r="B17" s="136"/>
      <c r="C17" s="28">
        <f>(VLOOKUP(C$14,$AI2:$AK26,2,FALSE))*C$15</f>
        <v>52</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3" t="s">
        <v>23</v>
      </c>
      <c r="B18" s="134"/>
      <c r="C18" s="16">
        <f>$D31</f>
        <v>2.3147118499999997</v>
      </c>
      <c r="D18" s="16">
        <f>$D32</f>
        <v>2.3147118499999997</v>
      </c>
      <c r="E18" s="16">
        <f>$D33</f>
        <v>2.3147118499999997</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3" t="s">
        <v>90</v>
      </c>
      <c r="B19" s="134"/>
      <c r="C19" s="16">
        <f>C18-C17</f>
        <v>-49.685288149999998</v>
      </c>
      <c r="D19" s="16">
        <f t="shared" ref="D19:V19" si="1">D18-D17</f>
        <v>-62.285288149999992</v>
      </c>
      <c r="E19" s="16">
        <f t="shared" si="1"/>
        <v>-62.285288149999992</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5" t="s">
        <v>88</v>
      </c>
      <c r="B21" s="136"/>
      <c r="C21" s="28">
        <f>(VLOOKUP(C$14,$AI2:$AK26,3,FALSE))*C$15</f>
        <v>44</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3" t="s">
        <v>89</v>
      </c>
      <c r="B22" s="134"/>
      <c r="C22" s="16">
        <f>$E31</f>
        <v>2.7066107500000003</v>
      </c>
      <c r="D22" s="16">
        <f>$E32</f>
        <v>2.7066107500000003</v>
      </c>
      <c r="E22" s="16">
        <f>$E33</f>
        <v>2.7066107500000003</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3" t="s">
        <v>92</v>
      </c>
      <c r="B23" s="134"/>
      <c r="C23" s="16">
        <f>C22-C21</f>
        <v>-41.293389249999997</v>
      </c>
      <c r="D23" s="16">
        <f t="shared" ref="D23:V23" si="3">D22-D21</f>
        <v>-225.29338924999999</v>
      </c>
      <c r="E23" s="16">
        <f t="shared" si="3"/>
        <v>-225.29338924999999</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1" t="s">
        <v>93</v>
      </c>
      <c r="B24" s="132"/>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1.67</v>
      </c>
      <c r="C28" s="15">
        <v>0.63</v>
      </c>
      <c r="D28" s="15">
        <v>2.4199999999999999E-2</v>
      </c>
      <c r="E28" s="15">
        <v>5.3800000000000001E-2</v>
      </c>
      <c r="F28" s="15">
        <v>966</v>
      </c>
      <c r="G28" s="15">
        <v>31</v>
      </c>
      <c r="H28" s="15">
        <v>197</v>
      </c>
      <c r="I28" s="15">
        <v>13</v>
      </c>
      <c r="J28" s="15">
        <v>0.71</v>
      </c>
      <c r="K28" s="23">
        <v>1.21</v>
      </c>
      <c r="L28" s="15">
        <v>5.19</v>
      </c>
      <c r="M28" s="15">
        <v>9.4600000000000009</v>
      </c>
      <c r="N28" s="15">
        <v>3640</v>
      </c>
      <c r="O28" s="15">
        <v>478000</v>
      </c>
      <c r="P28" s="15"/>
      <c r="Q28" s="15">
        <v>4740</v>
      </c>
      <c r="R28" s="15"/>
      <c r="S28" s="15">
        <v>32.5</v>
      </c>
      <c r="T28" s="15"/>
      <c r="U28" s="15"/>
    </row>
    <row r="29" spans="1:40" s="7" customFormat="1" ht="28.8" x14ac:dyDescent="0.3">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3</v>
      </c>
      <c r="B31" s="15">
        <v>250</v>
      </c>
      <c r="C31" s="77">
        <f>IF(C$27="%w/w SAR",((C$28*10)*$B31),IF(C$27="%w/w DM",(((C$28*10)*($B$28/100))*$B31),IF(C$27="kg/t SAR",(C$28*$B31),IF(C$27="kg/t DM",((C$28*($B$28/100))*$B31),IF(C$27="mg/kg SAR",((C$28*0.001)*$B31),IF(C$27="mg/kg DM",(((C$28*0.001)*($B$28/100))*$B31),0))))))</f>
        <v>26.302499999999998</v>
      </c>
      <c r="D31" s="77">
        <f>(IF(D$27="%w/w SAR",((D$28*10)*$B31),IF(D$27="%w/w DM",(((D$28*10)*($B$28/100))*$B31),IF(D$27="kg/t SAR",(D$28*$B31),IF(D$27="kg/t DM",((D$28*($B$28/100))*$B31),IF(D$27="mg/kg SAR",((D$28*0.001)*$B31),IF(D$27="mg/kg DM",(((D$28*0.001)*($B$28/100))*$B31),"0")))))))*2.291</f>
        <v>2.3147118499999997</v>
      </c>
      <c r="E31" s="77">
        <f>(IF(E$27="%w/w SAR",((E$28*10)*$B31),IF(E$27="%w/w DM",(((E$28*10)*($B$28/100))*$B31),IF(E$27="kg/t SAR",(E$28*$B31),IF(E$27="kg/t DM",((E$28*($B$28/100))*$B31),IF(E$27="mg/kg SAR",((E$28*0.001)*$B31),IF(E$27="mg/kg DM",(((E$28*0.001)*($B$28/100))*$B31),"0")))))))*1.205</f>
        <v>2.7066107500000003</v>
      </c>
      <c r="F31" s="77">
        <f>(IF(F$27="%w/w SAR",((F$28*10)*$B31),IF(F$27="%w/w DM",(((F$28*10)*($B$28/100))*$B31),IF(F$27="kg/t SAR",(F$28*$B31),IF(F$27="kg/t DM",((F$28*($B$28/100))*$B31),IF(F$27="mg/kg SAR",((F$28*0.001)*$B31),IF(F$27="mg/kg DM",(((F$28*0.001)*($B$28/100))*$B31),"0")))))))*1.658</f>
        <v>6.6867969</v>
      </c>
      <c r="G31" s="77">
        <f t="shared" ref="G31:P46" si="5">IF(G$27="%w/w SAR",((G$28*10)*$B31),IF(G$27="%w/w DM",(((G$28*10)*($B$28/100))*$B31),IF(G$27="kg/t SAR",(G$28*$B31),IF(G$27="kg/t DM",((G$28*($B$28/100))*$B31),IF(G$27="mg/kg SAR",((G$28*0.001)*$B31),IF(G$27="mg/kg DM",(((G$28*0.001)*($B$28/100))*$B31),0))))))</f>
        <v>0.12942499999999998</v>
      </c>
      <c r="H31" s="77">
        <f t="shared" si="5"/>
        <v>0.82247500000000007</v>
      </c>
      <c r="I31" s="77">
        <f t="shared" si="5"/>
        <v>5.4275000000000004E-2</v>
      </c>
      <c r="J31" s="77">
        <f t="shared" si="5"/>
        <v>2.9642499999999999E-3</v>
      </c>
      <c r="K31" s="77">
        <f t="shared" si="5"/>
        <v>5.0517499999999998E-3</v>
      </c>
      <c r="L31" s="77">
        <f t="shared" si="5"/>
        <v>2.166825E-2</v>
      </c>
      <c r="M31" s="77">
        <f t="shared" si="5"/>
        <v>3.9495500000000003E-2</v>
      </c>
      <c r="N31" s="77">
        <f t="shared" si="5"/>
        <v>15.197000000000001</v>
      </c>
      <c r="O31" s="77">
        <f t="shared" si="5"/>
        <v>1995.6499999999999</v>
      </c>
      <c r="P31" s="77">
        <f t="shared" si="5"/>
        <v>0</v>
      </c>
      <c r="Q31" s="77">
        <f>(IF(Q$27="%w/w SAR",((Q$28*10)*$B31),IF(Q$27="%w/w DM",(((Q$28*10)*($B$28/100))*$B31),IF(Q$27="kg/t SAR",(Q$28*$B31),IF(Q$27="kg/t DM",((Q$28*($B$28/100))*$B31),IF(Q$27="mg/kg SAR",((Q$28*0.001)*$B31),IF(Q$27="mg/kg DM",(((Q$28*0.001)*($B$28/100))*$B31),0)))))))*2.5</f>
        <v>49.473750000000003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0.13568750000000002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5AB</v>
      </c>
      <c r="B32" s="15">
        <v>250</v>
      </c>
      <c r="C32" s="77">
        <f t="shared" ref="C32:C50" si="6">IF(C$27="%w/w SAR",((C$28*10)*$B32),IF(C$27="%w/w DM",(((C$28*10)*($B$28/100))*$B32),IF(C$27="kg/t SAR",(C$28*$B32),IF(C$27="kg/t DM",((C$28*($B$28/100))*$B32),IF(C$27="mg/kg SAR",((C$28*0.001)*$B32),IF(C$27="mg/kg DM",(((C$28*0.001)*($B$28/100))*$B32),0))))))</f>
        <v>26.302499999999998</v>
      </c>
      <c r="D32" s="77">
        <f t="shared" ref="D32:D50" si="7">(IF(D$27="%w/w SAR",((D$28*10)*$B32),IF(D$27="%w/w DM",(((D$28*10)*($B$28/100))*$B32),IF(D$27="kg/t SAR",(D$28*$B32),IF(D$27="kg/t DM",((D$28*($B$28/100))*$B32),IF(D$27="mg/kg SAR",((D$28*0.001)*$B32),IF(D$27="mg/kg DM",(((D$28*0.001)*($B$28/100))*$B32),"0")))))))*2.291</f>
        <v>2.3147118499999997</v>
      </c>
      <c r="E32" s="77">
        <f t="shared" ref="E32:E50" si="8">(IF(E$27="%w/w SAR",((E$28*10)*$B32),IF(E$27="%w/w DM",(((E$28*10)*($B$28/100))*$B32),IF(E$27="kg/t SAR",(E$28*$B32),IF(E$27="kg/t DM",((E$28*($B$28/100))*$B32),IF(E$27="mg/kg SAR",((E$28*0.001)*$B32),IF(E$27="mg/kg DM",(((E$28*0.001)*($B$28/100))*$B32),"0")))))))*1.205</f>
        <v>2.7066107500000003</v>
      </c>
      <c r="F32" s="77">
        <f t="shared" ref="F32:F50" si="9">(IF(F$27="%w/w SAR",((F$28*10)*$B32),IF(F$27="%w/w DM",(((F$28*10)*($B$28/100))*$B32),IF(F$27="kg/t SAR",(F$28*$B32),IF(F$27="kg/t DM",((F$28*($B$28/100))*$B32),IF(F$27="mg/kg SAR",((F$28*0.001)*$B32),IF(F$27="mg/kg DM",(((F$28*0.001)*($B$28/100))*$B32),"0")))))))*1.658</f>
        <v>6.6867969</v>
      </c>
      <c r="G32" s="77">
        <f t="shared" si="5"/>
        <v>0.12942499999999998</v>
      </c>
      <c r="H32" s="77">
        <f t="shared" si="5"/>
        <v>0.82247500000000007</v>
      </c>
      <c r="I32" s="77">
        <f t="shared" si="5"/>
        <v>5.4275000000000004E-2</v>
      </c>
      <c r="J32" s="77">
        <f t="shared" si="5"/>
        <v>2.9642499999999999E-3</v>
      </c>
      <c r="K32" s="77">
        <f t="shared" si="5"/>
        <v>5.0517499999999998E-3</v>
      </c>
      <c r="L32" s="77">
        <f t="shared" si="5"/>
        <v>2.166825E-2</v>
      </c>
      <c r="M32" s="77">
        <f t="shared" si="5"/>
        <v>3.9495500000000003E-2</v>
      </c>
      <c r="N32" s="77">
        <f t="shared" si="5"/>
        <v>15.197000000000001</v>
      </c>
      <c r="O32" s="77">
        <f t="shared" si="5"/>
        <v>1995.6499999999999</v>
      </c>
      <c r="P32" s="77">
        <f t="shared" si="5"/>
        <v>0</v>
      </c>
      <c r="Q32" s="77">
        <f t="shared" ref="Q32:Q50" si="10">(IF(Q$27="%w/w SAR",((Q$28*10)*$B32),IF(Q$27="%w/w DM",(((Q$28*10)*($B$28/100))*$B32),IF(Q$27="kg/t SAR",(Q$28*$B32),IF(Q$27="kg/t DM",((Q$28*($B$28/100))*$B32),IF(Q$27="mg/kg SAR",((Q$28*0.001)*$B32),IF(Q$27="mg/kg DM",(((Q$28*0.001)*($B$28/100))*$B32),0)))))))*2.5</f>
        <v>49.473750000000003</v>
      </c>
      <c r="R32" s="77">
        <f t="shared" ref="R32:U50" si="11">IF(R$27="%w/w SAR",((R$28*10)*$B32),IF(R$27="%w/w DM",(((R$28*10)*($B$28/100))*$B32),IF(R$27="kg/t SAR",(R$28*$B32),IF(R$27="kg/t DM",((R$28*($B$28/100))*$B32),IF(R$27="mg/kg SAR",((R$28*0.001)*$B32),IF(R$27="mg/kg DM",(((R$28*0.001)*($B$28/100))*$B32),0))))))</f>
        <v>0</v>
      </c>
      <c r="S32" s="77">
        <f t="shared" si="11"/>
        <v>0.13568750000000002</v>
      </c>
      <c r="T32" s="77">
        <f t="shared" si="11"/>
        <v>0</v>
      </c>
      <c r="U32" s="77">
        <f t="shared" si="11"/>
        <v>0</v>
      </c>
      <c r="AB32" s="59"/>
      <c r="AC32" s="59"/>
      <c r="AD32" s="59"/>
      <c r="AE32" s="59"/>
      <c r="AF32" s="59"/>
      <c r="AG32" s="59"/>
      <c r="AH32" s="59"/>
      <c r="AI32" s="59"/>
    </row>
    <row r="33" spans="1:35" s="72" customFormat="1" x14ac:dyDescent="0.3">
      <c r="A33" s="13" t="str">
        <f>E8</f>
        <v>6ABC</v>
      </c>
      <c r="B33" s="15">
        <v>250</v>
      </c>
      <c r="C33" s="77">
        <f t="shared" si="6"/>
        <v>26.302499999999998</v>
      </c>
      <c r="D33" s="77">
        <f t="shared" si="7"/>
        <v>2.3147118499999997</v>
      </c>
      <c r="E33" s="77">
        <f t="shared" si="8"/>
        <v>2.7066107500000003</v>
      </c>
      <c r="F33" s="77">
        <f t="shared" si="9"/>
        <v>6.6867969</v>
      </c>
      <c r="G33" s="77">
        <f t="shared" si="5"/>
        <v>0.12942499999999998</v>
      </c>
      <c r="H33" s="77">
        <f t="shared" si="5"/>
        <v>0.82247500000000007</v>
      </c>
      <c r="I33" s="77">
        <f t="shared" si="5"/>
        <v>5.4275000000000004E-2</v>
      </c>
      <c r="J33" s="77">
        <f t="shared" si="5"/>
        <v>2.9642499999999999E-3</v>
      </c>
      <c r="K33" s="77">
        <f t="shared" si="5"/>
        <v>5.0517499999999998E-3</v>
      </c>
      <c r="L33" s="77">
        <f t="shared" si="5"/>
        <v>2.166825E-2</v>
      </c>
      <c r="M33" s="77">
        <f t="shared" si="5"/>
        <v>3.9495500000000003E-2</v>
      </c>
      <c r="N33" s="77">
        <f t="shared" si="5"/>
        <v>15.197000000000001</v>
      </c>
      <c r="O33" s="77">
        <f t="shared" si="5"/>
        <v>1995.6499999999999</v>
      </c>
      <c r="P33" s="77">
        <f t="shared" si="5"/>
        <v>0</v>
      </c>
      <c r="Q33" s="77">
        <f t="shared" si="10"/>
        <v>49.473750000000003</v>
      </c>
      <c r="R33" s="77">
        <f t="shared" si="11"/>
        <v>0</v>
      </c>
      <c r="S33" s="77">
        <f t="shared" si="11"/>
        <v>0.13568750000000002</v>
      </c>
      <c r="T33" s="77">
        <f t="shared" si="11"/>
        <v>0</v>
      </c>
      <c r="U33" s="77">
        <f t="shared" si="11"/>
        <v>0</v>
      </c>
      <c r="AB33" s="59"/>
      <c r="AC33" s="59"/>
      <c r="AD33" s="59"/>
      <c r="AE33" s="59"/>
      <c r="AF33" s="59"/>
      <c r="AG33" s="59"/>
      <c r="AH33" s="59"/>
      <c r="AI33" s="59"/>
    </row>
    <row r="34" spans="1:35" s="72" customFormat="1" x14ac:dyDescent="0.3">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3</v>
      </c>
      <c r="C57" s="8" t="str">
        <f t="shared" ref="C57:U57" si="13">D8</f>
        <v>5AB</v>
      </c>
      <c r="D57" s="8" t="str">
        <f t="shared" si="13"/>
        <v>6ABC</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Arable</v>
      </c>
      <c r="C58" s="13" t="str">
        <f>D16&amp;" I "&amp;(VLOOKUP(D14,Table24581114[],6,FALSE))</f>
        <v>Medium/Clay I Grass</v>
      </c>
      <c r="D58" s="13" t="str">
        <f>E16&amp;" I "&amp;(VLOOKUP(E14,Table24581114[],6,FALSE))</f>
        <v>Medium/Clay I Grass</v>
      </c>
      <c r="E58" s="13" t="e">
        <f>F16&amp;" I "&amp;(VLOOKUP(F14,Table24581114[],6,FALSE))</f>
        <v>#N/A</v>
      </c>
      <c r="F58" s="13" t="e">
        <f>G16&amp;" I "&amp;(VLOOKUP(G14,Table24581114[],6,FALSE))</f>
        <v>#N/A</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6.7</v>
      </c>
      <c r="C59" s="76">
        <f>VLOOKUP(D$14,Table24581114[],5,FALSE)</f>
        <v>6.2</v>
      </c>
      <c r="D59" s="76">
        <f>VLOOKUP(E$14,Table24581114[],5,FALSE)</f>
        <v>6.2</v>
      </c>
      <c r="E59" s="76" t="e">
        <f>VLOOKUP(F$14,Table24581114[],5,FALSE)</f>
        <v>#N/A</v>
      </c>
      <c r="F59" s="76" t="e">
        <f>VLOOKUP(G$14,Table24581114[],5,FALSE)</f>
        <v>#N/A</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1" t="s">
        <v>4</v>
      </c>
      <c r="B60" s="76">
        <f>C10</f>
        <v>7.6</v>
      </c>
      <c r="C60" s="76">
        <f t="shared" ref="C60:U60" si="14">D10</f>
        <v>7.7</v>
      </c>
      <c r="D60" s="76">
        <f t="shared" si="14"/>
        <v>7.9</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-9</v>
      </c>
      <c r="D64" s="77">
        <f t="shared" si="17"/>
        <v>-10.200000000000001</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9</v>
      </c>
      <c r="D65" s="77">
        <f t="shared" si="18"/>
        <v>10.200000000000001</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9" priority="38" operator="equal">
      <formula>"DECREASE"</formula>
    </cfRule>
    <cfRule type="cellIs" dxfId="168" priority="39" operator="equal">
      <formula>"INCREASE"</formula>
    </cfRule>
  </conditionalFormatting>
  <conditionalFormatting sqref="B34:B50 B62:U66">
    <cfRule type="cellIs" dxfId="167" priority="37" operator="greaterThan">
      <formula>$B$51</formula>
    </cfRule>
  </conditionalFormatting>
  <conditionalFormatting sqref="C31:C50">
    <cfRule type="cellIs" dxfId="166" priority="36" operator="greaterThan">
      <formula>$C$51</formula>
    </cfRule>
  </conditionalFormatting>
  <conditionalFormatting sqref="C18:V18">
    <cfRule type="cellIs" dxfId="165" priority="35" operator="equal">
      <formula>0</formula>
    </cfRule>
  </conditionalFormatting>
  <conditionalFormatting sqref="C17:V17">
    <cfRule type="cellIs" dxfId="164" priority="34" operator="equal">
      <formula>0</formula>
    </cfRule>
  </conditionalFormatting>
  <conditionalFormatting sqref="C19:V19">
    <cfRule type="cellIs" dxfId="163" priority="33" operator="equal">
      <formula>0</formula>
    </cfRule>
  </conditionalFormatting>
  <conditionalFormatting sqref="G31:G50">
    <cfRule type="cellIs" dxfId="162" priority="32" operator="greaterThan">
      <formula>$G$51</formula>
    </cfRule>
  </conditionalFormatting>
  <conditionalFormatting sqref="H31:H50">
    <cfRule type="cellIs" dxfId="161" priority="31" operator="greaterThan">
      <formula>$H$51</formula>
    </cfRule>
  </conditionalFormatting>
  <conditionalFormatting sqref="I31:I50">
    <cfRule type="cellIs" dxfId="160" priority="30" operator="greaterThan">
      <formula>$I$51</formula>
    </cfRule>
  </conditionalFormatting>
  <conditionalFormatting sqref="K31:K50">
    <cfRule type="cellIs" dxfId="159" priority="29" operator="greaterThan">
      <formula>$K$51</formula>
    </cfRule>
  </conditionalFormatting>
  <conditionalFormatting sqref="L31:L50">
    <cfRule type="cellIs" dxfId="158" priority="28" operator="greaterThan">
      <formula>$L$51</formula>
    </cfRule>
  </conditionalFormatting>
  <conditionalFormatting sqref="M31:M50">
    <cfRule type="cellIs" dxfId="157" priority="27" operator="greaterThan">
      <formula>$M$51</formula>
    </cfRule>
  </conditionalFormatting>
  <conditionalFormatting sqref="P31:P50">
    <cfRule type="cellIs" dxfId="156" priority="26" operator="greaterThan">
      <formula>$P$51</formula>
    </cfRule>
  </conditionalFormatting>
  <conditionalFormatting sqref="R31:R50">
    <cfRule type="cellIs" dxfId="155" priority="25" operator="greaterThan">
      <formula>$R$51</formula>
    </cfRule>
  </conditionalFormatting>
  <conditionalFormatting sqref="S31:S50">
    <cfRule type="cellIs" dxfId="154" priority="24" operator="greaterThan">
      <formula>$S$51</formula>
    </cfRule>
  </conditionalFormatting>
  <conditionalFormatting sqref="T31:T50">
    <cfRule type="cellIs" dxfId="153" priority="23" operator="greaterThan">
      <formula>$T$51</formula>
    </cfRule>
  </conditionalFormatting>
  <conditionalFormatting sqref="U31:U50">
    <cfRule type="cellIs" dxfId="152" priority="22" operator="greaterThan">
      <formula>$U$51</formula>
    </cfRule>
  </conditionalFormatting>
  <conditionalFormatting sqref="C22:V22">
    <cfRule type="cellIs" dxfId="151" priority="21" operator="equal">
      <formula>0</formula>
    </cfRule>
  </conditionalFormatting>
  <conditionalFormatting sqref="C24:V24">
    <cfRule type="cellIs" dxfId="150" priority="19" operator="equal">
      <formula>"DECREASE"</formula>
    </cfRule>
    <cfRule type="cellIs" dxfId="149" priority="20" operator="equal">
      <formula>"INCREASE"</formula>
    </cfRule>
  </conditionalFormatting>
  <conditionalFormatting sqref="C23:V23">
    <cfRule type="cellIs" dxfId="148" priority="18" operator="equal">
      <formula>0</formula>
    </cfRule>
  </conditionalFormatting>
  <conditionalFormatting sqref="C21:V21">
    <cfRule type="cellIs" dxfId="147" priority="14" operator="equal">
      <formula>0</formula>
    </cfRule>
  </conditionalFormatting>
  <conditionalFormatting sqref="B66:U66">
    <cfRule type="cellIs" dxfId="146" priority="12" operator="equal">
      <formula>"UNDER"</formula>
    </cfRule>
    <cfRule type="cellIs" dxfId="145" priority="13" operator="equal">
      <formula>"OVER"</formula>
    </cfRule>
  </conditionalFormatting>
  <conditionalFormatting sqref="J31:J50">
    <cfRule type="cellIs" dxfId="144" priority="9" operator="greaterThan">
      <formula>$J$51</formula>
    </cfRule>
  </conditionalFormatting>
  <conditionalFormatting sqref="L3">
    <cfRule type="cellIs" dxfId="143" priority="5" operator="lessThan">
      <formula>30</formula>
    </cfRule>
    <cfRule type="cellIs" dxfId="142" priority="6" operator="greaterThanOrEqual">
      <formula>30</formula>
    </cfRule>
  </conditionalFormatting>
  <conditionalFormatting sqref="I1">
    <cfRule type="cellIs" dxfId="141" priority="4" operator="between">
      <formula>0.1</formula>
      <formula>5</formula>
    </cfRule>
  </conditionalFormatting>
  <conditionalFormatting sqref="I2">
    <cfRule type="cellIs" dxfId="140" priority="3" operator="greaterThan">
      <formula>5000.1</formula>
    </cfRule>
  </conditionalFormatting>
  <conditionalFormatting sqref="I3">
    <cfRule type="cellIs" dxfId="139" priority="2" operator="greaterThan">
      <formula>40000.01</formula>
    </cfRule>
  </conditionalFormatting>
  <conditionalFormatting sqref="B31:B33">
    <cfRule type="cellIs" dxfId="138" priority="1" operator="greaterThan">
      <formula>$B$51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F1" sqref="F1"/>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9" t="s">
        <v>41</v>
      </c>
      <c r="B1" s="129"/>
      <c r="C1" s="142" t="str">
        <f>'DCWW CRAI'!C1:D1</f>
        <v>PAN-024175</v>
      </c>
      <c r="D1" s="143"/>
      <c r="E1" s="93" t="s">
        <v>45</v>
      </c>
      <c r="F1" s="39">
        <f>'DCWW CRAI'!F1</f>
        <v>45.52</v>
      </c>
      <c r="G1" s="125" t="s">
        <v>43</v>
      </c>
      <c r="H1" s="126"/>
      <c r="I1" s="118">
        <v>6.6</v>
      </c>
      <c r="J1" s="129" t="s">
        <v>153</v>
      </c>
      <c r="K1" s="129"/>
      <c r="L1" s="97">
        <v>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4" t="str">
        <f>'DCWW CRAI'!C2:D2</f>
        <v>EPR/GP3792SK</v>
      </c>
      <c r="D2" s="145"/>
      <c r="E2" s="93" t="s">
        <v>109</v>
      </c>
      <c r="F2" s="119" t="s">
        <v>165</v>
      </c>
      <c r="G2" s="127" t="s">
        <v>110</v>
      </c>
      <c r="H2" s="128"/>
      <c r="I2" s="118"/>
      <c r="J2" s="129" t="s">
        <v>158</v>
      </c>
      <c r="K2" s="129"/>
      <c r="L2" s="97">
        <v>0.19700000000000001</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4" t="str">
        <f>'DCWW CRAI'!C3:D3</f>
        <v>BYPRODUCT RECOVERY LIMITED</v>
      </c>
      <c r="D3" s="145"/>
      <c r="E3" s="93" t="s">
        <v>108</v>
      </c>
      <c r="F3" s="31" t="s">
        <v>78</v>
      </c>
      <c r="G3" s="129" t="s">
        <v>159</v>
      </c>
      <c r="H3" s="129"/>
      <c r="I3" s="118"/>
      <c r="J3" s="125" t="s">
        <v>154</v>
      </c>
      <c r="K3" s="126"/>
      <c r="L3" s="97">
        <f>(L1/(L2*10000))*100</f>
        <v>6.5989847715736047</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2" t="str">
        <f>'DCWW CRAI'!C4:D4</f>
        <v>Rosedew Farm, Llantwit Major, CF61 1PZ</v>
      </c>
      <c r="D4" s="143"/>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2" t="str">
        <f>'DCWW CRAI'!C5:D5</f>
        <v>Owen Clee</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'DCWW CRAI'!C8</f>
        <v>3</v>
      </c>
      <c r="D8" s="60" t="str">
        <f>'DCWW CRAI'!D8</f>
        <v>5AB</v>
      </c>
      <c r="E8" s="60" t="str">
        <f>'DCWW CRAI'!E8</f>
        <v>6ABC</v>
      </c>
      <c r="F8" s="60">
        <f>'DCWW CRAI'!F8</f>
        <v>0</v>
      </c>
      <c r="G8" s="60">
        <f>'DCWW CRAI'!G8</f>
        <v>0</v>
      </c>
      <c r="H8" s="60">
        <f>'DCWW CRAI'!H8</f>
        <v>0</v>
      </c>
      <c r="I8" s="60">
        <f>'DCWW CRAI'!I8</f>
        <v>0</v>
      </c>
      <c r="J8" s="60">
        <f>'DCWW CRAI'!J8</f>
        <v>0</v>
      </c>
      <c r="K8" s="60">
        <f>'DCWW CRAI'!K8</f>
        <v>0</v>
      </c>
      <c r="L8" s="60">
        <f>'DCWW CRAI'!L8</f>
        <v>0</v>
      </c>
      <c r="M8" s="60">
        <f>'DCWW CRAI'!M8</f>
        <v>0</v>
      </c>
      <c r="N8" s="60">
        <f>'DCWW CRAI'!N8</f>
        <v>0</v>
      </c>
      <c r="O8" s="60">
        <f>'DCWW CRAI'!O8</f>
        <v>0</v>
      </c>
      <c r="P8" s="60">
        <f>'DCWW CRAI'!P8</f>
        <v>0</v>
      </c>
      <c r="Q8" s="60">
        <f>'DCWW CRAI'!Q8</f>
        <v>0</v>
      </c>
      <c r="R8" s="60">
        <f>'DCWW CRAI'!R8</f>
        <v>0</v>
      </c>
      <c r="S8" s="60">
        <f>'DCWW CRAI'!S8</f>
        <v>0</v>
      </c>
      <c r="T8" s="60">
        <f>'DCWW CRAI'!T8</f>
        <v>0</v>
      </c>
      <c r="U8" s="60">
        <f>'DCWW CRAI'!U8</f>
        <v>0</v>
      </c>
      <c r="V8" s="60">
        <f>'DCWW CRAI'!V8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'DCWW CRAI'!C9</f>
        <v>1</v>
      </c>
      <c r="D9" s="60" t="str">
        <f>'DCWW CRAI'!D9</f>
        <v>Moderate</v>
      </c>
      <c r="E9" s="60" t="str">
        <f>'DCWW CRAI'!E9</f>
        <v>Moderate</v>
      </c>
      <c r="F9" s="60">
        <f>'DCWW CRAI'!F9</f>
        <v>0</v>
      </c>
      <c r="G9" s="60">
        <f>'DCWW CRAI'!G9</f>
        <v>0</v>
      </c>
      <c r="H9" s="60">
        <f>'DCWW CRAI'!H9</f>
        <v>0</v>
      </c>
      <c r="I9" s="60">
        <f>'DCWW CRAI'!I9</f>
        <v>0</v>
      </c>
      <c r="J9" s="60">
        <f>'DCWW CRAI'!J9</f>
        <v>0</v>
      </c>
      <c r="K9" s="60">
        <f>'DCWW CRAI'!K9</f>
        <v>0</v>
      </c>
      <c r="L9" s="60">
        <f>'DCWW CRAI'!L9</f>
        <v>0</v>
      </c>
      <c r="M9" s="60">
        <f>'DCWW CRAI'!M9</f>
        <v>0</v>
      </c>
      <c r="N9" s="60">
        <f>'DCWW CRAI'!N9</f>
        <v>0</v>
      </c>
      <c r="O9" s="60">
        <f>'DCWW CRAI'!O9</f>
        <v>0</v>
      </c>
      <c r="P9" s="60">
        <f>'DCWW CRAI'!P9</f>
        <v>0</v>
      </c>
      <c r="Q9" s="60">
        <f>'DCWW CRAI'!Q9</f>
        <v>0</v>
      </c>
      <c r="R9" s="60">
        <f>'DCWW CRAI'!R9</f>
        <v>0</v>
      </c>
      <c r="S9" s="60">
        <f>'DCWW CRAI'!S9</f>
        <v>0</v>
      </c>
      <c r="T9" s="60">
        <f>'DCWW CRAI'!T9</f>
        <v>0</v>
      </c>
      <c r="U9" s="60">
        <f>'DCWW CRAI'!U9</f>
        <v>0</v>
      </c>
      <c r="V9" s="60">
        <f>'DCWW CRAI'!V9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'DCWW CRAI'!C10</f>
        <v>7.6</v>
      </c>
      <c r="D10" s="60">
        <f>'DCWW CRAI'!D10</f>
        <v>7.7</v>
      </c>
      <c r="E10" s="60">
        <f>'DCWW CRAI'!E10</f>
        <v>7.9</v>
      </c>
      <c r="F10" s="60">
        <f>'DCWW CRAI'!F10</f>
        <v>0</v>
      </c>
      <c r="G10" s="60">
        <f>'DCWW CRAI'!G10</f>
        <v>0</v>
      </c>
      <c r="H10" s="60">
        <f>'DCWW CRAI'!H10</f>
        <v>0</v>
      </c>
      <c r="I10" s="60">
        <f>'DCWW CRAI'!I10</f>
        <v>0</v>
      </c>
      <c r="J10" s="60">
        <f>'DCWW CRAI'!J10</f>
        <v>0</v>
      </c>
      <c r="K10" s="60">
        <f>'DCWW CRAI'!K10</f>
        <v>0</v>
      </c>
      <c r="L10" s="60">
        <f>'DCWW CRAI'!L10</f>
        <v>0</v>
      </c>
      <c r="M10" s="60">
        <f>'DCWW CRAI'!M10</f>
        <v>0</v>
      </c>
      <c r="N10" s="60">
        <f>'DCWW CRAI'!N10</f>
        <v>0</v>
      </c>
      <c r="O10" s="60">
        <f>'DCWW CRAI'!O10</f>
        <v>0</v>
      </c>
      <c r="P10" s="60">
        <f>'DCWW CRAI'!P10</f>
        <v>0</v>
      </c>
      <c r="Q10" s="60">
        <f>'DCWW CRAI'!Q10</f>
        <v>0</v>
      </c>
      <c r="R10" s="60">
        <f>'DCWW CRAI'!R10</f>
        <v>0</v>
      </c>
      <c r="S10" s="60">
        <f>'DCWW CRAI'!S10</f>
        <v>0</v>
      </c>
      <c r="T10" s="60">
        <f>'DCWW CRAI'!T10</f>
        <v>0</v>
      </c>
      <c r="U10" s="60">
        <f>'DCWW CRAI'!U10</f>
        <v>0</v>
      </c>
      <c r="V10" s="60">
        <f>'DCWW CRAI'!V10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'DCWW CRAI'!C11</f>
        <v>3</v>
      </c>
      <c r="D11" s="60">
        <f>'DCWW CRAI'!D11</f>
        <v>3</v>
      </c>
      <c r="E11" s="60">
        <f>'DCWW CRAI'!E11</f>
        <v>4</v>
      </c>
      <c r="F11" s="60">
        <f>'DCWW CRAI'!F11</f>
        <v>0</v>
      </c>
      <c r="G11" s="60">
        <f>'DCWW CRAI'!G11</f>
        <v>0</v>
      </c>
      <c r="H11" s="60">
        <f>'DCWW CRAI'!H11</f>
        <v>0</v>
      </c>
      <c r="I11" s="60">
        <f>'DCWW CRAI'!I11</f>
        <v>0</v>
      </c>
      <c r="J11" s="60">
        <f>'DCWW CRAI'!J11</f>
        <v>0</v>
      </c>
      <c r="K11" s="60">
        <f>'DCWW CRAI'!K11</f>
        <v>0</v>
      </c>
      <c r="L11" s="60">
        <f>'DCWW CRAI'!L11</f>
        <v>0</v>
      </c>
      <c r="M11" s="60">
        <f>'DCWW CRAI'!M11</f>
        <v>0</v>
      </c>
      <c r="N11" s="60">
        <f>'DCWW CRAI'!N11</f>
        <v>0</v>
      </c>
      <c r="O11" s="60">
        <f>'DCWW CRAI'!O11</f>
        <v>0</v>
      </c>
      <c r="P11" s="60">
        <f>'DCWW CRAI'!P11</f>
        <v>0</v>
      </c>
      <c r="Q11" s="60">
        <f>'DCWW CRAI'!Q11</f>
        <v>0</v>
      </c>
      <c r="R11" s="60">
        <f>'DCWW CRAI'!R11</f>
        <v>0</v>
      </c>
      <c r="S11" s="60">
        <f>'DCWW CRAI'!S11</f>
        <v>0</v>
      </c>
      <c r="T11" s="60">
        <f>'DCWW CRAI'!T11</f>
        <v>0</v>
      </c>
      <c r="U11" s="60">
        <f>'DCWW CRAI'!U11</f>
        <v>0</v>
      </c>
      <c r="V11" s="60">
        <f>'DCWW CRAI'!V11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'DCWW CRAI'!C12</f>
        <v>3</v>
      </c>
      <c r="D12" s="60">
        <f>'DCWW CRAI'!D12</f>
        <v>3</v>
      </c>
      <c r="E12" s="60">
        <f>'DCWW CRAI'!E12</f>
        <v>3</v>
      </c>
      <c r="F12" s="60">
        <f>'DCWW CRAI'!F12</f>
        <v>0</v>
      </c>
      <c r="G12" s="60">
        <f>'DCWW CRAI'!G12</f>
        <v>0</v>
      </c>
      <c r="H12" s="60">
        <f>'DCWW CRAI'!H12</f>
        <v>0</v>
      </c>
      <c r="I12" s="60">
        <f>'DCWW CRAI'!I12</f>
        <v>0</v>
      </c>
      <c r="J12" s="60">
        <f>'DCWW CRAI'!J12</f>
        <v>0</v>
      </c>
      <c r="K12" s="60">
        <f>'DCWW CRAI'!K12</f>
        <v>0</v>
      </c>
      <c r="L12" s="60">
        <f>'DCWW CRAI'!L12</f>
        <v>0</v>
      </c>
      <c r="M12" s="60">
        <f>'DCWW CRAI'!M12</f>
        <v>0</v>
      </c>
      <c r="N12" s="60">
        <f>'DCWW CRAI'!N12</f>
        <v>0</v>
      </c>
      <c r="O12" s="60">
        <f>'DCWW CRAI'!O12</f>
        <v>0</v>
      </c>
      <c r="P12" s="60">
        <f>'DCWW CRAI'!P12</f>
        <v>0</v>
      </c>
      <c r="Q12" s="60">
        <f>'DCWW CRAI'!Q12</f>
        <v>0</v>
      </c>
      <c r="R12" s="60">
        <f>'DCWW CRAI'!R12</f>
        <v>0</v>
      </c>
      <c r="S12" s="60">
        <f>'DCWW CRAI'!S12</f>
        <v>0</v>
      </c>
      <c r="T12" s="60">
        <f>'DCWW CRAI'!T12</f>
        <v>0</v>
      </c>
      <c r="U12" s="60">
        <f>'DCWW CRAI'!U12</f>
        <v>0</v>
      </c>
      <c r="V12" s="60">
        <f>'DCWW CRAI'!V12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'DCWW CRAI'!C13</f>
        <v>3</v>
      </c>
      <c r="D13" s="60">
        <f>'DCWW CRAI'!D13</f>
        <v>4</v>
      </c>
      <c r="E13" s="60">
        <f>'DCWW CRAI'!E13</f>
        <v>3</v>
      </c>
      <c r="F13" s="60">
        <f>'DCWW CRAI'!F13</f>
        <v>0</v>
      </c>
      <c r="G13" s="60">
        <f>'DCWW CRAI'!G13</f>
        <v>0</v>
      </c>
      <c r="H13" s="60">
        <f>'DCWW CRAI'!H13</f>
        <v>0</v>
      </c>
      <c r="I13" s="60">
        <f>'DCWW CRAI'!I13</f>
        <v>0</v>
      </c>
      <c r="J13" s="60">
        <f>'DCWW CRAI'!J13</f>
        <v>0</v>
      </c>
      <c r="K13" s="60">
        <f>'DCWW CRAI'!K13</f>
        <v>0</v>
      </c>
      <c r="L13" s="60">
        <f>'DCWW CRAI'!L13</f>
        <v>0</v>
      </c>
      <c r="M13" s="60">
        <f>'DCWW CRAI'!M13</f>
        <v>0</v>
      </c>
      <c r="N13" s="60">
        <f>'DCWW CRAI'!N13</f>
        <v>0</v>
      </c>
      <c r="O13" s="60">
        <f>'DCWW CRAI'!O13</f>
        <v>0</v>
      </c>
      <c r="P13" s="60">
        <f>'DCWW CRAI'!P13</f>
        <v>0</v>
      </c>
      <c r="Q13" s="60">
        <f>'DCWW CRAI'!Q13</f>
        <v>0</v>
      </c>
      <c r="R13" s="60">
        <f>'DCWW CRAI'!R13</f>
        <v>0</v>
      </c>
      <c r="S13" s="60">
        <f>'DCWW CRAI'!S13</f>
        <v>0</v>
      </c>
      <c r="T13" s="60">
        <f>'DCWW CRAI'!T13</f>
        <v>0</v>
      </c>
      <c r="U13" s="60">
        <f>'DCWW CRAI'!U13</f>
        <v>0</v>
      </c>
      <c r="V13" s="60">
        <f>'DCWW CRAI'!V13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8" t="s">
        <v>8</v>
      </c>
      <c r="B14" s="138"/>
      <c r="C14" s="102" t="str">
        <f>'DCWW CRAI'!C14</f>
        <v xml:space="preserve">Winter wheat- grain only </v>
      </c>
      <c r="D14" s="102" t="str">
        <f>'DCWW CRAI'!D14</f>
        <v xml:space="preserve">Grass Silage (25% DM) </v>
      </c>
      <c r="E14" s="102" t="str">
        <f>'DCWW CRAI'!E14</f>
        <v xml:space="preserve">Grass Silage (25% DM) </v>
      </c>
      <c r="F14" s="102">
        <f>'DCWW CRAI'!F14</f>
        <v>0</v>
      </c>
      <c r="G14" s="102">
        <f>'DCWW CRAI'!G14</f>
        <v>0</v>
      </c>
      <c r="H14" s="102">
        <f>'DCWW CRAI'!H14</f>
        <v>0</v>
      </c>
      <c r="I14" s="102">
        <f>'DCWW CRAI'!I14</f>
        <v>0</v>
      </c>
      <c r="J14" s="102">
        <f>'DCWW CRAI'!J14</f>
        <v>0</v>
      </c>
      <c r="K14" s="102">
        <f>'DCWW CRAI'!K14</f>
        <v>0</v>
      </c>
      <c r="L14" s="102">
        <f>'DCWW CRAI'!L14</f>
        <v>0</v>
      </c>
      <c r="M14" s="102">
        <f>'DCWW CRAI'!M14</f>
        <v>0</v>
      </c>
      <c r="N14" s="102">
        <f>'DCWW CRAI'!N14</f>
        <v>0</v>
      </c>
      <c r="O14" s="102">
        <f>'DCWW CRAI'!O14</f>
        <v>0</v>
      </c>
      <c r="P14" s="102">
        <f>'DCWW CRAI'!P14</f>
        <v>0</v>
      </c>
      <c r="Q14" s="102">
        <f>'DCWW CRAI'!Q14</f>
        <v>0</v>
      </c>
      <c r="R14" s="102">
        <f>'DCWW CRAI'!R14</f>
        <v>0</v>
      </c>
      <c r="S14" s="102">
        <f>'DCWW CRAI'!S14</f>
        <v>0</v>
      </c>
      <c r="T14" s="102">
        <f>'DCWW CRAI'!T14</f>
        <v>0</v>
      </c>
      <c r="U14" s="102">
        <f>'DCWW CRAI'!U14</f>
        <v>0</v>
      </c>
      <c r="V14" s="102">
        <f>'DCWW CRAI'!V14</f>
        <v>0</v>
      </c>
      <c r="AD14" s="30" t="s">
        <v>138</v>
      </c>
      <c r="AE14" s="30">
        <v>6</v>
      </c>
      <c r="AI14" s="53" t="s">
        <v>119</v>
      </c>
      <c r="AJ14" s="54">
        <v>0.8</v>
      </c>
      <c r="AK14" s="55">
        <v>1.7</v>
      </c>
      <c r="AL14" s="11">
        <v>12</v>
      </c>
      <c r="AM14" s="11">
        <v>6.7</v>
      </c>
      <c r="AN14" s="11" t="s">
        <v>135</v>
      </c>
    </row>
    <row r="15" spans="1:41" x14ac:dyDescent="0.25">
      <c r="A15" s="137" t="s">
        <v>9</v>
      </c>
      <c r="B15" s="137"/>
      <c r="C15" s="60">
        <f>'DCWW CRAI'!C15</f>
        <v>8</v>
      </c>
      <c r="D15" s="60">
        <f>'DCWW CRAI'!D15</f>
        <v>38</v>
      </c>
      <c r="E15" s="60">
        <f>'DCWW CRAI'!E15</f>
        <v>38</v>
      </c>
      <c r="F15" s="60">
        <f>'DCWW CRAI'!F15</f>
        <v>0</v>
      </c>
      <c r="G15" s="60">
        <f>'DCWW CRAI'!G15</f>
        <v>0</v>
      </c>
      <c r="H15" s="60">
        <f>'DCWW CRAI'!H15</f>
        <v>0</v>
      </c>
      <c r="I15" s="60">
        <f>'DCWW CRAI'!I15</f>
        <v>0</v>
      </c>
      <c r="J15" s="60">
        <f>'DCWW CRAI'!J15</f>
        <v>0</v>
      </c>
      <c r="K15" s="60">
        <f>'DCWW CRAI'!K15</f>
        <v>0</v>
      </c>
      <c r="L15" s="60">
        <f>'DCWW CRAI'!L15</f>
        <v>0</v>
      </c>
      <c r="M15" s="60">
        <f>'DCWW CRAI'!M15</f>
        <v>0</v>
      </c>
      <c r="N15" s="60">
        <f>'DCWW CRAI'!N15</f>
        <v>0</v>
      </c>
      <c r="O15" s="60">
        <f>'DCWW CRAI'!O15</f>
        <v>0</v>
      </c>
      <c r="P15" s="60">
        <f>'DCWW CRAI'!P15</f>
        <v>0</v>
      </c>
      <c r="Q15" s="60">
        <f>'DCWW CRAI'!Q15</f>
        <v>0</v>
      </c>
      <c r="R15" s="60">
        <f>'DCWW CRAI'!R15</f>
        <v>0</v>
      </c>
      <c r="S15" s="60">
        <f>'DCWW CRAI'!S15</f>
        <v>0</v>
      </c>
      <c r="T15" s="60">
        <f>'DCWW CRAI'!T15</f>
        <v>0</v>
      </c>
      <c r="U15" s="60">
        <f>'DCWW CRAI'!U15</f>
        <v>0</v>
      </c>
      <c r="V15" s="60">
        <f>'DCWW CRAI'!V15</f>
        <v>0</v>
      </c>
      <c r="AD15" s="30" t="s">
        <v>144</v>
      </c>
      <c r="AE15" s="30">
        <v>7</v>
      </c>
      <c r="AI15" s="53" t="s">
        <v>101</v>
      </c>
      <c r="AJ15" s="62">
        <v>1.8</v>
      </c>
      <c r="AK15" s="55">
        <v>5.4</v>
      </c>
      <c r="AL15" s="11">
        <v>13</v>
      </c>
      <c r="AM15" s="11">
        <v>6.7</v>
      </c>
      <c r="AN15" s="11" t="s">
        <v>135</v>
      </c>
    </row>
    <row r="16" spans="1:41" ht="13.8" thickBot="1" x14ac:dyDescent="0.3">
      <c r="A16" s="139" t="s">
        <v>44</v>
      </c>
      <c r="B16" s="139"/>
      <c r="C16" s="103" t="str">
        <f>'DCWW CRAI'!C16</f>
        <v>Medium/Clay</v>
      </c>
      <c r="D16" s="103" t="str">
        <f>'DCWW CRAI'!D16</f>
        <v>Medium/Clay</v>
      </c>
      <c r="E16" s="103" t="str">
        <f>'DCWW CRAI'!E16</f>
        <v>Medium/Clay</v>
      </c>
      <c r="F16" s="103">
        <f>'DCWW CRAI'!F16</f>
        <v>0</v>
      </c>
      <c r="G16" s="103">
        <f>'DCWW CRAI'!G16</f>
        <v>0</v>
      </c>
      <c r="H16" s="103">
        <f>'DCWW CRAI'!H16</f>
        <v>0</v>
      </c>
      <c r="I16" s="103">
        <f>'DCWW CRAI'!I16</f>
        <v>0</v>
      </c>
      <c r="J16" s="103">
        <f>'DCWW CRAI'!J16</f>
        <v>0</v>
      </c>
      <c r="K16" s="103">
        <f>'DCWW CRAI'!K16</f>
        <v>0</v>
      </c>
      <c r="L16" s="103">
        <f>'DCWW CRAI'!L16</f>
        <v>0</v>
      </c>
      <c r="M16" s="103">
        <f>'DCWW CRAI'!M16</f>
        <v>0</v>
      </c>
      <c r="N16" s="103">
        <f>'DCWW CRAI'!N16</f>
        <v>0</v>
      </c>
      <c r="O16" s="103">
        <f>'DCWW CRAI'!O16</f>
        <v>0</v>
      </c>
      <c r="P16" s="103">
        <f>'DCWW CRAI'!P16</f>
        <v>0</v>
      </c>
      <c r="Q16" s="103">
        <f>'DCWW CRAI'!Q16</f>
        <v>0</v>
      </c>
      <c r="R16" s="103">
        <f>'DCWW CRAI'!R16</f>
        <v>0</v>
      </c>
      <c r="S16" s="103">
        <f>'DCWW CRAI'!S16</f>
        <v>0</v>
      </c>
      <c r="T16" s="103">
        <f>'DCWW CRAI'!T16</f>
        <v>0</v>
      </c>
      <c r="U16" s="103">
        <f>'DCWW CRAI'!U16</f>
        <v>0</v>
      </c>
      <c r="V16" s="103">
        <f>'DCWW CRAI'!V16</f>
        <v>0</v>
      </c>
      <c r="AD16" s="52" t="s">
        <v>145</v>
      </c>
      <c r="AE16" s="30">
        <v>8</v>
      </c>
      <c r="AI16" s="53" t="s">
        <v>118</v>
      </c>
      <c r="AJ16" s="54">
        <v>8</v>
      </c>
      <c r="AK16" s="55">
        <v>5.5</v>
      </c>
      <c r="AL16" s="12">
        <v>14</v>
      </c>
      <c r="AM16" s="11">
        <v>6.7</v>
      </c>
      <c r="AN16" s="11" t="s">
        <v>135</v>
      </c>
    </row>
    <row r="17" spans="1:40" x14ac:dyDescent="0.25">
      <c r="A17" s="135" t="s">
        <v>69</v>
      </c>
      <c r="B17" s="136"/>
      <c r="C17" s="28">
        <f>(VLOOKUP(C$14,$AI2:$AK26,2,FALSE))*C$15</f>
        <v>52</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3" t="s">
        <v>23</v>
      </c>
      <c r="B18" s="134"/>
      <c r="C18" s="16">
        <f>$D31</f>
        <v>2.9753216999999994</v>
      </c>
      <c r="D18" s="16">
        <f>$D32</f>
        <v>2.9753216999999994</v>
      </c>
      <c r="E18" s="16">
        <f>$D33</f>
        <v>2.9753216999999994</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3" t="s">
        <v>90</v>
      </c>
      <c r="B19" s="134"/>
      <c r="C19" s="16">
        <f>C18-C17</f>
        <v>-49.024678299999998</v>
      </c>
      <c r="D19" s="16">
        <f t="shared" ref="D19:V19" si="1">D18-D17</f>
        <v>-61.624678299999992</v>
      </c>
      <c r="E19" s="16">
        <f t="shared" si="1"/>
        <v>-61.624678299999992</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5" t="s">
        <v>88</v>
      </c>
      <c r="B21" s="136"/>
      <c r="C21" s="28">
        <f>(VLOOKUP(C$14,$AI2:$AK26,3,FALSE))*C$15</f>
        <v>44</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3" t="s">
        <v>89</v>
      </c>
      <c r="B22" s="134"/>
      <c r="C22" s="16">
        <f>$E31</f>
        <v>4.4692245000000002</v>
      </c>
      <c r="D22" s="16">
        <f>$E32</f>
        <v>4.4692245000000002</v>
      </c>
      <c r="E22" s="16">
        <f>$E33</f>
        <v>4.4692245000000002</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3" t="s">
        <v>92</v>
      </c>
      <c r="B23" s="134"/>
      <c r="C23" s="16">
        <f>C22-C21</f>
        <v>-39.530775499999997</v>
      </c>
      <c r="D23" s="16">
        <f t="shared" ref="D23:V23" si="3">D22-D21</f>
        <v>-223.5307755</v>
      </c>
      <c r="E23" s="16">
        <f t="shared" si="3"/>
        <v>-223.5307755</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1" t="s">
        <v>93</v>
      </c>
      <c r="B24" s="132"/>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4.68</v>
      </c>
      <c r="C28" s="15">
        <v>0.19700000000000001</v>
      </c>
      <c r="D28" s="15">
        <v>1.11E-2</v>
      </c>
      <c r="E28" s="15">
        <v>3.1699999999999999E-2</v>
      </c>
      <c r="F28" s="15">
        <v>493</v>
      </c>
      <c r="G28" s="15">
        <v>9.74</v>
      </c>
      <c r="H28" s="15">
        <v>62.5</v>
      </c>
      <c r="I28" s="15">
        <v>6.2</v>
      </c>
      <c r="J28" s="15">
        <v>0.22</v>
      </c>
      <c r="K28" s="23">
        <v>6.6</v>
      </c>
      <c r="L28" s="15">
        <v>1.84</v>
      </c>
      <c r="M28" s="15">
        <v>4.3</v>
      </c>
      <c r="N28" s="15">
        <v>1230</v>
      </c>
      <c r="O28" s="15">
        <v>147000</v>
      </c>
      <c r="P28" s="15"/>
      <c r="Q28" s="15">
        <v>1510</v>
      </c>
      <c r="R28" s="15"/>
      <c r="S28" s="15">
        <v>14.2</v>
      </c>
      <c r="T28" s="15"/>
      <c r="U28" s="15"/>
    </row>
    <row r="29" spans="1:40" s="7" customFormat="1" ht="28.8" x14ac:dyDescent="0.3">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3</v>
      </c>
      <c r="B31" s="15">
        <v>250</v>
      </c>
      <c r="C31" s="77">
        <f>IF(C$27="%w/w SAR",((C$28*10)*$B31),IF(C$27="%w/w DM",(((C$28*10)*($B$28/100))*$B31),IF(C$27="kg/t SAR",(C$28*$B31),IF(C$27="kg/t DM",((C$28*($B$28/100))*$B31),IF(C$27="mg/kg SAR",((C$28*0.001)*$B31),IF(C$27="mg/kg DM",(((C$28*0.001)*($B$28/100))*$B31),0))))))</f>
        <v>23.048999999999999</v>
      </c>
      <c r="D31" s="77">
        <f>(IF(D$27="%w/w SAR",((D$28*10)*$B31),IF(D$27="%w/w DM",(((D$28*10)*($B$28/100))*$B31),IF(D$27="kg/t SAR",(D$28*$B31),IF(D$27="kg/t DM",((D$28*($B$28/100))*$B31),IF(D$27="mg/kg SAR",((D$28*0.001)*$B31),IF(D$27="mg/kg DM",(((D$28*0.001)*($B$28/100))*$B31),"0")))))))*2.291</f>
        <v>2.9753216999999994</v>
      </c>
      <c r="E31" s="77">
        <f>(IF(E$27="%w/w SAR",((E$28*10)*$B31),IF(E$27="%w/w DM",(((E$28*10)*($B$28/100))*$B31),IF(E$27="kg/t SAR",(E$28*$B31),IF(E$27="kg/t DM",((E$28*($B$28/100))*$B31),IF(E$27="mg/kg SAR",((E$28*0.001)*$B31),IF(E$27="mg/kg DM",(((E$28*0.001)*($B$28/100))*$B31),"0")))))))*1.205</f>
        <v>4.4692245000000002</v>
      </c>
      <c r="F31" s="77">
        <f>(IF(F$27="%w/w SAR",((F$28*10)*$B31),IF(F$27="%w/w DM",(((F$28*10)*($B$28/100))*$B31),IF(F$27="kg/t SAR",(F$28*$B31),IF(F$27="kg/t DM",((F$28*($B$28/100))*$B31),IF(F$27="mg/kg SAR",((F$28*0.001)*$B31),IF(F$27="mg/kg DM",(((F$28*0.001)*($B$28/100))*$B31),"0")))))))*1.658</f>
        <v>9.5635097999999967</v>
      </c>
      <c r="G31" s="77">
        <f t="shared" ref="G31:P46" si="5">IF(G$27="%w/w SAR",((G$28*10)*$B31),IF(G$27="%w/w DM",(((G$28*10)*($B$28/100))*$B31),IF(G$27="kg/t SAR",(G$28*$B31),IF(G$27="kg/t DM",((G$28*($B$28/100))*$B31),IF(G$27="mg/kg SAR",((G$28*0.001)*$B31),IF(G$27="mg/kg DM",(((G$28*0.001)*($B$28/100))*$B31),0))))))</f>
        <v>0.11395799999999999</v>
      </c>
      <c r="H31" s="77">
        <f t="shared" si="5"/>
        <v>0.73124999999999996</v>
      </c>
      <c r="I31" s="77">
        <f t="shared" si="5"/>
        <v>7.2539999999999993E-2</v>
      </c>
      <c r="J31" s="77">
        <f t="shared" si="5"/>
        <v>2.5739999999999999E-3</v>
      </c>
      <c r="K31" s="77">
        <f t="shared" si="5"/>
        <v>7.7219999999999997E-2</v>
      </c>
      <c r="L31" s="77">
        <f t="shared" si="5"/>
        <v>2.1527999999999999E-2</v>
      </c>
      <c r="M31" s="77">
        <f t="shared" si="5"/>
        <v>5.0309999999999994E-2</v>
      </c>
      <c r="N31" s="77">
        <f t="shared" si="5"/>
        <v>14.390999999999998</v>
      </c>
      <c r="O31" s="77">
        <f t="shared" si="5"/>
        <v>1719.8999999999999</v>
      </c>
      <c r="P31" s="77">
        <f t="shared" si="5"/>
        <v>0</v>
      </c>
      <c r="Q31" s="77">
        <f>(IF(Q$27="%w/w SAR",((Q$28*10)*$B31),IF(Q$27="%w/w DM",(((Q$28*10)*($B$28/100))*$B31),IF(Q$27="kg/t SAR",(Q$28*$B31),IF(Q$27="kg/t DM",((Q$28*($B$28/100))*$B31),IF(Q$27="mg/kg SAR",((Q$28*0.001)*$B31),IF(Q$27="mg/kg DM",(((Q$28*0.001)*($B$28/100))*$B31),0)))))))*2.5</f>
        <v>44.167499999999997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0.16613999999999998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5AB</v>
      </c>
      <c r="B32" s="15">
        <v>250</v>
      </c>
      <c r="C32" s="77">
        <f t="shared" ref="C32:C50" si="6">IF(C$27="%w/w SAR",((C$28*10)*$B32),IF(C$27="%w/w DM",(((C$28*10)*($B$28/100))*$B32),IF(C$27="kg/t SAR",(C$28*$B32),IF(C$27="kg/t DM",((C$28*($B$28/100))*$B32),IF(C$27="mg/kg SAR",((C$28*0.001)*$B32),IF(C$27="mg/kg DM",(((C$28*0.001)*($B$28/100))*$B32),0))))))</f>
        <v>23.048999999999999</v>
      </c>
      <c r="D32" s="77">
        <f t="shared" ref="D32:D50" si="7">(IF(D$27="%w/w SAR",((D$28*10)*$B32),IF(D$27="%w/w DM",(((D$28*10)*($B$28/100))*$B32),IF(D$27="kg/t SAR",(D$28*$B32),IF(D$27="kg/t DM",((D$28*($B$28/100))*$B32),IF(D$27="mg/kg SAR",((D$28*0.001)*$B32),IF(D$27="mg/kg DM",(((D$28*0.001)*($B$28/100))*$B32),"0")))))))*2.291</f>
        <v>2.9753216999999994</v>
      </c>
      <c r="E32" s="77">
        <f t="shared" ref="E32:E50" si="8">(IF(E$27="%w/w SAR",((E$28*10)*$B32),IF(E$27="%w/w DM",(((E$28*10)*($B$28/100))*$B32),IF(E$27="kg/t SAR",(E$28*$B32),IF(E$27="kg/t DM",((E$28*($B$28/100))*$B32),IF(E$27="mg/kg SAR",((E$28*0.001)*$B32),IF(E$27="mg/kg DM",(((E$28*0.001)*($B$28/100))*$B32),"0")))))))*1.205</f>
        <v>4.4692245000000002</v>
      </c>
      <c r="F32" s="77">
        <f t="shared" ref="F32:F50" si="9">(IF(F$27="%w/w SAR",((F$28*10)*$B32),IF(F$27="%w/w DM",(((F$28*10)*($B$28/100))*$B32),IF(F$27="kg/t SAR",(F$28*$B32),IF(F$27="kg/t DM",((F$28*($B$28/100))*$B32),IF(F$27="mg/kg SAR",((F$28*0.001)*$B32),IF(F$27="mg/kg DM",(((F$28*0.001)*($B$28/100))*$B32),"0")))))))*1.658</f>
        <v>9.5635097999999967</v>
      </c>
      <c r="G32" s="77">
        <f t="shared" si="5"/>
        <v>0.11395799999999999</v>
      </c>
      <c r="H32" s="77">
        <f t="shared" si="5"/>
        <v>0.73124999999999996</v>
      </c>
      <c r="I32" s="77">
        <f t="shared" si="5"/>
        <v>7.2539999999999993E-2</v>
      </c>
      <c r="J32" s="77">
        <f t="shared" si="5"/>
        <v>2.5739999999999999E-3</v>
      </c>
      <c r="K32" s="77">
        <f t="shared" si="5"/>
        <v>7.7219999999999997E-2</v>
      </c>
      <c r="L32" s="77">
        <f t="shared" si="5"/>
        <v>2.1527999999999999E-2</v>
      </c>
      <c r="M32" s="77">
        <f t="shared" si="5"/>
        <v>5.0309999999999994E-2</v>
      </c>
      <c r="N32" s="77">
        <f t="shared" si="5"/>
        <v>14.390999999999998</v>
      </c>
      <c r="O32" s="77">
        <f t="shared" si="5"/>
        <v>1719.8999999999999</v>
      </c>
      <c r="P32" s="77">
        <f t="shared" si="5"/>
        <v>0</v>
      </c>
      <c r="Q32" s="77">
        <f t="shared" ref="Q32:Q50" si="10">(IF(Q$27="%w/w SAR",((Q$28*10)*$B32),IF(Q$27="%w/w DM",(((Q$28*10)*($B$28/100))*$B32),IF(Q$27="kg/t SAR",(Q$28*$B32),IF(Q$27="kg/t DM",((Q$28*($B$28/100))*$B32),IF(Q$27="mg/kg SAR",((Q$28*0.001)*$B32),IF(Q$27="mg/kg DM",(((Q$28*0.001)*($B$28/100))*$B32),0)))))))*2.5</f>
        <v>44.167499999999997</v>
      </c>
      <c r="R32" s="77">
        <f t="shared" ref="R32:U50" si="11">IF(R$27="%w/w SAR",((R$28*10)*$B32),IF(R$27="%w/w DM",(((R$28*10)*($B$28/100))*$B32),IF(R$27="kg/t SAR",(R$28*$B32),IF(R$27="kg/t DM",((R$28*($B$28/100))*$B32),IF(R$27="mg/kg SAR",((R$28*0.001)*$B32),IF(R$27="mg/kg DM",(((R$28*0.001)*($B$28/100))*$B32),0))))))</f>
        <v>0</v>
      </c>
      <c r="S32" s="77">
        <f t="shared" si="11"/>
        <v>0.16613999999999998</v>
      </c>
      <c r="T32" s="77">
        <f t="shared" si="11"/>
        <v>0</v>
      </c>
      <c r="U32" s="77">
        <f t="shared" si="11"/>
        <v>0</v>
      </c>
      <c r="AB32" s="59"/>
      <c r="AC32" s="59"/>
      <c r="AD32" s="59"/>
      <c r="AE32" s="59"/>
      <c r="AF32" s="59"/>
      <c r="AG32" s="59"/>
      <c r="AH32" s="59"/>
      <c r="AI32" s="59"/>
    </row>
    <row r="33" spans="1:35" s="72" customFormat="1" x14ac:dyDescent="0.3">
      <c r="A33" s="13" t="str">
        <f>E8</f>
        <v>6ABC</v>
      </c>
      <c r="B33" s="15">
        <v>250</v>
      </c>
      <c r="C33" s="77">
        <f t="shared" si="6"/>
        <v>23.048999999999999</v>
      </c>
      <c r="D33" s="77">
        <f t="shared" si="7"/>
        <v>2.9753216999999994</v>
      </c>
      <c r="E33" s="77">
        <f t="shared" si="8"/>
        <v>4.4692245000000002</v>
      </c>
      <c r="F33" s="77">
        <f t="shared" si="9"/>
        <v>9.5635097999999967</v>
      </c>
      <c r="G33" s="77">
        <f t="shared" si="5"/>
        <v>0.11395799999999999</v>
      </c>
      <c r="H33" s="77">
        <f t="shared" si="5"/>
        <v>0.73124999999999996</v>
      </c>
      <c r="I33" s="77">
        <f t="shared" si="5"/>
        <v>7.2539999999999993E-2</v>
      </c>
      <c r="J33" s="77">
        <f t="shared" si="5"/>
        <v>2.5739999999999999E-3</v>
      </c>
      <c r="K33" s="77">
        <f t="shared" si="5"/>
        <v>7.7219999999999997E-2</v>
      </c>
      <c r="L33" s="77">
        <f t="shared" si="5"/>
        <v>2.1527999999999999E-2</v>
      </c>
      <c r="M33" s="77">
        <f t="shared" si="5"/>
        <v>5.0309999999999994E-2</v>
      </c>
      <c r="N33" s="77">
        <f t="shared" si="5"/>
        <v>14.390999999999998</v>
      </c>
      <c r="O33" s="77">
        <f t="shared" si="5"/>
        <v>1719.8999999999999</v>
      </c>
      <c r="P33" s="77">
        <f t="shared" si="5"/>
        <v>0</v>
      </c>
      <c r="Q33" s="77">
        <f t="shared" si="10"/>
        <v>44.167499999999997</v>
      </c>
      <c r="R33" s="77">
        <f t="shared" si="11"/>
        <v>0</v>
      </c>
      <c r="S33" s="77">
        <f t="shared" si="11"/>
        <v>0.16613999999999998</v>
      </c>
      <c r="T33" s="77">
        <f t="shared" si="11"/>
        <v>0</v>
      </c>
      <c r="U33" s="77">
        <f t="shared" si="11"/>
        <v>0</v>
      </c>
      <c r="AB33" s="59"/>
      <c r="AC33" s="59"/>
      <c r="AD33" s="59"/>
      <c r="AE33" s="59"/>
      <c r="AF33" s="59"/>
      <c r="AG33" s="59"/>
      <c r="AH33" s="59"/>
      <c r="AI33" s="59"/>
    </row>
    <row r="34" spans="1:35" s="72" customFormat="1" x14ac:dyDescent="0.3">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3</v>
      </c>
      <c r="C57" s="8" t="str">
        <f t="shared" ref="C57:U57" si="13">D8</f>
        <v>5AB</v>
      </c>
      <c r="D57" s="8" t="str">
        <f t="shared" si="13"/>
        <v>6ABC</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"&amp;(VLOOKUP(C14,Table245810[],6,FALSE))</f>
        <v>Medium/Clay I Arable</v>
      </c>
      <c r="C58" s="13" t="str">
        <f>D16&amp;" I "&amp;(VLOOKUP(D14,Table245810[],6,FALSE))</f>
        <v>Medium/Clay I Grass</v>
      </c>
      <c r="D58" s="13" t="str">
        <f>E16&amp;" I "&amp;(VLOOKUP(E14,Table245810[],6,FALSE))</f>
        <v>Medium/Clay I Grass</v>
      </c>
      <c r="E58" s="13" t="e">
        <f>F16&amp;" I "&amp;(VLOOKUP(F14,Table245810[],6,FALSE))</f>
        <v>#N/A</v>
      </c>
      <c r="F58" s="13" t="e">
        <f>G16&amp;" I "&amp;(VLOOKUP(G14,Table245810[],6,FALSE))</f>
        <v>#N/A</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5">
      <c r="A59" s="111" t="s">
        <v>132</v>
      </c>
      <c r="B59" s="76">
        <f>VLOOKUP(C$14,Table245810[],5,FALSE)</f>
        <v>6.7</v>
      </c>
      <c r="C59" s="76">
        <f>VLOOKUP(D$14,Table245810[],5,FALSE)</f>
        <v>6.2</v>
      </c>
      <c r="D59" s="76">
        <f>VLOOKUP(E$14,Table245810[],5,FALSE)</f>
        <v>6.2</v>
      </c>
      <c r="E59" s="76" t="e">
        <f>VLOOKUP(F$14,Table245810[],5,FALSE)</f>
        <v>#N/A</v>
      </c>
      <c r="F59" s="76" t="e">
        <f>VLOOKUP(G$14,Table245810[],5,FALSE)</f>
        <v>#N/A</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5">
      <c r="A60" s="111" t="s">
        <v>4</v>
      </c>
      <c r="B60" s="76">
        <f>C10</f>
        <v>7.6</v>
      </c>
      <c r="C60" s="76">
        <f t="shared" ref="C60:U60" si="14">D10</f>
        <v>7.7</v>
      </c>
      <c r="D60" s="76">
        <f t="shared" si="14"/>
        <v>7.9</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-9</v>
      </c>
      <c r="D64" s="77">
        <f t="shared" si="17"/>
        <v>-10.200000000000001</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9</v>
      </c>
      <c r="D65" s="77">
        <f t="shared" si="18"/>
        <v>10.200000000000001</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6" priority="38" operator="equal">
      <formula>"DECREASE"</formula>
    </cfRule>
    <cfRule type="cellIs" dxfId="125" priority="39" operator="equal">
      <formula>"INCREASE"</formula>
    </cfRule>
  </conditionalFormatting>
  <conditionalFormatting sqref="B34:B50 B62:U66">
    <cfRule type="cellIs" dxfId="124" priority="37" operator="greaterThan">
      <formula>$B$51</formula>
    </cfRule>
  </conditionalFormatting>
  <conditionalFormatting sqref="C31:C50">
    <cfRule type="cellIs" dxfId="123" priority="36" operator="greaterThan">
      <formula>$C$51</formula>
    </cfRule>
  </conditionalFormatting>
  <conditionalFormatting sqref="C18:V18">
    <cfRule type="cellIs" dxfId="122" priority="35" operator="equal">
      <formula>0</formula>
    </cfRule>
  </conditionalFormatting>
  <conditionalFormatting sqref="C17:V17">
    <cfRule type="cellIs" dxfId="121" priority="34" operator="equal">
      <formula>0</formula>
    </cfRule>
  </conditionalFormatting>
  <conditionalFormatting sqref="C19:V19">
    <cfRule type="cellIs" dxfId="120" priority="33" operator="equal">
      <formula>0</formula>
    </cfRule>
  </conditionalFormatting>
  <conditionalFormatting sqref="G31:G50">
    <cfRule type="cellIs" dxfId="119" priority="32" operator="greaterThan">
      <formula>$G$51</formula>
    </cfRule>
  </conditionalFormatting>
  <conditionalFormatting sqref="H31:H50">
    <cfRule type="cellIs" dxfId="118" priority="31" operator="greaterThan">
      <formula>$H$51</formula>
    </cfRule>
  </conditionalFormatting>
  <conditionalFormatting sqref="I31:I50">
    <cfRule type="cellIs" dxfId="117" priority="30" operator="greaterThan">
      <formula>$I$51</formula>
    </cfRule>
  </conditionalFormatting>
  <conditionalFormatting sqref="K31:K50">
    <cfRule type="cellIs" dxfId="116" priority="29" operator="greaterThan">
      <formula>$K$51</formula>
    </cfRule>
  </conditionalFormatting>
  <conditionalFormatting sqref="L31:L50">
    <cfRule type="cellIs" dxfId="115" priority="28" operator="greaterThan">
      <formula>$L$51</formula>
    </cfRule>
  </conditionalFormatting>
  <conditionalFormatting sqref="M31:M50">
    <cfRule type="cellIs" dxfId="114" priority="27" operator="greaterThan">
      <formula>$M$51</formula>
    </cfRule>
  </conditionalFormatting>
  <conditionalFormatting sqref="P31:P50">
    <cfRule type="cellIs" dxfId="113" priority="26" operator="greaterThan">
      <formula>$P$51</formula>
    </cfRule>
  </conditionalFormatting>
  <conditionalFormatting sqref="R31:R50">
    <cfRule type="cellIs" dxfId="112" priority="25" operator="greaterThan">
      <formula>$R$51</formula>
    </cfRule>
  </conditionalFormatting>
  <conditionalFormatting sqref="S31:S50">
    <cfRule type="cellIs" dxfId="111" priority="24" operator="greaterThan">
      <formula>$S$51</formula>
    </cfRule>
  </conditionalFormatting>
  <conditionalFormatting sqref="T31:T50">
    <cfRule type="cellIs" dxfId="110" priority="23" operator="greaterThan">
      <formula>$T$51</formula>
    </cfRule>
  </conditionalFormatting>
  <conditionalFormatting sqref="U31:U50">
    <cfRule type="cellIs" dxfId="109" priority="22" operator="greaterThan">
      <formula>$U$51</formula>
    </cfRule>
  </conditionalFormatting>
  <conditionalFormatting sqref="C22:V22">
    <cfRule type="cellIs" dxfId="108" priority="21" operator="equal">
      <formula>0</formula>
    </cfRule>
  </conditionalFormatting>
  <conditionalFormatting sqref="C24:V24">
    <cfRule type="cellIs" dxfId="107" priority="19" operator="equal">
      <formula>"DECREASE"</formula>
    </cfRule>
    <cfRule type="cellIs" dxfId="106" priority="20" operator="equal">
      <formula>"INCREASE"</formula>
    </cfRule>
  </conditionalFormatting>
  <conditionalFormatting sqref="C23:V23">
    <cfRule type="cellIs" dxfId="105" priority="18" operator="equal">
      <formula>0</formula>
    </cfRule>
  </conditionalFormatting>
  <conditionalFormatting sqref="C21:V21">
    <cfRule type="cellIs" dxfId="104" priority="14" operator="equal">
      <formula>0</formula>
    </cfRule>
  </conditionalFormatting>
  <conditionalFormatting sqref="B66:U66">
    <cfRule type="cellIs" dxfId="103" priority="12" operator="equal">
      <formula>"UNDER"</formula>
    </cfRule>
    <cfRule type="cellIs" dxfId="102" priority="13" operator="equal">
      <formula>"OVER"</formula>
    </cfRule>
  </conditionalFormatting>
  <conditionalFormatting sqref="J31:J50">
    <cfRule type="cellIs" dxfId="101" priority="9" operator="greaterThan">
      <formula>$J$51</formula>
    </cfRule>
  </conditionalFormatting>
  <conditionalFormatting sqref="L3">
    <cfRule type="cellIs" dxfId="100" priority="5" operator="lessThan">
      <formula>30</formula>
    </cfRule>
    <cfRule type="cellIs" dxfId="99" priority="6" operator="greaterThanOrEqual">
      <formula>30</formula>
    </cfRule>
  </conditionalFormatting>
  <conditionalFormatting sqref="I1">
    <cfRule type="cellIs" dxfId="98" priority="4" operator="between">
      <formula>0.1</formula>
      <formula>5</formula>
    </cfRule>
  </conditionalFormatting>
  <conditionalFormatting sqref="I2">
    <cfRule type="cellIs" dxfId="97" priority="3" operator="greaterThan">
      <formula>5000.1</formula>
    </cfRule>
  </conditionalFormatting>
  <conditionalFormatting sqref="I3">
    <cfRule type="cellIs" dxfId="96" priority="2" operator="greaterThan">
      <formula>40000.01</formula>
    </cfRule>
  </conditionalFormatting>
  <conditionalFormatting sqref="B31:B33">
    <cfRule type="cellIs" dxfId="95" priority="1" operator="greaterThan">
      <formula>$B$51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10"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9" t="s">
        <v>41</v>
      </c>
      <c r="B1" s="129"/>
      <c r="C1" s="142" t="str">
        <f>'DCWW CRAI'!C1:D1</f>
        <v>PAN-024175</v>
      </c>
      <c r="D1" s="143"/>
      <c r="E1" s="93" t="s">
        <v>45</v>
      </c>
      <c r="F1" s="39">
        <f>'DCWW CRAI'!F1</f>
        <v>45.52</v>
      </c>
      <c r="G1" s="125" t="s">
        <v>43</v>
      </c>
      <c r="H1" s="126"/>
      <c r="I1" s="118">
        <v>6.9</v>
      </c>
      <c r="J1" s="129" t="s">
        <v>153</v>
      </c>
      <c r="K1" s="129"/>
      <c r="L1" s="97">
        <v>103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4" t="str">
        <f>'DCWW CRAI'!C2:D2</f>
        <v>EPR/GP3792SK</v>
      </c>
      <c r="D2" s="145"/>
      <c r="E2" s="93" t="s">
        <v>109</v>
      </c>
      <c r="F2" s="119" t="s">
        <v>165</v>
      </c>
      <c r="G2" s="127" t="s">
        <v>110</v>
      </c>
      <c r="H2" s="128"/>
      <c r="I2" s="118"/>
      <c r="J2" s="129" t="s">
        <v>158</v>
      </c>
      <c r="K2" s="129"/>
      <c r="L2" s="97">
        <v>1.59</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4" t="str">
        <f>'DCWW CRAI'!C3:D3</f>
        <v>BYPRODUCT RECOVERY LIMITED</v>
      </c>
      <c r="D3" s="145"/>
      <c r="E3" s="93" t="s">
        <v>108</v>
      </c>
      <c r="F3" s="31" t="s">
        <v>78</v>
      </c>
      <c r="G3" s="129" t="s">
        <v>159</v>
      </c>
      <c r="H3" s="129"/>
      <c r="I3" s="118"/>
      <c r="J3" s="125" t="s">
        <v>154</v>
      </c>
      <c r="K3" s="126"/>
      <c r="L3" s="97">
        <f>(L1/(L2*10000))*100</f>
        <v>0.64779874213836475</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2" t="str">
        <f>'DCWW CRAI'!C4:D4</f>
        <v>Rosedew Farm, Llantwit Major, CF61 1PZ</v>
      </c>
      <c r="D4" s="143"/>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2" t="str">
        <f>'DCWW CRAI'!C5:D5</f>
        <v>Owen Clee</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'DCWW CRAI'!C8</f>
        <v>3</v>
      </c>
      <c r="D8" s="60" t="str">
        <f>'DCWW CRAI'!D8</f>
        <v>5AB</v>
      </c>
      <c r="E8" s="60" t="str">
        <f>'DCWW CRAI'!E8</f>
        <v>6ABC</v>
      </c>
      <c r="F8" s="60">
        <f>'DCWW CRAI'!F8</f>
        <v>0</v>
      </c>
      <c r="G8" s="60">
        <f>'DCWW CRAI'!G8</f>
        <v>0</v>
      </c>
      <c r="H8" s="60">
        <f>'DCWW CRAI'!H8</f>
        <v>0</v>
      </c>
      <c r="I8" s="60">
        <f>'DCWW CRAI'!I8</f>
        <v>0</v>
      </c>
      <c r="J8" s="60">
        <f>'DCWW CRAI'!J8</f>
        <v>0</v>
      </c>
      <c r="K8" s="60">
        <f>'DCWW CRAI'!K8</f>
        <v>0</v>
      </c>
      <c r="L8" s="60">
        <f>'DCWW CRAI'!L8</f>
        <v>0</v>
      </c>
      <c r="M8" s="60">
        <f>'DCWW CRAI'!M8</f>
        <v>0</v>
      </c>
      <c r="N8" s="60">
        <f>'DCWW CRAI'!N8</f>
        <v>0</v>
      </c>
      <c r="O8" s="60">
        <f>'DCWW CRAI'!O8</f>
        <v>0</v>
      </c>
      <c r="P8" s="60">
        <f>'DCWW CRAI'!P8</f>
        <v>0</v>
      </c>
      <c r="Q8" s="60">
        <f>'DCWW CRAI'!Q8</f>
        <v>0</v>
      </c>
      <c r="R8" s="60">
        <f>'DCWW CRAI'!R8</f>
        <v>0</v>
      </c>
      <c r="S8" s="60">
        <f>'DCWW CRAI'!S8</f>
        <v>0</v>
      </c>
      <c r="T8" s="60">
        <f>'DCWW CRAI'!T8</f>
        <v>0</v>
      </c>
      <c r="U8" s="60">
        <f>'DCWW CRAI'!U8</f>
        <v>0</v>
      </c>
      <c r="V8" s="60">
        <f>'DCWW CRAI'!V8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'DCWW CRAI'!C9</f>
        <v>1</v>
      </c>
      <c r="D9" s="60" t="str">
        <f>'DCWW CRAI'!D9</f>
        <v>Moderate</v>
      </c>
      <c r="E9" s="60" t="str">
        <f>'DCWW CRAI'!E9</f>
        <v>Moderate</v>
      </c>
      <c r="F9" s="60">
        <f>'DCWW CRAI'!F9</f>
        <v>0</v>
      </c>
      <c r="G9" s="60">
        <f>'DCWW CRAI'!G9</f>
        <v>0</v>
      </c>
      <c r="H9" s="60">
        <f>'DCWW CRAI'!H9</f>
        <v>0</v>
      </c>
      <c r="I9" s="60">
        <f>'DCWW CRAI'!I9</f>
        <v>0</v>
      </c>
      <c r="J9" s="60">
        <f>'DCWW CRAI'!J9</f>
        <v>0</v>
      </c>
      <c r="K9" s="60">
        <f>'DCWW CRAI'!K9</f>
        <v>0</v>
      </c>
      <c r="L9" s="60">
        <f>'DCWW CRAI'!L9</f>
        <v>0</v>
      </c>
      <c r="M9" s="60">
        <f>'DCWW CRAI'!M9</f>
        <v>0</v>
      </c>
      <c r="N9" s="60">
        <f>'DCWW CRAI'!N9</f>
        <v>0</v>
      </c>
      <c r="O9" s="60">
        <f>'DCWW CRAI'!O9</f>
        <v>0</v>
      </c>
      <c r="P9" s="60">
        <f>'DCWW CRAI'!P9</f>
        <v>0</v>
      </c>
      <c r="Q9" s="60">
        <f>'DCWW CRAI'!Q9</f>
        <v>0</v>
      </c>
      <c r="R9" s="60">
        <f>'DCWW CRAI'!R9</f>
        <v>0</v>
      </c>
      <c r="S9" s="60">
        <f>'DCWW CRAI'!S9</f>
        <v>0</v>
      </c>
      <c r="T9" s="60">
        <f>'DCWW CRAI'!T9</f>
        <v>0</v>
      </c>
      <c r="U9" s="60">
        <f>'DCWW CRAI'!U9</f>
        <v>0</v>
      </c>
      <c r="V9" s="60">
        <f>'DCWW CRAI'!V9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'DCWW CRAI'!C10</f>
        <v>7.6</v>
      </c>
      <c r="D10" s="60">
        <f>'DCWW CRAI'!D10</f>
        <v>7.7</v>
      </c>
      <c r="E10" s="60">
        <f>'DCWW CRAI'!E10</f>
        <v>7.9</v>
      </c>
      <c r="F10" s="60">
        <f>'DCWW CRAI'!F10</f>
        <v>0</v>
      </c>
      <c r="G10" s="60">
        <f>'DCWW CRAI'!G10</f>
        <v>0</v>
      </c>
      <c r="H10" s="60">
        <f>'DCWW CRAI'!H10</f>
        <v>0</v>
      </c>
      <c r="I10" s="60">
        <f>'DCWW CRAI'!I10</f>
        <v>0</v>
      </c>
      <c r="J10" s="60">
        <f>'DCWW CRAI'!J10</f>
        <v>0</v>
      </c>
      <c r="K10" s="60">
        <f>'DCWW CRAI'!K10</f>
        <v>0</v>
      </c>
      <c r="L10" s="60">
        <f>'DCWW CRAI'!L10</f>
        <v>0</v>
      </c>
      <c r="M10" s="60">
        <f>'DCWW CRAI'!M10</f>
        <v>0</v>
      </c>
      <c r="N10" s="60">
        <f>'DCWW CRAI'!N10</f>
        <v>0</v>
      </c>
      <c r="O10" s="60">
        <f>'DCWW CRAI'!O10</f>
        <v>0</v>
      </c>
      <c r="P10" s="60">
        <f>'DCWW CRAI'!P10</f>
        <v>0</v>
      </c>
      <c r="Q10" s="60">
        <f>'DCWW CRAI'!Q10</f>
        <v>0</v>
      </c>
      <c r="R10" s="60">
        <f>'DCWW CRAI'!R10</f>
        <v>0</v>
      </c>
      <c r="S10" s="60">
        <f>'DCWW CRAI'!S10</f>
        <v>0</v>
      </c>
      <c r="T10" s="60">
        <f>'DCWW CRAI'!T10</f>
        <v>0</v>
      </c>
      <c r="U10" s="60">
        <f>'DCWW CRAI'!U10</f>
        <v>0</v>
      </c>
      <c r="V10" s="60">
        <f>'DCWW CRAI'!V10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'DCWW CRAI'!C11</f>
        <v>3</v>
      </c>
      <c r="D11" s="60">
        <f>'DCWW CRAI'!D11</f>
        <v>3</v>
      </c>
      <c r="E11" s="60">
        <f>'DCWW CRAI'!E11</f>
        <v>4</v>
      </c>
      <c r="F11" s="60">
        <f>'DCWW CRAI'!F11</f>
        <v>0</v>
      </c>
      <c r="G11" s="60">
        <f>'DCWW CRAI'!G11</f>
        <v>0</v>
      </c>
      <c r="H11" s="60">
        <f>'DCWW CRAI'!H11</f>
        <v>0</v>
      </c>
      <c r="I11" s="60">
        <f>'DCWW CRAI'!I11</f>
        <v>0</v>
      </c>
      <c r="J11" s="60">
        <f>'DCWW CRAI'!J11</f>
        <v>0</v>
      </c>
      <c r="K11" s="60">
        <f>'DCWW CRAI'!K11</f>
        <v>0</v>
      </c>
      <c r="L11" s="60">
        <f>'DCWW CRAI'!L11</f>
        <v>0</v>
      </c>
      <c r="M11" s="60">
        <f>'DCWW CRAI'!M11</f>
        <v>0</v>
      </c>
      <c r="N11" s="60">
        <f>'DCWW CRAI'!N11</f>
        <v>0</v>
      </c>
      <c r="O11" s="60">
        <f>'DCWW CRAI'!O11</f>
        <v>0</v>
      </c>
      <c r="P11" s="60">
        <f>'DCWW CRAI'!P11</f>
        <v>0</v>
      </c>
      <c r="Q11" s="60">
        <f>'DCWW CRAI'!Q11</f>
        <v>0</v>
      </c>
      <c r="R11" s="60">
        <f>'DCWW CRAI'!R11</f>
        <v>0</v>
      </c>
      <c r="S11" s="60">
        <f>'DCWW CRAI'!S11</f>
        <v>0</v>
      </c>
      <c r="T11" s="60">
        <f>'DCWW CRAI'!T11</f>
        <v>0</v>
      </c>
      <c r="U11" s="60">
        <f>'DCWW CRAI'!U11</f>
        <v>0</v>
      </c>
      <c r="V11" s="60">
        <f>'DCWW CRAI'!V11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'DCWW CRAI'!C12</f>
        <v>3</v>
      </c>
      <c r="D12" s="60">
        <f>'DCWW CRAI'!D12</f>
        <v>3</v>
      </c>
      <c r="E12" s="60">
        <f>'DCWW CRAI'!E12</f>
        <v>3</v>
      </c>
      <c r="F12" s="60">
        <f>'DCWW CRAI'!F12</f>
        <v>0</v>
      </c>
      <c r="G12" s="60">
        <f>'DCWW CRAI'!G12</f>
        <v>0</v>
      </c>
      <c r="H12" s="60">
        <f>'DCWW CRAI'!H12</f>
        <v>0</v>
      </c>
      <c r="I12" s="60">
        <f>'DCWW CRAI'!I12</f>
        <v>0</v>
      </c>
      <c r="J12" s="60">
        <f>'DCWW CRAI'!J12</f>
        <v>0</v>
      </c>
      <c r="K12" s="60">
        <f>'DCWW CRAI'!K12</f>
        <v>0</v>
      </c>
      <c r="L12" s="60">
        <f>'DCWW CRAI'!L12</f>
        <v>0</v>
      </c>
      <c r="M12" s="60">
        <f>'DCWW CRAI'!M12</f>
        <v>0</v>
      </c>
      <c r="N12" s="60">
        <f>'DCWW CRAI'!N12</f>
        <v>0</v>
      </c>
      <c r="O12" s="60">
        <f>'DCWW CRAI'!O12</f>
        <v>0</v>
      </c>
      <c r="P12" s="60">
        <f>'DCWW CRAI'!P12</f>
        <v>0</v>
      </c>
      <c r="Q12" s="60">
        <f>'DCWW CRAI'!Q12</f>
        <v>0</v>
      </c>
      <c r="R12" s="60">
        <f>'DCWW CRAI'!R12</f>
        <v>0</v>
      </c>
      <c r="S12" s="60">
        <f>'DCWW CRAI'!S12</f>
        <v>0</v>
      </c>
      <c r="T12" s="60">
        <f>'DCWW CRAI'!T12</f>
        <v>0</v>
      </c>
      <c r="U12" s="60">
        <f>'DCWW CRAI'!U12</f>
        <v>0</v>
      </c>
      <c r="V12" s="60">
        <f>'DCWW CRAI'!V12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'DCWW CRAI'!C13</f>
        <v>3</v>
      </c>
      <c r="D13" s="60">
        <f>'DCWW CRAI'!D13</f>
        <v>4</v>
      </c>
      <c r="E13" s="60">
        <f>'DCWW CRAI'!E13</f>
        <v>3</v>
      </c>
      <c r="F13" s="60">
        <f>'DCWW CRAI'!F13</f>
        <v>0</v>
      </c>
      <c r="G13" s="60">
        <f>'DCWW CRAI'!G13</f>
        <v>0</v>
      </c>
      <c r="H13" s="60">
        <f>'DCWW CRAI'!H13</f>
        <v>0</v>
      </c>
      <c r="I13" s="60">
        <f>'DCWW CRAI'!I13</f>
        <v>0</v>
      </c>
      <c r="J13" s="60">
        <f>'DCWW CRAI'!J13</f>
        <v>0</v>
      </c>
      <c r="K13" s="60">
        <f>'DCWW CRAI'!K13</f>
        <v>0</v>
      </c>
      <c r="L13" s="60">
        <f>'DCWW CRAI'!L13</f>
        <v>0</v>
      </c>
      <c r="M13" s="60">
        <f>'DCWW CRAI'!M13</f>
        <v>0</v>
      </c>
      <c r="N13" s="60">
        <f>'DCWW CRAI'!N13</f>
        <v>0</v>
      </c>
      <c r="O13" s="60">
        <f>'DCWW CRAI'!O13</f>
        <v>0</v>
      </c>
      <c r="P13" s="60">
        <f>'DCWW CRAI'!P13</f>
        <v>0</v>
      </c>
      <c r="Q13" s="60">
        <f>'DCWW CRAI'!Q13</f>
        <v>0</v>
      </c>
      <c r="R13" s="60">
        <f>'DCWW CRAI'!R13</f>
        <v>0</v>
      </c>
      <c r="S13" s="60">
        <f>'DCWW CRAI'!S13</f>
        <v>0</v>
      </c>
      <c r="T13" s="60">
        <f>'DCWW CRAI'!T13</f>
        <v>0</v>
      </c>
      <c r="U13" s="60">
        <f>'DCWW CRAI'!U13</f>
        <v>0</v>
      </c>
      <c r="V13" s="60">
        <f>'DCWW CRAI'!V13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8" t="s">
        <v>8</v>
      </c>
      <c r="B14" s="138"/>
      <c r="C14" s="102" t="str">
        <f>'DCWW CRAI'!C14</f>
        <v xml:space="preserve">Winter wheat- grain only </v>
      </c>
      <c r="D14" s="102" t="str">
        <f>'DCWW CRAI'!D14</f>
        <v xml:space="preserve">Grass Silage (25% DM) </v>
      </c>
      <c r="E14" s="102" t="str">
        <f>'DCWW CRAI'!E14</f>
        <v xml:space="preserve">Grass Silage (25% DM) </v>
      </c>
      <c r="F14" s="102">
        <f>'DCWW CRAI'!F14</f>
        <v>0</v>
      </c>
      <c r="G14" s="102">
        <f>'DCWW CRAI'!G14</f>
        <v>0</v>
      </c>
      <c r="H14" s="102">
        <f>'DCWW CRAI'!H14</f>
        <v>0</v>
      </c>
      <c r="I14" s="102">
        <f>'DCWW CRAI'!I14</f>
        <v>0</v>
      </c>
      <c r="J14" s="102">
        <f>'DCWW CRAI'!J14</f>
        <v>0</v>
      </c>
      <c r="K14" s="102">
        <f>'DCWW CRAI'!K14</f>
        <v>0</v>
      </c>
      <c r="L14" s="102">
        <f>'DCWW CRAI'!L14</f>
        <v>0</v>
      </c>
      <c r="M14" s="102">
        <f>'DCWW CRAI'!M14</f>
        <v>0</v>
      </c>
      <c r="N14" s="102">
        <f>'DCWW CRAI'!N14</f>
        <v>0</v>
      </c>
      <c r="O14" s="102">
        <f>'DCWW CRAI'!O14</f>
        <v>0</v>
      </c>
      <c r="P14" s="102">
        <f>'DCWW CRAI'!P14</f>
        <v>0</v>
      </c>
      <c r="Q14" s="102">
        <f>'DCWW CRAI'!Q14</f>
        <v>0</v>
      </c>
      <c r="R14" s="102">
        <f>'DCWW CRAI'!R14</f>
        <v>0</v>
      </c>
      <c r="S14" s="102">
        <f>'DCWW CRAI'!S14</f>
        <v>0</v>
      </c>
      <c r="T14" s="102">
        <f>'DCWW CRAI'!T14</f>
        <v>0</v>
      </c>
      <c r="U14" s="102">
        <f>'DCWW CRAI'!U14</f>
        <v>0</v>
      </c>
      <c r="V14" s="102">
        <f>'DCWW CRAI'!V14</f>
        <v>0</v>
      </c>
      <c r="AD14" s="30" t="s">
        <v>138</v>
      </c>
      <c r="AE14" s="30">
        <v>6</v>
      </c>
      <c r="AI14" s="53" t="s">
        <v>119</v>
      </c>
      <c r="AJ14" s="54">
        <v>0.8</v>
      </c>
      <c r="AK14" s="55">
        <v>1.7</v>
      </c>
      <c r="AL14" s="11">
        <v>12</v>
      </c>
      <c r="AM14" s="11">
        <v>6.7</v>
      </c>
      <c r="AN14" s="11" t="s">
        <v>135</v>
      </c>
    </row>
    <row r="15" spans="1:41" x14ac:dyDescent="0.25">
      <c r="A15" s="137" t="s">
        <v>9</v>
      </c>
      <c r="B15" s="137"/>
      <c r="C15" s="60">
        <f>'DCWW CRAI'!C15</f>
        <v>8</v>
      </c>
      <c r="D15" s="60">
        <f>'DCWW CRAI'!D15</f>
        <v>38</v>
      </c>
      <c r="E15" s="60">
        <f>'DCWW CRAI'!E15</f>
        <v>38</v>
      </c>
      <c r="F15" s="60">
        <f>'DCWW CRAI'!F15</f>
        <v>0</v>
      </c>
      <c r="G15" s="60">
        <f>'DCWW CRAI'!G15</f>
        <v>0</v>
      </c>
      <c r="H15" s="60">
        <f>'DCWW CRAI'!H15</f>
        <v>0</v>
      </c>
      <c r="I15" s="60">
        <f>'DCWW CRAI'!I15</f>
        <v>0</v>
      </c>
      <c r="J15" s="60">
        <f>'DCWW CRAI'!J15</f>
        <v>0</v>
      </c>
      <c r="K15" s="60">
        <f>'DCWW CRAI'!K15</f>
        <v>0</v>
      </c>
      <c r="L15" s="60">
        <f>'DCWW CRAI'!L15</f>
        <v>0</v>
      </c>
      <c r="M15" s="60">
        <f>'DCWW CRAI'!M15</f>
        <v>0</v>
      </c>
      <c r="N15" s="60">
        <f>'DCWW CRAI'!N15</f>
        <v>0</v>
      </c>
      <c r="O15" s="60">
        <f>'DCWW CRAI'!O15</f>
        <v>0</v>
      </c>
      <c r="P15" s="60">
        <f>'DCWW CRAI'!P15</f>
        <v>0</v>
      </c>
      <c r="Q15" s="60">
        <f>'DCWW CRAI'!Q15</f>
        <v>0</v>
      </c>
      <c r="R15" s="60">
        <f>'DCWW CRAI'!R15</f>
        <v>0</v>
      </c>
      <c r="S15" s="60">
        <f>'DCWW CRAI'!S15</f>
        <v>0</v>
      </c>
      <c r="T15" s="60">
        <f>'DCWW CRAI'!T15</f>
        <v>0</v>
      </c>
      <c r="U15" s="60">
        <f>'DCWW CRAI'!U15</f>
        <v>0</v>
      </c>
      <c r="V15" s="60">
        <f>'DCWW CRAI'!V15</f>
        <v>0</v>
      </c>
      <c r="AD15" s="30" t="s">
        <v>144</v>
      </c>
      <c r="AE15" s="30">
        <v>7</v>
      </c>
      <c r="AI15" s="53" t="s">
        <v>101</v>
      </c>
      <c r="AJ15" s="62">
        <v>1.8</v>
      </c>
      <c r="AK15" s="55">
        <v>5.4</v>
      </c>
      <c r="AL15" s="11">
        <v>13</v>
      </c>
      <c r="AM15" s="11">
        <v>6.7</v>
      </c>
      <c r="AN15" s="11" t="s">
        <v>135</v>
      </c>
    </row>
    <row r="16" spans="1:41" ht="13.8" thickBot="1" x14ac:dyDescent="0.3">
      <c r="A16" s="139" t="s">
        <v>44</v>
      </c>
      <c r="B16" s="139"/>
      <c r="C16" s="103" t="str">
        <f>'DCWW CRAI'!C16</f>
        <v>Medium/Clay</v>
      </c>
      <c r="D16" s="103" t="str">
        <f>'DCWW CRAI'!D16</f>
        <v>Medium/Clay</v>
      </c>
      <c r="E16" s="103" t="str">
        <f>'DCWW CRAI'!E16</f>
        <v>Medium/Clay</v>
      </c>
      <c r="F16" s="103">
        <f>'DCWW CRAI'!F16</f>
        <v>0</v>
      </c>
      <c r="G16" s="103">
        <f>'DCWW CRAI'!G16</f>
        <v>0</v>
      </c>
      <c r="H16" s="103">
        <f>'DCWW CRAI'!H16</f>
        <v>0</v>
      </c>
      <c r="I16" s="103">
        <f>'DCWW CRAI'!I16</f>
        <v>0</v>
      </c>
      <c r="J16" s="103">
        <f>'DCWW CRAI'!J16</f>
        <v>0</v>
      </c>
      <c r="K16" s="103">
        <f>'DCWW CRAI'!K16</f>
        <v>0</v>
      </c>
      <c r="L16" s="103">
        <f>'DCWW CRAI'!L16</f>
        <v>0</v>
      </c>
      <c r="M16" s="103">
        <f>'DCWW CRAI'!M16</f>
        <v>0</v>
      </c>
      <c r="N16" s="103">
        <f>'DCWW CRAI'!N16</f>
        <v>0</v>
      </c>
      <c r="O16" s="103">
        <f>'DCWW CRAI'!O16</f>
        <v>0</v>
      </c>
      <c r="P16" s="103">
        <f>'DCWW CRAI'!P16</f>
        <v>0</v>
      </c>
      <c r="Q16" s="103">
        <f>'DCWW CRAI'!Q16</f>
        <v>0</v>
      </c>
      <c r="R16" s="103">
        <f>'DCWW CRAI'!R16</f>
        <v>0</v>
      </c>
      <c r="S16" s="103">
        <f>'DCWW CRAI'!S16</f>
        <v>0</v>
      </c>
      <c r="T16" s="103">
        <f>'DCWW CRAI'!T16</f>
        <v>0</v>
      </c>
      <c r="U16" s="103">
        <f>'DCWW CRAI'!U16</f>
        <v>0</v>
      </c>
      <c r="V16" s="103">
        <f>'DCWW CRAI'!V16</f>
        <v>0</v>
      </c>
      <c r="AD16" s="52" t="s">
        <v>145</v>
      </c>
      <c r="AE16" s="30">
        <v>8</v>
      </c>
      <c r="AI16" s="53" t="s">
        <v>118</v>
      </c>
      <c r="AJ16" s="54">
        <v>8</v>
      </c>
      <c r="AK16" s="55">
        <v>5.5</v>
      </c>
      <c r="AL16" s="12">
        <v>14</v>
      </c>
      <c r="AM16" s="11">
        <v>6.7</v>
      </c>
      <c r="AN16" s="11" t="s">
        <v>135</v>
      </c>
    </row>
    <row r="17" spans="1:40" x14ac:dyDescent="0.25">
      <c r="A17" s="135" t="s">
        <v>69</v>
      </c>
      <c r="B17" s="136"/>
      <c r="C17" s="28">
        <f>(VLOOKUP(C$14,$AI2:$AK26,2,FALSE))*C$15</f>
        <v>52</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3" t="s">
        <v>23</v>
      </c>
      <c r="B18" s="134"/>
      <c r="C18" s="16">
        <f>$D31</f>
        <v>16.397113125999997</v>
      </c>
      <c r="D18" s="16">
        <f>$D32</f>
        <v>16.397113125999997</v>
      </c>
      <c r="E18" s="16">
        <f>$D33</f>
        <v>16.397113125999997</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3" t="s">
        <v>90</v>
      </c>
      <c r="B19" s="134"/>
      <c r="C19" s="16">
        <f>C18-C17</f>
        <v>-35.602886874000006</v>
      </c>
      <c r="D19" s="16">
        <f t="shared" ref="D19:V19" si="1">D18-D17</f>
        <v>-48.202886874000001</v>
      </c>
      <c r="E19" s="16">
        <f t="shared" si="1"/>
        <v>-48.202886874000001</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5" t="s">
        <v>88</v>
      </c>
      <c r="B21" s="136"/>
      <c r="C21" s="28">
        <f>(VLOOKUP(C$14,$AI2:$AK26,3,FALSE))*C$15</f>
        <v>44</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3" t="s">
        <v>89</v>
      </c>
      <c r="B22" s="134"/>
      <c r="C22" s="16">
        <f>$E31</f>
        <v>0.56829053200000013</v>
      </c>
      <c r="D22" s="16">
        <f>$E32</f>
        <v>0.56829053200000013</v>
      </c>
      <c r="E22" s="16">
        <f>$E33</f>
        <v>0.56829053200000013</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3" t="s">
        <v>92</v>
      </c>
      <c r="B23" s="134"/>
      <c r="C23" s="16">
        <f>C22-C21</f>
        <v>-43.431709468000001</v>
      </c>
      <c r="D23" s="16">
        <f t="shared" ref="D23:V23" si="3">D22-D21</f>
        <v>-227.43170946800001</v>
      </c>
      <c r="E23" s="16">
        <f t="shared" si="3"/>
        <v>-227.43170946800001</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1" t="s">
        <v>93</v>
      </c>
      <c r="B24" s="132"/>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4.37</v>
      </c>
      <c r="C28" s="15">
        <v>1.59</v>
      </c>
      <c r="D28" s="15">
        <v>0.43099999999999999</v>
      </c>
      <c r="E28" s="15">
        <v>2.8400000000000002E-2</v>
      </c>
      <c r="F28" s="15">
        <v>655</v>
      </c>
      <c r="G28" s="15">
        <v>32.299999999999997</v>
      </c>
      <c r="H28" s="15">
        <v>163</v>
      </c>
      <c r="I28" s="15">
        <v>3</v>
      </c>
      <c r="J28" s="15">
        <v>1.1299999999999999</v>
      </c>
      <c r="K28" s="23">
        <v>0.47</v>
      </c>
      <c r="L28" s="15">
        <v>27.8</v>
      </c>
      <c r="M28" s="15">
        <v>13.4</v>
      </c>
      <c r="N28" s="15">
        <v>164000</v>
      </c>
      <c r="O28" s="15">
        <v>22000</v>
      </c>
      <c r="P28" s="15"/>
      <c r="Q28" s="15">
        <v>10300</v>
      </c>
      <c r="R28" s="15"/>
      <c r="S28" s="15">
        <v>14.8</v>
      </c>
      <c r="T28" s="15"/>
      <c r="U28" s="15"/>
    </row>
    <row r="29" spans="1:40" s="7" customFormat="1" ht="28.8" x14ac:dyDescent="0.3">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3</v>
      </c>
      <c r="B31" s="15">
        <v>38</v>
      </c>
      <c r="C31" s="77">
        <f>IF(C$27="%w/w SAR",((C$28*10)*$B31),IF(C$27="%w/w DM",(((C$28*10)*($B$28/100))*$B31),IF(C$27="kg/t SAR",(C$28*$B31),IF(C$27="kg/t DM",((C$28*($B$28/100))*$B31),IF(C$27="mg/kg SAR",((C$28*0.001)*$B31),IF(C$27="mg/kg DM",(((C$28*0.001)*($B$28/100))*$B31),0))))))</f>
        <v>26.403540000000003</v>
      </c>
      <c r="D31" s="77">
        <f>(IF(D$27="%w/w SAR",((D$28*10)*$B31),IF(D$27="%w/w DM",(((D$28*10)*($B$28/100))*$B31),IF(D$27="kg/t SAR",(D$28*$B31),IF(D$27="kg/t DM",((D$28*($B$28/100))*$B31),IF(D$27="mg/kg SAR",((D$28*0.001)*$B31),IF(D$27="mg/kg DM",(((D$28*0.001)*($B$28/100))*$B31),"0")))))))*2.291</f>
        <v>16.397113125999997</v>
      </c>
      <c r="E31" s="77">
        <f>(IF(E$27="%w/w SAR",((E$28*10)*$B31),IF(E$27="%w/w DM",(((E$28*10)*($B$28/100))*$B31),IF(E$27="kg/t SAR",(E$28*$B31),IF(E$27="kg/t DM",((E$28*($B$28/100))*$B31),IF(E$27="mg/kg SAR",((E$28*0.001)*$B31),IF(E$27="mg/kg DM",(((E$28*0.001)*($B$28/100))*$B31),"0")))))))*1.205</f>
        <v>0.56829053200000013</v>
      </c>
      <c r="F31" s="77">
        <f>(IF(F$27="%w/w SAR",((F$28*10)*$B31),IF(F$27="%w/w DM",(((F$28*10)*($B$28/100))*$B31),IF(F$27="kg/t SAR",(F$28*$B31),IF(F$27="kg/t DM",((F$28*($B$28/100))*$B31),IF(F$27="mg/kg SAR",((F$28*0.001)*$B31),IF(F$27="mg/kg DM",(((F$28*0.001)*($B$28/100))*$B31),"0")))))))*1.658</f>
        <v>1.803394994</v>
      </c>
      <c r="G31" s="77">
        <f t="shared" ref="G31:P46" si="5">IF(G$27="%w/w SAR",((G$28*10)*$B31),IF(G$27="%w/w DM",(((G$28*10)*($B$28/100))*$B31),IF(G$27="kg/t SAR",(G$28*$B31),IF(G$27="kg/t DM",((G$28*($B$28/100))*$B31),IF(G$27="mg/kg SAR",((G$28*0.001)*$B31),IF(G$27="mg/kg DM",(((G$28*0.001)*($B$28/100))*$B31),0))))))</f>
        <v>5.3637379999999998E-2</v>
      </c>
      <c r="H31" s="77">
        <f t="shared" si="5"/>
        <v>0.27067780000000002</v>
      </c>
      <c r="I31" s="77">
        <f t="shared" si="5"/>
        <v>4.9818000000000006E-3</v>
      </c>
      <c r="J31" s="77">
        <f t="shared" si="5"/>
        <v>1.876478E-3</v>
      </c>
      <c r="K31" s="77">
        <f t="shared" si="5"/>
        <v>7.8048200000000009E-4</v>
      </c>
      <c r="L31" s="77">
        <f t="shared" si="5"/>
        <v>4.6164680000000007E-2</v>
      </c>
      <c r="M31" s="77">
        <f t="shared" si="5"/>
        <v>2.2252040000000001E-2</v>
      </c>
      <c r="N31" s="77">
        <f t="shared" si="5"/>
        <v>272.33840000000004</v>
      </c>
      <c r="O31" s="77">
        <f t="shared" si="5"/>
        <v>36.533200000000001</v>
      </c>
      <c r="P31" s="77">
        <f t="shared" si="5"/>
        <v>0</v>
      </c>
      <c r="Q31" s="77">
        <f>(IF(Q$27="%w/w SAR",((Q$28*10)*$B31),IF(Q$27="%w/w DM",(((Q$28*10)*($B$28/100))*$B31),IF(Q$27="kg/t SAR",(Q$28*$B31),IF(Q$27="kg/t DM",((Q$28*($B$28/100))*$B31),IF(Q$27="mg/kg SAR",((Q$28*0.001)*$B31),IF(Q$27="mg/kg DM",(((Q$28*0.001)*($B$28/100))*$B31),0)))))))*2.5</f>
        <v>42.760450000000006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2.4576880000000002E-2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5AB</v>
      </c>
      <c r="B32" s="15">
        <v>38</v>
      </c>
      <c r="C32" s="77">
        <f t="shared" ref="C32:C50" si="6">IF(C$27="%w/w SAR",((C$28*10)*$B32),IF(C$27="%w/w DM",(((C$28*10)*($B$28/100))*$B32),IF(C$27="kg/t SAR",(C$28*$B32),IF(C$27="kg/t DM",((C$28*($B$28/100))*$B32),IF(C$27="mg/kg SAR",((C$28*0.001)*$B32),IF(C$27="mg/kg DM",(((C$28*0.001)*($B$28/100))*$B32),0))))))</f>
        <v>26.403540000000003</v>
      </c>
      <c r="D32" s="77">
        <f t="shared" ref="D32:D50" si="7">(IF(D$27="%w/w SAR",((D$28*10)*$B32),IF(D$27="%w/w DM",(((D$28*10)*($B$28/100))*$B32),IF(D$27="kg/t SAR",(D$28*$B32),IF(D$27="kg/t DM",((D$28*($B$28/100))*$B32),IF(D$27="mg/kg SAR",((D$28*0.001)*$B32),IF(D$27="mg/kg DM",(((D$28*0.001)*($B$28/100))*$B32),"0")))))))*2.291</f>
        <v>16.397113125999997</v>
      </c>
      <c r="E32" s="77">
        <f t="shared" ref="E32:E50" si="8">(IF(E$27="%w/w SAR",((E$28*10)*$B32),IF(E$27="%w/w DM",(((E$28*10)*($B$28/100))*$B32),IF(E$27="kg/t SAR",(E$28*$B32),IF(E$27="kg/t DM",((E$28*($B$28/100))*$B32),IF(E$27="mg/kg SAR",((E$28*0.001)*$B32),IF(E$27="mg/kg DM",(((E$28*0.001)*($B$28/100))*$B32),"0")))))))*1.205</f>
        <v>0.56829053200000013</v>
      </c>
      <c r="F32" s="77">
        <f t="shared" ref="F32:F50" si="9">(IF(F$27="%w/w SAR",((F$28*10)*$B32),IF(F$27="%w/w DM",(((F$28*10)*($B$28/100))*$B32),IF(F$27="kg/t SAR",(F$28*$B32),IF(F$27="kg/t DM",((F$28*($B$28/100))*$B32),IF(F$27="mg/kg SAR",((F$28*0.001)*$B32),IF(F$27="mg/kg DM",(((F$28*0.001)*($B$28/100))*$B32),"0")))))))*1.658</f>
        <v>1.803394994</v>
      </c>
      <c r="G32" s="77">
        <f t="shared" si="5"/>
        <v>5.3637379999999998E-2</v>
      </c>
      <c r="H32" s="77">
        <f t="shared" si="5"/>
        <v>0.27067780000000002</v>
      </c>
      <c r="I32" s="77">
        <f t="shared" si="5"/>
        <v>4.9818000000000006E-3</v>
      </c>
      <c r="J32" s="77">
        <f t="shared" si="5"/>
        <v>1.876478E-3</v>
      </c>
      <c r="K32" s="77">
        <f t="shared" si="5"/>
        <v>7.8048200000000009E-4</v>
      </c>
      <c r="L32" s="77">
        <f t="shared" si="5"/>
        <v>4.6164680000000007E-2</v>
      </c>
      <c r="M32" s="77">
        <f t="shared" si="5"/>
        <v>2.2252040000000001E-2</v>
      </c>
      <c r="N32" s="77">
        <f t="shared" si="5"/>
        <v>272.33840000000004</v>
      </c>
      <c r="O32" s="77">
        <f t="shared" si="5"/>
        <v>36.533200000000001</v>
      </c>
      <c r="P32" s="77">
        <f t="shared" si="5"/>
        <v>0</v>
      </c>
      <c r="Q32" s="77">
        <f t="shared" ref="Q32:Q50" si="10">(IF(Q$27="%w/w SAR",((Q$28*10)*$B32),IF(Q$27="%w/w DM",(((Q$28*10)*($B$28/100))*$B32),IF(Q$27="kg/t SAR",(Q$28*$B32),IF(Q$27="kg/t DM",((Q$28*($B$28/100))*$B32),IF(Q$27="mg/kg SAR",((Q$28*0.001)*$B32),IF(Q$27="mg/kg DM",(((Q$28*0.001)*($B$28/100))*$B32),0)))))))*2.5</f>
        <v>42.760450000000006</v>
      </c>
      <c r="R32" s="77">
        <f t="shared" ref="R32:U50" si="11">IF(R$27="%w/w SAR",((R$28*10)*$B32),IF(R$27="%w/w DM",(((R$28*10)*($B$28/100))*$B32),IF(R$27="kg/t SAR",(R$28*$B32),IF(R$27="kg/t DM",((R$28*($B$28/100))*$B32),IF(R$27="mg/kg SAR",((R$28*0.001)*$B32),IF(R$27="mg/kg DM",(((R$28*0.001)*($B$28/100))*$B32),0))))))</f>
        <v>0</v>
      </c>
      <c r="S32" s="77">
        <f t="shared" si="11"/>
        <v>2.4576880000000002E-2</v>
      </c>
      <c r="T32" s="77">
        <f t="shared" si="11"/>
        <v>0</v>
      </c>
      <c r="U32" s="77">
        <f t="shared" si="11"/>
        <v>0</v>
      </c>
      <c r="AB32" s="59"/>
      <c r="AC32" s="59"/>
      <c r="AD32" s="59"/>
      <c r="AE32" s="59"/>
      <c r="AF32" s="59"/>
      <c r="AG32" s="59"/>
      <c r="AH32" s="59"/>
      <c r="AI32" s="59"/>
    </row>
    <row r="33" spans="1:35" s="72" customFormat="1" x14ac:dyDescent="0.3">
      <c r="A33" s="13" t="str">
        <f>E8</f>
        <v>6ABC</v>
      </c>
      <c r="B33" s="15">
        <v>38</v>
      </c>
      <c r="C33" s="77">
        <f t="shared" si="6"/>
        <v>26.403540000000003</v>
      </c>
      <c r="D33" s="77">
        <f t="shared" si="7"/>
        <v>16.397113125999997</v>
      </c>
      <c r="E33" s="77">
        <f t="shared" si="8"/>
        <v>0.56829053200000013</v>
      </c>
      <c r="F33" s="77">
        <f t="shared" si="9"/>
        <v>1.803394994</v>
      </c>
      <c r="G33" s="77">
        <f t="shared" si="5"/>
        <v>5.3637379999999998E-2</v>
      </c>
      <c r="H33" s="77">
        <f t="shared" si="5"/>
        <v>0.27067780000000002</v>
      </c>
      <c r="I33" s="77">
        <f t="shared" si="5"/>
        <v>4.9818000000000006E-3</v>
      </c>
      <c r="J33" s="77">
        <f t="shared" si="5"/>
        <v>1.876478E-3</v>
      </c>
      <c r="K33" s="77">
        <f t="shared" si="5"/>
        <v>7.8048200000000009E-4</v>
      </c>
      <c r="L33" s="77">
        <f t="shared" si="5"/>
        <v>4.6164680000000007E-2</v>
      </c>
      <c r="M33" s="77">
        <f t="shared" si="5"/>
        <v>2.2252040000000001E-2</v>
      </c>
      <c r="N33" s="77">
        <f t="shared" si="5"/>
        <v>272.33840000000004</v>
      </c>
      <c r="O33" s="77">
        <f t="shared" si="5"/>
        <v>36.533200000000001</v>
      </c>
      <c r="P33" s="77">
        <f t="shared" si="5"/>
        <v>0</v>
      </c>
      <c r="Q33" s="77">
        <f t="shared" si="10"/>
        <v>42.760450000000006</v>
      </c>
      <c r="R33" s="77">
        <f t="shared" si="11"/>
        <v>0</v>
      </c>
      <c r="S33" s="77">
        <f t="shared" si="11"/>
        <v>2.4576880000000002E-2</v>
      </c>
      <c r="T33" s="77">
        <f t="shared" si="11"/>
        <v>0</v>
      </c>
      <c r="U33" s="77">
        <f t="shared" si="11"/>
        <v>0</v>
      </c>
      <c r="AB33" s="59"/>
      <c r="AC33" s="59"/>
      <c r="AD33" s="59"/>
      <c r="AE33" s="59"/>
      <c r="AF33" s="59"/>
      <c r="AG33" s="59"/>
      <c r="AH33" s="59"/>
      <c r="AI33" s="59"/>
    </row>
    <row r="34" spans="1:35" s="72" customFormat="1" x14ac:dyDescent="0.3">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3</v>
      </c>
      <c r="C57" s="8" t="str">
        <f t="shared" ref="C57:U57" si="13">D8</f>
        <v>5AB</v>
      </c>
      <c r="D57" s="8" t="str">
        <f t="shared" si="13"/>
        <v>6ABC</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"&amp;(VLOOKUP(C14,Table2458[],6,FALSE))</f>
        <v>Medium/Clay I Arable</v>
      </c>
      <c r="C58" s="13" t="str">
        <f>D16&amp;" I "&amp;(VLOOKUP(D14,Table2458[],6,FALSE))</f>
        <v>Medium/Clay I Grass</v>
      </c>
      <c r="D58" s="13" t="str">
        <f>E16&amp;" I "&amp;(VLOOKUP(E14,Table2458[],6,FALSE))</f>
        <v>Medium/Clay I Grass</v>
      </c>
      <c r="E58" s="13" t="e">
        <f>F16&amp;" I "&amp;(VLOOKUP(F14,Table2458[],6,FALSE))</f>
        <v>#N/A</v>
      </c>
      <c r="F58" s="13" t="e">
        <f>G16&amp;" I "&amp;(VLOOKUP(G14,Table2458[],6,FALSE))</f>
        <v>#N/A</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5">
      <c r="A59" s="111" t="s">
        <v>132</v>
      </c>
      <c r="B59" s="76">
        <f>VLOOKUP(C$14,Table2458[],5,FALSE)</f>
        <v>6.7</v>
      </c>
      <c r="C59" s="76">
        <f>VLOOKUP(D$14,Table2458[],5,FALSE)</f>
        <v>6.2</v>
      </c>
      <c r="D59" s="76">
        <f>VLOOKUP(E$14,Table2458[],5,FALSE)</f>
        <v>6.2</v>
      </c>
      <c r="E59" s="76" t="e">
        <f>VLOOKUP(F$14,Table2458[],5,FALSE)</f>
        <v>#N/A</v>
      </c>
      <c r="F59" s="76" t="e">
        <f>VLOOKUP(G$14,Table2458[],5,FALSE)</f>
        <v>#N/A</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5">
      <c r="A60" s="111" t="s">
        <v>4</v>
      </c>
      <c r="B60" s="76">
        <f>C10</f>
        <v>7.6</v>
      </c>
      <c r="C60" s="76">
        <f t="shared" ref="C60:U60" si="14">D10</f>
        <v>7.7</v>
      </c>
      <c r="D60" s="76">
        <f t="shared" si="14"/>
        <v>7.9</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38</v>
      </c>
      <c r="C62" s="77">
        <f>B32</f>
        <v>38</v>
      </c>
      <c r="D62" s="77">
        <f>B33</f>
        <v>38</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-9</v>
      </c>
      <c r="D64" s="77">
        <f t="shared" si="17"/>
        <v>-10.200000000000001</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9</v>
      </c>
      <c r="D65" s="77">
        <f t="shared" si="18"/>
        <v>10.200000000000001</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9" t="s">
        <v>41</v>
      </c>
      <c r="B1" s="129"/>
      <c r="C1" s="142" t="str">
        <f>'DCWW CRAI'!C1:D1</f>
        <v>PAN-024175</v>
      </c>
      <c r="D1" s="143"/>
      <c r="E1" s="93" t="s">
        <v>45</v>
      </c>
      <c r="F1" s="39">
        <f>'DCWW CRAI'!F1</f>
        <v>45.52</v>
      </c>
      <c r="G1" s="125" t="s">
        <v>43</v>
      </c>
      <c r="H1" s="126"/>
      <c r="I1" s="118">
        <v>6.5</v>
      </c>
      <c r="J1" s="129" t="s">
        <v>153</v>
      </c>
      <c r="K1" s="129"/>
      <c r="L1" s="97">
        <v>237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4" t="str">
        <f>'DCWW CRAI'!C2:D2</f>
        <v>EPR/GP3792SK</v>
      </c>
      <c r="D2" s="145"/>
      <c r="E2" s="93" t="s">
        <v>109</v>
      </c>
      <c r="F2" s="119" t="s">
        <v>165</v>
      </c>
      <c r="G2" s="127" t="s">
        <v>110</v>
      </c>
      <c r="H2" s="128"/>
      <c r="I2" s="118"/>
      <c r="J2" s="129" t="s">
        <v>158</v>
      </c>
      <c r="K2" s="129"/>
      <c r="L2" s="97">
        <v>1.39</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4" t="str">
        <f>'DCWW CRAI'!C3:D3</f>
        <v>BYPRODUCT RECOVERY LIMITED</v>
      </c>
      <c r="D3" s="145"/>
      <c r="E3" s="93" t="s">
        <v>108</v>
      </c>
      <c r="F3" s="31" t="s">
        <v>78</v>
      </c>
      <c r="G3" s="129" t="s">
        <v>159</v>
      </c>
      <c r="H3" s="129"/>
      <c r="I3" s="118"/>
      <c r="J3" s="125" t="s">
        <v>154</v>
      </c>
      <c r="K3" s="126"/>
      <c r="L3" s="97">
        <f>(L1/(L2*10000))*100</f>
        <v>1.7050359712230216</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2" t="str">
        <f>'DCWW CRAI'!C4:D4</f>
        <v>Rosedew Farm, Llantwit Major, CF61 1PZ</v>
      </c>
      <c r="D4" s="143"/>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2" t="str">
        <f>'DCWW CRAI'!C5:D5</f>
        <v>Owen Clee</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'DCWW CRAI'!C8</f>
        <v>3</v>
      </c>
      <c r="D8" s="60" t="str">
        <f>'DCWW CRAI'!D8</f>
        <v>5AB</v>
      </c>
      <c r="E8" s="60" t="str">
        <f>'DCWW CRAI'!E8</f>
        <v>6ABC</v>
      </c>
      <c r="F8" s="60">
        <f>'DCWW CRAI'!F8</f>
        <v>0</v>
      </c>
      <c r="G8" s="60">
        <f>'DCWW CRAI'!G8</f>
        <v>0</v>
      </c>
      <c r="H8" s="60">
        <f>'DCWW CRAI'!H8</f>
        <v>0</v>
      </c>
      <c r="I8" s="60">
        <f>'DCWW CRAI'!I8</f>
        <v>0</v>
      </c>
      <c r="J8" s="60">
        <f>'DCWW CRAI'!J8</f>
        <v>0</v>
      </c>
      <c r="K8" s="60">
        <f>'DCWW CRAI'!K8</f>
        <v>0</v>
      </c>
      <c r="L8" s="60">
        <f>'DCWW CRAI'!L8</f>
        <v>0</v>
      </c>
      <c r="M8" s="60">
        <f>'DCWW CRAI'!M8</f>
        <v>0</v>
      </c>
      <c r="N8" s="60">
        <f>'DCWW CRAI'!N8</f>
        <v>0</v>
      </c>
      <c r="O8" s="60">
        <f>'DCWW CRAI'!O8</f>
        <v>0</v>
      </c>
      <c r="P8" s="60">
        <f>'DCWW CRAI'!P8</f>
        <v>0</v>
      </c>
      <c r="Q8" s="60">
        <f>'DCWW CRAI'!Q8</f>
        <v>0</v>
      </c>
      <c r="R8" s="60">
        <f>'DCWW CRAI'!R8</f>
        <v>0</v>
      </c>
      <c r="S8" s="60">
        <f>'DCWW CRAI'!S8</f>
        <v>0</v>
      </c>
      <c r="T8" s="60">
        <f>'DCWW CRAI'!T8</f>
        <v>0</v>
      </c>
      <c r="U8" s="60">
        <f>'DCWW CRAI'!U8</f>
        <v>0</v>
      </c>
      <c r="V8" s="60">
        <f>'DCWW CRAI'!V8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'DCWW CRAI'!C9</f>
        <v>1</v>
      </c>
      <c r="D9" s="60" t="str">
        <f>'DCWW CRAI'!D9</f>
        <v>Moderate</v>
      </c>
      <c r="E9" s="60" t="str">
        <f>'DCWW CRAI'!E9</f>
        <v>Moderate</v>
      </c>
      <c r="F9" s="60">
        <f>'DCWW CRAI'!F9</f>
        <v>0</v>
      </c>
      <c r="G9" s="60">
        <f>'DCWW CRAI'!G9</f>
        <v>0</v>
      </c>
      <c r="H9" s="60">
        <f>'DCWW CRAI'!H9</f>
        <v>0</v>
      </c>
      <c r="I9" s="60">
        <f>'DCWW CRAI'!I9</f>
        <v>0</v>
      </c>
      <c r="J9" s="60">
        <f>'DCWW CRAI'!J9</f>
        <v>0</v>
      </c>
      <c r="K9" s="60">
        <f>'DCWW CRAI'!K9</f>
        <v>0</v>
      </c>
      <c r="L9" s="60">
        <f>'DCWW CRAI'!L9</f>
        <v>0</v>
      </c>
      <c r="M9" s="60">
        <f>'DCWW CRAI'!M9</f>
        <v>0</v>
      </c>
      <c r="N9" s="60">
        <f>'DCWW CRAI'!N9</f>
        <v>0</v>
      </c>
      <c r="O9" s="60">
        <f>'DCWW CRAI'!O9</f>
        <v>0</v>
      </c>
      <c r="P9" s="60">
        <f>'DCWW CRAI'!P9</f>
        <v>0</v>
      </c>
      <c r="Q9" s="60">
        <f>'DCWW CRAI'!Q9</f>
        <v>0</v>
      </c>
      <c r="R9" s="60">
        <f>'DCWW CRAI'!R9</f>
        <v>0</v>
      </c>
      <c r="S9" s="60">
        <f>'DCWW CRAI'!S9</f>
        <v>0</v>
      </c>
      <c r="T9" s="60">
        <f>'DCWW CRAI'!T9</f>
        <v>0</v>
      </c>
      <c r="U9" s="60">
        <f>'DCWW CRAI'!U9</f>
        <v>0</v>
      </c>
      <c r="V9" s="60">
        <f>'DCWW CRAI'!V9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'DCWW CRAI'!C10</f>
        <v>7.6</v>
      </c>
      <c r="D10" s="60">
        <f>'DCWW CRAI'!D10</f>
        <v>7.7</v>
      </c>
      <c r="E10" s="60">
        <f>'DCWW CRAI'!E10</f>
        <v>7.9</v>
      </c>
      <c r="F10" s="60">
        <f>'DCWW CRAI'!F10</f>
        <v>0</v>
      </c>
      <c r="G10" s="60">
        <f>'DCWW CRAI'!G10</f>
        <v>0</v>
      </c>
      <c r="H10" s="60">
        <f>'DCWW CRAI'!H10</f>
        <v>0</v>
      </c>
      <c r="I10" s="60">
        <f>'DCWW CRAI'!I10</f>
        <v>0</v>
      </c>
      <c r="J10" s="60">
        <f>'DCWW CRAI'!J10</f>
        <v>0</v>
      </c>
      <c r="K10" s="60">
        <f>'DCWW CRAI'!K10</f>
        <v>0</v>
      </c>
      <c r="L10" s="60">
        <f>'DCWW CRAI'!L10</f>
        <v>0</v>
      </c>
      <c r="M10" s="60">
        <f>'DCWW CRAI'!M10</f>
        <v>0</v>
      </c>
      <c r="N10" s="60">
        <f>'DCWW CRAI'!N10</f>
        <v>0</v>
      </c>
      <c r="O10" s="60">
        <f>'DCWW CRAI'!O10</f>
        <v>0</v>
      </c>
      <c r="P10" s="60">
        <f>'DCWW CRAI'!P10</f>
        <v>0</v>
      </c>
      <c r="Q10" s="60">
        <f>'DCWW CRAI'!Q10</f>
        <v>0</v>
      </c>
      <c r="R10" s="60">
        <f>'DCWW CRAI'!R10</f>
        <v>0</v>
      </c>
      <c r="S10" s="60">
        <f>'DCWW CRAI'!S10</f>
        <v>0</v>
      </c>
      <c r="T10" s="60">
        <f>'DCWW CRAI'!T10</f>
        <v>0</v>
      </c>
      <c r="U10" s="60">
        <f>'DCWW CRAI'!U10</f>
        <v>0</v>
      </c>
      <c r="V10" s="60">
        <f>'DCWW CRAI'!V10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'DCWW CRAI'!C11</f>
        <v>3</v>
      </c>
      <c r="D11" s="60">
        <f>'DCWW CRAI'!D11</f>
        <v>3</v>
      </c>
      <c r="E11" s="60">
        <f>'DCWW CRAI'!E11</f>
        <v>4</v>
      </c>
      <c r="F11" s="60">
        <f>'DCWW CRAI'!F11</f>
        <v>0</v>
      </c>
      <c r="G11" s="60">
        <f>'DCWW CRAI'!G11</f>
        <v>0</v>
      </c>
      <c r="H11" s="60">
        <f>'DCWW CRAI'!H11</f>
        <v>0</v>
      </c>
      <c r="I11" s="60">
        <f>'DCWW CRAI'!I11</f>
        <v>0</v>
      </c>
      <c r="J11" s="60">
        <f>'DCWW CRAI'!J11</f>
        <v>0</v>
      </c>
      <c r="K11" s="60">
        <f>'DCWW CRAI'!K11</f>
        <v>0</v>
      </c>
      <c r="L11" s="60">
        <f>'DCWW CRAI'!L11</f>
        <v>0</v>
      </c>
      <c r="M11" s="60">
        <f>'DCWW CRAI'!M11</f>
        <v>0</v>
      </c>
      <c r="N11" s="60">
        <f>'DCWW CRAI'!N11</f>
        <v>0</v>
      </c>
      <c r="O11" s="60">
        <f>'DCWW CRAI'!O11</f>
        <v>0</v>
      </c>
      <c r="P11" s="60">
        <f>'DCWW CRAI'!P11</f>
        <v>0</v>
      </c>
      <c r="Q11" s="60">
        <f>'DCWW CRAI'!Q11</f>
        <v>0</v>
      </c>
      <c r="R11" s="60">
        <f>'DCWW CRAI'!R11</f>
        <v>0</v>
      </c>
      <c r="S11" s="60">
        <f>'DCWW CRAI'!S11</f>
        <v>0</v>
      </c>
      <c r="T11" s="60">
        <f>'DCWW CRAI'!T11</f>
        <v>0</v>
      </c>
      <c r="U11" s="60">
        <f>'DCWW CRAI'!U11</f>
        <v>0</v>
      </c>
      <c r="V11" s="60">
        <f>'DCWW CRAI'!V11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'DCWW CRAI'!C12</f>
        <v>3</v>
      </c>
      <c r="D12" s="60">
        <f>'DCWW CRAI'!D12</f>
        <v>3</v>
      </c>
      <c r="E12" s="60">
        <f>'DCWW CRAI'!E12</f>
        <v>3</v>
      </c>
      <c r="F12" s="60">
        <f>'DCWW CRAI'!F12</f>
        <v>0</v>
      </c>
      <c r="G12" s="60">
        <f>'DCWW CRAI'!G12</f>
        <v>0</v>
      </c>
      <c r="H12" s="60">
        <f>'DCWW CRAI'!H12</f>
        <v>0</v>
      </c>
      <c r="I12" s="60">
        <f>'DCWW CRAI'!I12</f>
        <v>0</v>
      </c>
      <c r="J12" s="60">
        <f>'DCWW CRAI'!J12</f>
        <v>0</v>
      </c>
      <c r="K12" s="60">
        <f>'DCWW CRAI'!K12</f>
        <v>0</v>
      </c>
      <c r="L12" s="60">
        <f>'DCWW CRAI'!L12</f>
        <v>0</v>
      </c>
      <c r="M12" s="60">
        <f>'DCWW CRAI'!M12</f>
        <v>0</v>
      </c>
      <c r="N12" s="60">
        <f>'DCWW CRAI'!N12</f>
        <v>0</v>
      </c>
      <c r="O12" s="60">
        <f>'DCWW CRAI'!O12</f>
        <v>0</v>
      </c>
      <c r="P12" s="60">
        <f>'DCWW CRAI'!P12</f>
        <v>0</v>
      </c>
      <c r="Q12" s="60">
        <f>'DCWW CRAI'!Q12</f>
        <v>0</v>
      </c>
      <c r="R12" s="60">
        <f>'DCWW CRAI'!R12</f>
        <v>0</v>
      </c>
      <c r="S12" s="60">
        <f>'DCWW CRAI'!S12</f>
        <v>0</v>
      </c>
      <c r="T12" s="60">
        <f>'DCWW CRAI'!T12</f>
        <v>0</v>
      </c>
      <c r="U12" s="60">
        <f>'DCWW CRAI'!U12</f>
        <v>0</v>
      </c>
      <c r="V12" s="60">
        <f>'DCWW CRAI'!V12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'DCWW CRAI'!C13</f>
        <v>3</v>
      </c>
      <c r="D13" s="60">
        <f>'DCWW CRAI'!D13</f>
        <v>4</v>
      </c>
      <c r="E13" s="60">
        <f>'DCWW CRAI'!E13</f>
        <v>3</v>
      </c>
      <c r="F13" s="60">
        <f>'DCWW CRAI'!F13</f>
        <v>0</v>
      </c>
      <c r="G13" s="60">
        <f>'DCWW CRAI'!G13</f>
        <v>0</v>
      </c>
      <c r="H13" s="60">
        <f>'DCWW CRAI'!H13</f>
        <v>0</v>
      </c>
      <c r="I13" s="60">
        <f>'DCWW CRAI'!I13</f>
        <v>0</v>
      </c>
      <c r="J13" s="60">
        <f>'DCWW CRAI'!J13</f>
        <v>0</v>
      </c>
      <c r="K13" s="60">
        <f>'DCWW CRAI'!K13</f>
        <v>0</v>
      </c>
      <c r="L13" s="60">
        <f>'DCWW CRAI'!L13</f>
        <v>0</v>
      </c>
      <c r="M13" s="60">
        <f>'DCWW CRAI'!M13</f>
        <v>0</v>
      </c>
      <c r="N13" s="60">
        <f>'DCWW CRAI'!N13</f>
        <v>0</v>
      </c>
      <c r="O13" s="60">
        <f>'DCWW CRAI'!O13</f>
        <v>0</v>
      </c>
      <c r="P13" s="60">
        <f>'DCWW CRAI'!P13</f>
        <v>0</v>
      </c>
      <c r="Q13" s="60">
        <f>'DCWW CRAI'!Q13</f>
        <v>0</v>
      </c>
      <c r="R13" s="60">
        <f>'DCWW CRAI'!R13</f>
        <v>0</v>
      </c>
      <c r="S13" s="60">
        <f>'DCWW CRAI'!S13</f>
        <v>0</v>
      </c>
      <c r="T13" s="60">
        <f>'DCWW CRAI'!T13</f>
        <v>0</v>
      </c>
      <c r="U13" s="60">
        <f>'DCWW CRAI'!U13</f>
        <v>0</v>
      </c>
      <c r="V13" s="60">
        <f>'DCWW CRAI'!V13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8" t="s">
        <v>8</v>
      </c>
      <c r="B14" s="138"/>
      <c r="C14" s="102" t="str">
        <f>'DCWW CRAI'!C14</f>
        <v xml:space="preserve">Winter wheat- grain only </v>
      </c>
      <c r="D14" s="102" t="str">
        <f>'DCWW CRAI'!D14</f>
        <v xml:space="preserve">Grass Silage (25% DM) </v>
      </c>
      <c r="E14" s="102" t="str">
        <f>'DCWW CRAI'!E14</f>
        <v xml:space="preserve">Grass Silage (25% DM) </v>
      </c>
      <c r="F14" s="102">
        <f>'DCWW CRAI'!F14</f>
        <v>0</v>
      </c>
      <c r="G14" s="102">
        <f>'DCWW CRAI'!G14</f>
        <v>0</v>
      </c>
      <c r="H14" s="102">
        <f>'DCWW CRAI'!H14</f>
        <v>0</v>
      </c>
      <c r="I14" s="102">
        <f>'DCWW CRAI'!I14</f>
        <v>0</v>
      </c>
      <c r="J14" s="102">
        <f>'DCWW CRAI'!J14</f>
        <v>0</v>
      </c>
      <c r="K14" s="102">
        <f>'DCWW CRAI'!K14</f>
        <v>0</v>
      </c>
      <c r="L14" s="102">
        <f>'DCWW CRAI'!L14</f>
        <v>0</v>
      </c>
      <c r="M14" s="102">
        <f>'DCWW CRAI'!M14</f>
        <v>0</v>
      </c>
      <c r="N14" s="102">
        <f>'DCWW CRAI'!N14</f>
        <v>0</v>
      </c>
      <c r="O14" s="102">
        <f>'DCWW CRAI'!O14</f>
        <v>0</v>
      </c>
      <c r="P14" s="102">
        <f>'DCWW CRAI'!P14</f>
        <v>0</v>
      </c>
      <c r="Q14" s="102">
        <f>'DCWW CRAI'!Q14</f>
        <v>0</v>
      </c>
      <c r="R14" s="102">
        <f>'DCWW CRAI'!R14</f>
        <v>0</v>
      </c>
      <c r="S14" s="102">
        <f>'DCWW CRAI'!S14</f>
        <v>0</v>
      </c>
      <c r="T14" s="102">
        <f>'DCWW CRAI'!T14</f>
        <v>0</v>
      </c>
      <c r="U14" s="102">
        <f>'DCWW CRAI'!U14</f>
        <v>0</v>
      </c>
      <c r="V14" s="102">
        <f>'DCWW CRAI'!V14</f>
        <v>0</v>
      </c>
      <c r="AD14" s="30" t="s">
        <v>138</v>
      </c>
      <c r="AE14" s="30">
        <v>6</v>
      </c>
      <c r="AI14" s="53" t="s">
        <v>119</v>
      </c>
      <c r="AJ14" s="54">
        <v>0.8</v>
      </c>
      <c r="AK14" s="55">
        <v>1.7</v>
      </c>
      <c r="AL14" s="11">
        <v>12</v>
      </c>
      <c r="AM14" s="11">
        <v>6.7</v>
      </c>
      <c r="AN14" s="11" t="s">
        <v>135</v>
      </c>
    </row>
    <row r="15" spans="1:41" x14ac:dyDescent="0.25">
      <c r="A15" s="137" t="s">
        <v>9</v>
      </c>
      <c r="B15" s="137"/>
      <c r="C15" s="60">
        <f>'DCWW CRAI'!C15</f>
        <v>8</v>
      </c>
      <c r="D15" s="60">
        <f>'DCWW CRAI'!D15</f>
        <v>38</v>
      </c>
      <c r="E15" s="60">
        <f>'DCWW CRAI'!E15</f>
        <v>38</v>
      </c>
      <c r="F15" s="60">
        <f>'DCWW CRAI'!F15</f>
        <v>0</v>
      </c>
      <c r="G15" s="60">
        <f>'DCWW CRAI'!G15</f>
        <v>0</v>
      </c>
      <c r="H15" s="60">
        <f>'DCWW CRAI'!H15</f>
        <v>0</v>
      </c>
      <c r="I15" s="60">
        <f>'DCWW CRAI'!I15</f>
        <v>0</v>
      </c>
      <c r="J15" s="60">
        <f>'DCWW CRAI'!J15</f>
        <v>0</v>
      </c>
      <c r="K15" s="60">
        <f>'DCWW CRAI'!K15</f>
        <v>0</v>
      </c>
      <c r="L15" s="60">
        <f>'DCWW CRAI'!L15</f>
        <v>0</v>
      </c>
      <c r="M15" s="60">
        <f>'DCWW CRAI'!M15</f>
        <v>0</v>
      </c>
      <c r="N15" s="60">
        <f>'DCWW CRAI'!N15</f>
        <v>0</v>
      </c>
      <c r="O15" s="60">
        <f>'DCWW CRAI'!O15</f>
        <v>0</v>
      </c>
      <c r="P15" s="60">
        <f>'DCWW CRAI'!P15</f>
        <v>0</v>
      </c>
      <c r="Q15" s="60">
        <f>'DCWW CRAI'!Q15</f>
        <v>0</v>
      </c>
      <c r="R15" s="60">
        <f>'DCWW CRAI'!R15</f>
        <v>0</v>
      </c>
      <c r="S15" s="60">
        <f>'DCWW CRAI'!S15</f>
        <v>0</v>
      </c>
      <c r="T15" s="60">
        <f>'DCWW CRAI'!T15</f>
        <v>0</v>
      </c>
      <c r="U15" s="60">
        <f>'DCWW CRAI'!U15</f>
        <v>0</v>
      </c>
      <c r="V15" s="60">
        <f>'DCWW CRAI'!V15</f>
        <v>0</v>
      </c>
      <c r="AD15" s="30" t="s">
        <v>144</v>
      </c>
      <c r="AE15" s="30">
        <v>7</v>
      </c>
      <c r="AI15" s="53" t="s">
        <v>101</v>
      </c>
      <c r="AJ15" s="62">
        <v>1.8</v>
      </c>
      <c r="AK15" s="55">
        <v>5.4</v>
      </c>
      <c r="AL15" s="11">
        <v>13</v>
      </c>
      <c r="AM15" s="11">
        <v>6.7</v>
      </c>
      <c r="AN15" s="11" t="s">
        <v>135</v>
      </c>
    </row>
    <row r="16" spans="1:41" ht="13.8" thickBot="1" x14ac:dyDescent="0.3">
      <c r="A16" s="139" t="s">
        <v>44</v>
      </c>
      <c r="B16" s="139"/>
      <c r="C16" s="103" t="str">
        <f>'DCWW CRAI'!C16</f>
        <v>Medium/Clay</v>
      </c>
      <c r="D16" s="103" t="str">
        <f>'DCWW CRAI'!D16</f>
        <v>Medium/Clay</v>
      </c>
      <c r="E16" s="103" t="str">
        <f>'DCWW CRAI'!E16</f>
        <v>Medium/Clay</v>
      </c>
      <c r="F16" s="103">
        <f>'DCWW CRAI'!F16</f>
        <v>0</v>
      </c>
      <c r="G16" s="103">
        <f>'DCWW CRAI'!G16</f>
        <v>0</v>
      </c>
      <c r="H16" s="103">
        <f>'DCWW CRAI'!H16</f>
        <v>0</v>
      </c>
      <c r="I16" s="103">
        <f>'DCWW CRAI'!I16</f>
        <v>0</v>
      </c>
      <c r="J16" s="103">
        <f>'DCWW CRAI'!J16</f>
        <v>0</v>
      </c>
      <c r="K16" s="103">
        <f>'DCWW CRAI'!K16</f>
        <v>0</v>
      </c>
      <c r="L16" s="103">
        <f>'DCWW CRAI'!L16</f>
        <v>0</v>
      </c>
      <c r="M16" s="103">
        <f>'DCWW CRAI'!M16</f>
        <v>0</v>
      </c>
      <c r="N16" s="103">
        <f>'DCWW CRAI'!N16</f>
        <v>0</v>
      </c>
      <c r="O16" s="103">
        <f>'DCWW CRAI'!O16</f>
        <v>0</v>
      </c>
      <c r="P16" s="103">
        <f>'DCWW CRAI'!P16</f>
        <v>0</v>
      </c>
      <c r="Q16" s="103">
        <f>'DCWW CRAI'!Q16</f>
        <v>0</v>
      </c>
      <c r="R16" s="103">
        <f>'DCWW CRAI'!R16</f>
        <v>0</v>
      </c>
      <c r="S16" s="103">
        <f>'DCWW CRAI'!S16</f>
        <v>0</v>
      </c>
      <c r="T16" s="103">
        <f>'DCWW CRAI'!T16</f>
        <v>0</v>
      </c>
      <c r="U16" s="103">
        <f>'DCWW CRAI'!U16</f>
        <v>0</v>
      </c>
      <c r="V16" s="103">
        <f>'DCWW CRAI'!V16</f>
        <v>0</v>
      </c>
      <c r="AD16" s="52" t="s">
        <v>145</v>
      </c>
      <c r="AE16" s="30">
        <v>8</v>
      </c>
      <c r="AI16" s="53" t="s">
        <v>118</v>
      </c>
      <c r="AJ16" s="54">
        <v>8</v>
      </c>
      <c r="AK16" s="55">
        <v>5.5</v>
      </c>
      <c r="AL16" s="12">
        <v>14</v>
      </c>
      <c r="AM16" s="11">
        <v>6.7</v>
      </c>
      <c r="AN16" s="11" t="s">
        <v>135</v>
      </c>
    </row>
    <row r="17" spans="1:40" x14ac:dyDescent="0.25">
      <c r="A17" s="135" t="s">
        <v>69</v>
      </c>
      <c r="B17" s="136"/>
      <c r="C17" s="28">
        <f>(VLOOKUP(C$14,$AI2:$AK26,2,FALSE))*C$15</f>
        <v>52</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3" t="s">
        <v>23</v>
      </c>
      <c r="B18" s="134"/>
      <c r="C18" s="16">
        <f>$D31</f>
        <v>16.029897900000005</v>
      </c>
      <c r="D18" s="16">
        <f>$D32</f>
        <v>16.029897900000005</v>
      </c>
      <c r="E18" s="16">
        <f>$D33</f>
        <v>16.029897900000005</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3" t="s">
        <v>90</v>
      </c>
      <c r="B19" s="134"/>
      <c r="C19" s="16">
        <f>C18-C17</f>
        <v>-35.970102099999991</v>
      </c>
      <c r="D19" s="16">
        <f t="shared" ref="D19:V19" si="1">D18-D17</f>
        <v>-48.570102099999986</v>
      </c>
      <c r="E19" s="16">
        <f t="shared" si="1"/>
        <v>-48.570102099999986</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5" t="s">
        <v>88</v>
      </c>
      <c r="B21" s="136"/>
      <c r="C21" s="28">
        <f>(VLOOKUP(C$14,$AI2:$AK26,3,FALSE))*C$15</f>
        <v>44</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3" t="s">
        <v>89</v>
      </c>
      <c r="B22" s="134"/>
      <c r="C22" s="16">
        <f>$E31</f>
        <v>1.5602340000000003</v>
      </c>
      <c r="D22" s="16">
        <f>$E32</f>
        <v>1.5602340000000003</v>
      </c>
      <c r="E22" s="16">
        <f>$E33</f>
        <v>1.5602340000000003</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3" t="s">
        <v>92</v>
      </c>
      <c r="B23" s="134"/>
      <c r="C23" s="16">
        <f>C22-C21</f>
        <v>-42.439765999999999</v>
      </c>
      <c r="D23" s="16">
        <f t="shared" ref="D23:V23" si="3">D22-D21</f>
        <v>-226.43976599999999</v>
      </c>
      <c r="E23" s="16">
        <f t="shared" si="3"/>
        <v>-226.43976599999999</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1" t="s">
        <v>93</v>
      </c>
      <c r="B24" s="132"/>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4.9800000000000004</v>
      </c>
      <c r="C28" s="15">
        <v>1.39</v>
      </c>
      <c r="D28" s="15">
        <v>0.28100000000000003</v>
      </c>
      <c r="E28" s="15">
        <v>5.1999999999999998E-2</v>
      </c>
      <c r="F28" s="15">
        <v>809</v>
      </c>
      <c r="G28" s="15">
        <v>59.2</v>
      </c>
      <c r="H28" s="15">
        <v>109</v>
      </c>
      <c r="I28" s="15">
        <v>6.2</v>
      </c>
      <c r="J28" s="15">
        <v>0.39</v>
      </c>
      <c r="K28" s="23">
        <v>0.4</v>
      </c>
      <c r="L28" s="15">
        <v>28</v>
      </c>
      <c r="M28" s="15">
        <v>9.9700000000000006</v>
      </c>
      <c r="N28" s="15">
        <v>167000</v>
      </c>
      <c r="O28" s="15">
        <v>16700</v>
      </c>
      <c r="P28" s="15"/>
      <c r="Q28" s="15">
        <v>6320</v>
      </c>
      <c r="R28" s="15"/>
      <c r="S28" s="15">
        <v>21.3</v>
      </c>
      <c r="T28" s="15"/>
      <c r="U28" s="15"/>
    </row>
    <row r="29" spans="1:40" s="7" customFormat="1" ht="28.8" x14ac:dyDescent="0.3">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3</v>
      </c>
      <c r="B31" s="15">
        <v>50</v>
      </c>
      <c r="C31" s="77">
        <f>IF(C$27="%w/w SAR",((C$28*10)*$B31),IF(C$27="%w/w DM",(((C$28*10)*($B$28/100))*$B31),IF(C$27="kg/t SAR",(C$28*$B31),IF(C$27="kg/t DM",((C$28*($B$28/100))*$B31),IF(C$27="mg/kg SAR",((C$28*0.001)*$B31),IF(C$27="mg/kg DM",(((C$28*0.001)*($B$28/100))*$B31),0))))))</f>
        <v>34.610999999999997</v>
      </c>
      <c r="D31" s="77">
        <f>(IF(D$27="%w/w SAR",((D$28*10)*$B31),IF(D$27="%w/w DM",(((D$28*10)*($B$28/100))*$B31),IF(D$27="kg/t SAR",(D$28*$B31),IF(D$27="kg/t DM",((D$28*($B$28/100))*$B31),IF(D$27="mg/kg SAR",((D$28*0.001)*$B31),IF(D$27="mg/kg DM",(((D$28*0.001)*($B$28/100))*$B31),"0")))))))*2.291</f>
        <v>16.029897900000005</v>
      </c>
      <c r="E31" s="77">
        <f>(IF(E$27="%w/w SAR",((E$28*10)*$B31),IF(E$27="%w/w DM",(((E$28*10)*($B$28/100))*$B31),IF(E$27="kg/t SAR",(E$28*$B31),IF(E$27="kg/t DM",((E$28*($B$28/100))*$B31),IF(E$27="mg/kg SAR",((E$28*0.001)*$B31),IF(E$27="mg/kg DM",(((E$28*0.001)*($B$28/100))*$B31),"0")))))))*1.205</f>
        <v>1.5602340000000003</v>
      </c>
      <c r="F31" s="77">
        <f>(IF(F$27="%w/w SAR",((F$28*10)*$B31),IF(F$27="%w/w DM",(((F$28*10)*($B$28/100))*$B31),IF(F$27="kg/t SAR",(F$28*$B31),IF(F$27="kg/t DM",((F$28*($B$28/100))*$B31),IF(F$27="mg/kg SAR",((F$28*0.001)*$B31),IF(F$27="mg/kg DM",(((F$28*0.001)*($B$28/100))*$B31),"0")))))))*1.658</f>
        <v>3.3398917800000003</v>
      </c>
      <c r="G31" s="77">
        <f t="shared" ref="G31:P46" si="5">IF(G$27="%w/w SAR",((G$28*10)*$B31),IF(G$27="%w/w DM",(((G$28*10)*($B$28/100))*$B31),IF(G$27="kg/t SAR",(G$28*$B31),IF(G$27="kg/t DM",((G$28*($B$28/100))*$B31),IF(G$27="mg/kg SAR",((G$28*0.001)*$B31),IF(G$27="mg/kg DM",(((G$28*0.001)*($B$28/100))*$B31),0))))))</f>
        <v>0.14740800000000001</v>
      </c>
      <c r="H31" s="77">
        <f t="shared" si="5"/>
        <v>0.27140999999999998</v>
      </c>
      <c r="I31" s="77">
        <f t="shared" si="5"/>
        <v>1.5438000000000002E-2</v>
      </c>
      <c r="J31" s="77">
        <f t="shared" si="5"/>
        <v>9.7110000000000024E-4</v>
      </c>
      <c r="K31" s="77">
        <f t="shared" si="5"/>
        <v>9.9600000000000014E-4</v>
      </c>
      <c r="L31" s="77">
        <f t="shared" si="5"/>
        <v>6.9720000000000004E-2</v>
      </c>
      <c r="M31" s="77">
        <f t="shared" si="5"/>
        <v>2.4825300000000005E-2</v>
      </c>
      <c r="N31" s="77">
        <f t="shared" si="5"/>
        <v>415.83000000000004</v>
      </c>
      <c r="O31" s="77">
        <f t="shared" si="5"/>
        <v>41.583000000000006</v>
      </c>
      <c r="P31" s="77">
        <f t="shared" si="5"/>
        <v>0</v>
      </c>
      <c r="Q31" s="77">
        <f>(IF(Q$27="%w/w SAR",((Q$28*10)*$B31),IF(Q$27="%w/w DM",(((Q$28*10)*($B$28/100))*$B31),IF(Q$27="kg/t SAR",(Q$28*$B31),IF(Q$27="kg/t DM",((Q$28*($B$28/100))*$B31),IF(Q$27="mg/kg SAR",((Q$28*0.001)*$B31),IF(Q$27="mg/kg DM",(((Q$28*0.001)*($B$28/100))*$B31),0)))))))*2.5</f>
        <v>39.341999999999999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5.3037000000000008E-2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5AB</v>
      </c>
      <c r="B32" s="15">
        <v>50</v>
      </c>
      <c r="C32" s="77">
        <f t="shared" ref="C32:C50" si="6">IF(C$27="%w/w SAR",((C$28*10)*$B32),IF(C$27="%w/w DM",(((C$28*10)*($B$28/100))*$B32),IF(C$27="kg/t SAR",(C$28*$B32),IF(C$27="kg/t DM",((C$28*($B$28/100))*$B32),IF(C$27="mg/kg SAR",((C$28*0.001)*$B32),IF(C$27="mg/kg DM",(((C$28*0.001)*($B$28/100))*$B32),0))))))</f>
        <v>34.610999999999997</v>
      </c>
      <c r="D32" s="77">
        <f t="shared" ref="D32:D50" si="7">(IF(D$27="%w/w SAR",((D$28*10)*$B32),IF(D$27="%w/w DM",(((D$28*10)*($B$28/100))*$B32),IF(D$27="kg/t SAR",(D$28*$B32),IF(D$27="kg/t DM",((D$28*($B$28/100))*$B32),IF(D$27="mg/kg SAR",((D$28*0.001)*$B32),IF(D$27="mg/kg DM",(((D$28*0.001)*($B$28/100))*$B32),"0")))))))*2.291</f>
        <v>16.029897900000005</v>
      </c>
      <c r="E32" s="77">
        <f t="shared" ref="E32:E50" si="8">(IF(E$27="%w/w SAR",((E$28*10)*$B32),IF(E$27="%w/w DM",(((E$28*10)*($B$28/100))*$B32),IF(E$27="kg/t SAR",(E$28*$B32),IF(E$27="kg/t DM",((E$28*($B$28/100))*$B32),IF(E$27="mg/kg SAR",((E$28*0.001)*$B32),IF(E$27="mg/kg DM",(((E$28*0.001)*($B$28/100))*$B32),"0")))))))*1.205</f>
        <v>1.5602340000000003</v>
      </c>
      <c r="F32" s="77">
        <f t="shared" ref="F32:F50" si="9">(IF(F$27="%w/w SAR",((F$28*10)*$B32),IF(F$27="%w/w DM",(((F$28*10)*($B$28/100))*$B32),IF(F$27="kg/t SAR",(F$28*$B32),IF(F$27="kg/t DM",((F$28*($B$28/100))*$B32),IF(F$27="mg/kg SAR",((F$28*0.001)*$B32),IF(F$27="mg/kg DM",(((F$28*0.001)*($B$28/100))*$B32),"0")))))))*1.658</f>
        <v>3.3398917800000003</v>
      </c>
      <c r="G32" s="77">
        <f t="shared" si="5"/>
        <v>0.14740800000000001</v>
      </c>
      <c r="H32" s="77">
        <f t="shared" si="5"/>
        <v>0.27140999999999998</v>
      </c>
      <c r="I32" s="77">
        <f t="shared" si="5"/>
        <v>1.5438000000000002E-2</v>
      </c>
      <c r="J32" s="77">
        <f t="shared" si="5"/>
        <v>9.7110000000000024E-4</v>
      </c>
      <c r="K32" s="77">
        <f t="shared" si="5"/>
        <v>9.9600000000000014E-4</v>
      </c>
      <c r="L32" s="77">
        <f t="shared" si="5"/>
        <v>6.9720000000000004E-2</v>
      </c>
      <c r="M32" s="77">
        <f t="shared" si="5"/>
        <v>2.4825300000000005E-2</v>
      </c>
      <c r="N32" s="77">
        <f t="shared" si="5"/>
        <v>415.83000000000004</v>
      </c>
      <c r="O32" s="77">
        <f t="shared" si="5"/>
        <v>41.583000000000006</v>
      </c>
      <c r="P32" s="77">
        <f t="shared" si="5"/>
        <v>0</v>
      </c>
      <c r="Q32" s="77">
        <f t="shared" ref="Q32:Q50" si="10">(IF(Q$27="%w/w SAR",((Q$28*10)*$B32),IF(Q$27="%w/w DM",(((Q$28*10)*($B$28/100))*$B32),IF(Q$27="kg/t SAR",(Q$28*$B32),IF(Q$27="kg/t DM",((Q$28*($B$28/100))*$B32),IF(Q$27="mg/kg SAR",((Q$28*0.001)*$B32),IF(Q$27="mg/kg DM",(((Q$28*0.001)*($B$28/100))*$B32),0)))))))*2.5</f>
        <v>39.341999999999999</v>
      </c>
      <c r="R32" s="77">
        <f t="shared" ref="R32:U50" si="11">IF(R$27="%w/w SAR",((R$28*10)*$B32),IF(R$27="%w/w DM",(((R$28*10)*($B$28/100))*$B32),IF(R$27="kg/t SAR",(R$28*$B32),IF(R$27="kg/t DM",((R$28*($B$28/100))*$B32),IF(R$27="mg/kg SAR",((R$28*0.001)*$B32),IF(R$27="mg/kg DM",(((R$28*0.001)*($B$28/100))*$B32),0))))))</f>
        <v>0</v>
      </c>
      <c r="S32" s="77">
        <f t="shared" si="11"/>
        <v>5.3037000000000008E-2</v>
      </c>
      <c r="T32" s="77">
        <f t="shared" si="11"/>
        <v>0</v>
      </c>
      <c r="U32" s="77">
        <f t="shared" si="11"/>
        <v>0</v>
      </c>
      <c r="AB32" s="59"/>
      <c r="AC32" s="59"/>
      <c r="AD32" s="59"/>
      <c r="AE32" s="59"/>
      <c r="AF32" s="59"/>
      <c r="AG32" s="59"/>
      <c r="AH32" s="59"/>
      <c r="AI32" s="59"/>
    </row>
    <row r="33" spans="1:35" s="72" customFormat="1" x14ac:dyDescent="0.3">
      <c r="A33" s="13" t="str">
        <f>E8</f>
        <v>6ABC</v>
      </c>
      <c r="B33" s="15">
        <v>50</v>
      </c>
      <c r="C33" s="77">
        <f t="shared" si="6"/>
        <v>34.610999999999997</v>
      </c>
      <c r="D33" s="77">
        <f t="shared" si="7"/>
        <v>16.029897900000005</v>
      </c>
      <c r="E33" s="77">
        <f t="shared" si="8"/>
        <v>1.5602340000000003</v>
      </c>
      <c r="F33" s="77">
        <f t="shared" si="9"/>
        <v>3.3398917800000003</v>
      </c>
      <c r="G33" s="77">
        <f t="shared" si="5"/>
        <v>0.14740800000000001</v>
      </c>
      <c r="H33" s="77">
        <f t="shared" si="5"/>
        <v>0.27140999999999998</v>
      </c>
      <c r="I33" s="77">
        <f t="shared" si="5"/>
        <v>1.5438000000000002E-2</v>
      </c>
      <c r="J33" s="77">
        <f t="shared" si="5"/>
        <v>9.7110000000000024E-4</v>
      </c>
      <c r="K33" s="77">
        <f t="shared" si="5"/>
        <v>9.9600000000000014E-4</v>
      </c>
      <c r="L33" s="77">
        <f t="shared" si="5"/>
        <v>6.9720000000000004E-2</v>
      </c>
      <c r="M33" s="77">
        <f t="shared" si="5"/>
        <v>2.4825300000000005E-2</v>
      </c>
      <c r="N33" s="77">
        <f t="shared" si="5"/>
        <v>415.83000000000004</v>
      </c>
      <c r="O33" s="77">
        <f t="shared" si="5"/>
        <v>41.583000000000006</v>
      </c>
      <c r="P33" s="77">
        <f t="shared" si="5"/>
        <v>0</v>
      </c>
      <c r="Q33" s="77">
        <f t="shared" si="10"/>
        <v>39.341999999999999</v>
      </c>
      <c r="R33" s="77">
        <f t="shared" si="11"/>
        <v>0</v>
      </c>
      <c r="S33" s="77">
        <f t="shared" si="11"/>
        <v>5.3037000000000008E-2</v>
      </c>
      <c r="T33" s="77">
        <f t="shared" si="11"/>
        <v>0</v>
      </c>
      <c r="U33" s="77">
        <f t="shared" si="11"/>
        <v>0</v>
      </c>
      <c r="AB33" s="59"/>
      <c r="AC33" s="59"/>
      <c r="AD33" s="59"/>
      <c r="AE33" s="59"/>
      <c r="AF33" s="59"/>
      <c r="AG33" s="59"/>
      <c r="AH33" s="59"/>
      <c r="AI33" s="59"/>
    </row>
    <row r="34" spans="1:35" s="72" customFormat="1" x14ac:dyDescent="0.3">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3</v>
      </c>
      <c r="C57" s="8" t="str">
        <f t="shared" ref="C57:U57" si="13">D8</f>
        <v>5AB</v>
      </c>
      <c r="D57" s="8" t="str">
        <f t="shared" si="13"/>
        <v>6ABC</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"&amp;(VLOOKUP(C14,Table24581113[],6,FALSE))</f>
        <v>Medium/Clay I Arable</v>
      </c>
      <c r="C58" s="13" t="str">
        <f>D16&amp;" I "&amp;(VLOOKUP(D14,Table24581113[],6,FALSE))</f>
        <v>Medium/Clay I Grass</v>
      </c>
      <c r="D58" s="13" t="str">
        <f>E16&amp;" I "&amp;(VLOOKUP(E14,Table24581113[],6,FALSE))</f>
        <v>Medium/Clay I Grass</v>
      </c>
      <c r="E58" s="13" t="e">
        <f>F16&amp;" I "&amp;(VLOOKUP(F14,Table24581113[],6,FALSE))</f>
        <v>#N/A</v>
      </c>
      <c r="F58" s="13" t="e">
        <f>G16&amp;" I "&amp;(VLOOKUP(G14,Table24581113[],6,FALSE))</f>
        <v>#N/A</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5">
      <c r="A59" s="111" t="s">
        <v>132</v>
      </c>
      <c r="B59" s="76">
        <f>VLOOKUP(C$14,Table24581113[],5,FALSE)</f>
        <v>6.7</v>
      </c>
      <c r="C59" s="76">
        <f>VLOOKUP(D$14,Table24581113[],5,FALSE)</f>
        <v>6.2</v>
      </c>
      <c r="D59" s="76">
        <f>VLOOKUP(E$14,Table24581113[],5,FALSE)</f>
        <v>6.2</v>
      </c>
      <c r="E59" s="76" t="e">
        <f>VLOOKUP(F$14,Table24581113[],5,FALSE)</f>
        <v>#N/A</v>
      </c>
      <c r="F59" s="76" t="e">
        <f>VLOOKUP(G$14,Table24581113[],5,FALSE)</f>
        <v>#N/A</v>
      </c>
      <c r="G59" s="76" t="e">
        <f>VLOOKUP(H$14,Table24581113[],5,FALSE)</f>
        <v>#N/A</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5">
      <c r="A60" s="111" t="s">
        <v>4</v>
      </c>
      <c r="B60" s="76">
        <f>C10</f>
        <v>7.6</v>
      </c>
      <c r="C60" s="76">
        <f t="shared" ref="C60:U60" si="14">D10</f>
        <v>7.7</v>
      </c>
      <c r="D60" s="76">
        <f t="shared" si="14"/>
        <v>7.9</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50</v>
      </c>
      <c r="C62" s="77">
        <f>B32</f>
        <v>50</v>
      </c>
      <c r="D62" s="77">
        <f>B33</f>
        <v>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-9</v>
      </c>
      <c r="D64" s="77">
        <f t="shared" si="17"/>
        <v>-10.200000000000001</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9</v>
      </c>
      <c r="D65" s="77">
        <f t="shared" si="18"/>
        <v>10.200000000000001</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U20" sqref="T20:U20"/>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6" t="s">
        <v>84</v>
      </c>
      <c r="B1" s="38" t="str">
        <f>'DCWW CRAI'!B29</f>
        <v>Application Rate</v>
      </c>
      <c r="C1" s="38" t="str">
        <f>'DCWW CRAI'!C29</f>
        <v>Nitrogen Addition</v>
      </c>
      <c r="D1" s="38" t="str">
        <f>'DCWW CRAI'!D29</f>
        <v>Phosphate Addition</v>
      </c>
      <c r="E1" s="38" t="str">
        <f>'DCWW CRAI'!E29</f>
        <v>Potash  Addition</v>
      </c>
      <c r="F1" s="38" t="str">
        <f>'DCWW CRAI'!F29</f>
        <v>Mg Oxide Addition</v>
      </c>
      <c r="G1" s="38" t="str">
        <f>'DCWW CRAI'!G29</f>
        <v>Copper Addition</v>
      </c>
      <c r="H1" s="38" t="str">
        <f>'DCWW CRAI'!H29</f>
        <v>Zinc Addition</v>
      </c>
      <c r="I1" s="38" t="str">
        <f>'DCWW CRAI'!I29</f>
        <v>Lead Addition</v>
      </c>
      <c r="J1" s="38" t="str">
        <f>'DCWW CRAI'!J29</f>
        <v>Cadmium Addition</v>
      </c>
      <c r="K1" s="38" t="str">
        <f>'DCWW CRAI'!K29</f>
        <v>Mercury Addition</v>
      </c>
      <c r="L1" s="38" t="str">
        <f>'DCWW CRAI'!L29</f>
        <v>Nickel Addition</v>
      </c>
      <c r="M1" s="38" t="str">
        <f>'DCWW CRAI'!M29</f>
        <v>Chromium Addition</v>
      </c>
      <c r="N1" s="38" t="str">
        <f>'DCWW CRAI'!N29</f>
        <v>Aluminium Addition</v>
      </c>
      <c r="O1" s="38" t="str">
        <f>'DCWW CRAI'!O29</f>
        <v>Iron Addition</v>
      </c>
      <c r="P1" s="38" t="str">
        <f>'DCWW CRAI'!P29</f>
        <v xml:space="preserve">Sodium Addition                 </v>
      </c>
      <c r="Q1" s="38" t="str">
        <f>'DCWW CRAI'!Q29</f>
        <v>SO3  Addition                             kg/ha</v>
      </c>
      <c r="R1" s="38" t="str">
        <f>'DCWW CRAI'!R29</f>
        <v xml:space="preserve">Selenium Addition </v>
      </c>
      <c r="S1" s="38" t="str">
        <f>'DCWW CRAI'!S29</f>
        <v xml:space="preserve">Arsenic  Addition  </v>
      </c>
      <c r="T1" s="38" t="str">
        <f>'DCWW CRAI'!T29</f>
        <v xml:space="preserve">Molybdenum Addition  </v>
      </c>
      <c r="U1" s="38" t="str">
        <f>'DCWW CRAI'!U29</f>
        <v xml:space="preserve">Fluoride Addition </v>
      </c>
    </row>
    <row r="2" spans="1:21" ht="26.4" x14ac:dyDescent="0.25">
      <c r="A2" s="146"/>
      <c r="B2" s="38" t="str">
        <f>'DCWW CRAI'!B30</f>
        <v>tonnes/ha</v>
      </c>
      <c r="C2" s="38" t="str">
        <f>'DCWW CRAI'!C30</f>
        <v>kg/ha</v>
      </c>
      <c r="D2" s="38" t="str">
        <f>'DCWW CRAI'!D30</f>
        <v>P2O5 
kg/ha</v>
      </c>
      <c r="E2" s="38" t="str">
        <f>'DCWW CRAI'!E30</f>
        <v>K2O 
kg/ha</v>
      </c>
      <c r="F2" s="38" t="str">
        <f>'DCWW CRAI'!F30</f>
        <v>MgO 
kg/ha</v>
      </c>
      <c r="G2" s="38" t="str">
        <f>'DCWW CRAI'!G30</f>
        <v>kg/ha</v>
      </c>
      <c r="H2" s="38" t="str">
        <f>'DCWW CRAI'!H30</f>
        <v>kg/ha</v>
      </c>
      <c r="I2" s="38" t="str">
        <f>'DCWW CRAI'!I30</f>
        <v>kg/ha</v>
      </c>
      <c r="J2" s="38" t="str">
        <f>'DCWW CRAI'!J30</f>
        <v>kg/ha</v>
      </c>
      <c r="K2" s="38" t="str">
        <f>'DCWW CRAI'!K30</f>
        <v>kg/ha</v>
      </c>
      <c r="L2" s="38" t="str">
        <f>'DCWW CRAI'!L30</f>
        <v>kg/ha</v>
      </c>
      <c r="M2" s="38" t="str">
        <f>'DCWW CRAI'!M30</f>
        <v>kg/ha</v>
      </c>
      <c r="N2" s="38" t="str">
        <f>'DCWW CRAI'!N30</f>
        <v>kg/ha</v>
      </c>
      <c r="O2" s="38" t="str">
        <f>'DCWW CRAI'!O30</f>
        <v>kg/ha</v>
      </c>
      <c r="P2" s="38" t="str">
        <f>'DCWW CRAI'!P30</f>
        <v>kg/ha</v>
      </c>
      <c r="Q2" s="38" t="str">
        <f>'DCWW CRAI'!Q30</f>
        <v>kg/ha</v>
      </c>
      <c r="R2" s="38" t="str">
        <f>'DCWW CRAI'!R30</f>
        <v>kg/ha</v>
      </c>
      <c r="S2" s="38" t="str">
        <f>'DCWW CRAI'!S30</f>
        <v>kg/ha</v>
      </c>
      <c r="T2" s="38" t="str">
        <f>'DCWW CRAI'!T30</f>
        <v>kg/ha</v>
      </c>
      <c r="U2" s="38" t="str">
        <f>'DCWW CRAI'!U30</f>
        <v>kg/ha</v>
      </c>
    </row>
    <row r="3" spans="1:21" x14ac:dyDescent="0.25">
      <c r="A3" s="36">
        <v>1</v>
      </c>
      <c r="B3" s="33">
        <f>'DCWW CRAI'!B31</f>
        <v>250</v>
      </c>
      <c r="C3" s="33">
        <f>'DCWW CRAI'!C31</f>
        <v>37.128</v>
      </c>
      <c r="D3" s="33">
        <f>'DCWW CRAI'!D31</f>
        <v>9.9198009000000003</v>
      </c>
      <c r="E3" s="33">
        <f>'DCWW CRAI'!E31</f>
        <v>0.97713450000000013</v>
      </c>
      <c r="F3" s="33">
        <f>'DCWW CRAI'!F31</f>
        <v>5.0312009999999994</v>
      </c>
      <c r="G3" s="33">
        <f>'DCWW CRAI'!G31</f>
        <v>0.14331000000000005</v>
      </c>
      <c r="H3" s="33">
        <f>'DCWW CRAI'!H31</f>
        <v>0.66300000000000003</v>
      </c>
      <c r="I3" s="33">
        <f>'DCWW CRAI'!I31</f>
        <v>4.3860000000000003E-2</v>
      </c>
      <c r="J3" s="33">
        <f>'DCWW CRAI'!J31</f>
        <v>3.1110000000000001E-3</v>
      </c>
      <c r="K3" s="33">
        <f>'DCWW CRAI'!K31</f>
        <v>5.0490000000000005E-3</v>
      </c>
      <c r="L3" s="33">
        <f>'DCWW CRAI'!L31</f>
        <v>4.8959999999999997E-2</v>
      </c>
      <c r="M3" s="33">
        <f>'DCWW CRAI'!M31</f>
        <v>7.7010000000000009E-2</v>
      </c>
      <c r="N3" s="33">
        <f>'DCWW CRAI'!N31</f>
        <v>15.555000000000003</v>
      </c>
      <c r="O3" s="33">
        <f>'DCWW CRAI'!O31</f>
        <v>2300.1</v>
      </c>
      <c r="P3" s="33">
        <f>'DCWW CRAI'!P31</f>
        <v>0</v>
      </c>
      <c r="Q3" s="33">
        <f>'DCWW CRAI'!Q31</f>
        <v>33.532499999999999</v>
      </c>
      <c r="R3" s="33">
        <f>'DCWW CRAI'!R31</f>
        <v>0</v>
      </c>
      <c r="S3" s="33">
        <f>'DCWW CRAI'!S31</f>
        <v>0.19737000000000005</v>
      </c>
      <c r="T3" s="33">
        <f>'DCWW CRAI'!T31</f>
        <v>0</v>
      </c>
      <c r="U3" s="33">
        <f>'DCWW CRAI'!U31</f>
        <v>0</v>
      </c>
    </row>
    <row r="4" spans="1:21" x14ac:dyDescent="0.25">
      <c r="A4" s="36">
        <v>2</v>
      </c>
      <c r="B4" s="33">
        <f>'DCWW HIRWAUN'!B31</f>
        <v>250</v>
      </c>
      <c r="C4" s="33">
        <f>'DCWW HIRWAUN'!C31</f>
        <v>27.317250000000005</v>
      </c>
      <c r="D4" s="33">
        <f>'DCWW HIRWAUN'!D31</f>
        <v>2.3603600249999999</v>
      </c>
      <c r="E4" s="33">
        <f>'DCWW HIRWAUN'!E31</f>
        <v>2.6581095000000006</v>
      </c>
      <c r="F4" s="33">
        <f>'DCWW HIRWAUN'!F31</f>
        <v>6.4287706499999997</v>
      </c>
      <c r="G4" s="33">
        <f>'DCWW HIRWAUN'!G31</f>
        <v>0.13124250000000001</v>
      </c>
      <c r="H4" s="33">
        <f>'DCWW HIRWAUN'!H31</f>
        <v>0.80797500000000011</v>
      </c>
      <c r="I4" s="33">
        <f>'DCWW HIRWAUN'!I31</f>
        <v>8.4645000000000012E-2</v>
      </c>
      <c r="J4" s="33">
        <f>'DCWW HIRWAUN'!J31</f>
        <v>3.6765000000000001E-3</v>
      </c>
      <c r="K4" s="33">
        <f>'DCWW HIRWAUN'!K31</f>
        <v>5.0017500000000001E-3</v>
      </c>
      <c r="L4" s="33">
        <f>'DCWW HIRWAUN'!L31</f>
        <v>2.1802499999999999E-2</v>
      </c>
      <c r="M4" s="33">
        <f>'DCWW HIRWAUN'!M31</f>
        <v>4.0014000000000001E-2</v>
      </c>
      <c r="N4" s="33">
        <f>'DCWW HIRWAUN'!N31</f>
        <v>15.261750000000001</v>
      </c>
      <c r="O4" s="33">
        <f>'DCWW HIRWAUN'!O31</f>
        <v>2017.8000000000002</v>
      </c>
      <c r="P4" s="33">
        <f>'DCWW HIRWAUN'!P31</f>
        <v>0</v>
      </c>
      <c r="Q4" s="33">
        <f>'DCWW HIRWAUN'!Q31</f>
        <v>50.979375000000012</v>
      </c>
      <c r="R4" s="33">
        <f>'DCWW HIRWAUN'!R31</f>
        <v>0</v>
      </c>
      <c r="S4" s="33">
        <f>'DCWW HIRWAUN'!S31</f>
        <v>0.1226925</v>
      </c>
      <c r="T4" s="33">
        <f>'DCWW HIRWAUN'!T31</f>
        <v>0</v>
      </c>
      <c r="U4" s="33">
        <f>'DCWW HIRWAUN'!U31</f>
        <v>0</v>
      </c>
    </row>
    <row r="5" spans="1:21" x14ac:dyDescent="0.25">
      <c r="A5" s="36">
        <v>3</v>
      </c>
      <c r="B5" s="33">
        <f>'DCWW CEFN DRYSCOED'!B31</f>
        <v>250</v>
      </c>
      <c r="C5" s="33">
        <f>'DCWW CEFN DRYSCOED'!C31</f>
        <v>40.361999999999995</v>
      </c>
      <c r="D5" s="33">
        <f>'DCWW CEFN DRYSCOED'!D31</f>
        <v>4.2818789999999991</v>
      </c>
      <c r="E5" s="33">
        <f>'DCWW CEFN DRYSCOED'!E31</f>
        <v>0.44030699999999995</v>
      </c>
      <c r="F5" s="33">
        <f>'DCWW CEFN DRYSCOED'!F31</f>
        <v>1.5319919999999998</v>
      </c>
      <c r="G5" s="33">
        <f>'DCWW CEFN DRYSCOED'!G31</f>
        <v>0.18984000000000001</v>
      </c>
      <c r="H5" s="33">
        <f>'DCWW CEFN DRYSCOED'!H31</f>
        <v>0.44519999999999998</v>
      </c>
      <c r="I5" s="33">
        <f>'DCWW CEFN DRYSCOED'!I31</f>
        <v>3.2214E-2</v>
      </c>
      <c r="J5" s="33">
        <f>'DCWW CEFN DRYSCOED'!J31</f>
        <v>2.8140000000000001E-3</v>
      </c>
      <c r="K5" s="33">
        <f>'DCWW CEFN DRYSCOED'!K31</f>
        <v>4.9559999999999995E-3</v>
      </c>
      <c r="L5" s="33">
        <f>'DCWW CEFN DRYSCOED'!L31</f>
        <v>2.1294000000000004E-2</v>
      </c>
      <c r="M5" s="33">
        <f>'DCWW CEFN DRYSCOED'!M31</f>
        <v>1.6841999999999999E-2</v>
      </c>
      <c r="N5" s="33">
        <f>'DCWW CEFN DRYSCOED'!N31</f>
        <v>768.59999999999991</v>
      </c>
      <c r="O5" s="33">
        <f>'DCWW CEFN DRYSCOED'!O31</f>
        <v>21.084000000000003</v>
      </c>
      <c r="P5" s="33">
        <f>'DCWW CEFN DRYSCOED'!P31</f>
        <v>0</v>
      </c>
      <c r="Q5" s="33">
        <f>'DCWW CEFN DRYSCOED'!Q31</f>
        <v>94.39500000000001</v>
      </c>
      <c r="R5" s="33">
        <f>'DCWW CEFN DRYSCOED'!R31</f>
        <v>0</v>
      </c>
      <c r="S5" s="33">
        <f>'DCWW CEFN DRYSCOED'!S31</f>
        <v>0.16968</v>
      </c>
      <c r="T5" s="33">
        <f>'DCWW CEFN DRYSCOED'!T31</f>
        <v>0</v>
      </c>
      <c r="U5" s="33">
        <f>'DCWW CEFN DRYSCOED'!U31</f>
        <v>0</v>
      </c>
    </row>
    <row r="6" spans="1:21" x14ac:dyDescent="0.25">
      <c r="A6" s="36">
        <v>4</v>
      </c>
      <c r="B6" s="33">
        <f>'DCWW LLYSWEN'!B31</f>
        <v>10</v>
      </c>
      <c r="C6" s="33">
        <f>'DCWW LLYSWEN'!C31</f>
        <v>3.6153600000000004</v>
      </c>
      <c r="D6" s="33">
        <f>'DCWW LLYSWEN'!D31</f>
        <v>17.009300400000001</v>
      </c>
      <c r="E6" s="33">
        <f>'DCWW LLYSWEN'!E31</f>
        <v>0.7066361000000001</v>
      </c>
      <c r="F6" s="33">
        <f>'DCWW LLYSWEN'!F31</f>
        <v>2.1318895599999999</v>
      </c>
      <c r="G6" s="33">
        <f>'DCWW LLYSWEN'!G31</f>
        <v>1.5117800000000001E-2</v>
      </c>
      <c r="H6" s="33">
        <f>'DCWW LLYSWEN'!H31</f>
        <v>0.163552</v>
      </c>
      <c r="I6" s="33">
        <f>'DCWW LLYSWEN'!I31</f>
        <v>3.3356000000000006E-3</v>
      </c>
      <c r="J6" s="33">
        <f>'DCWW LLYSWEN'!J31</f>
        <v>3.2279999999999993E-4</v>
      </c>
      <c r="K6" s="33">
        <f>'DCWW LLYSWEN'!K31</f>
        <v>1.9905999999999998E-4</v>
      </c>
      <c r="L6" s="33">
        <f>'DCWW LLYSWEN'!L31</f>
        <v>7.5858000000000002E-3</v>
      </c>
      <c r="M6" s="33">
        <f>'DCWW LLYSWEN'!M31</f>
        <v>5.7565999999999997E-3</v>
      </c>
      <c r="N6" s="33">
        <f>'DCWW LLYSWEN'!N31</f>
        <v>58.642000000000003</v>
      </c>
      <c r="O6" s="33">
        <f>'DCWW LLYSWEN'!O31</f>
        <v>5.5952000000000002</v>
      </c>
      <c r="P6" s="33">
        <f>'DCWW LLYSWEN'!P31</f>
        <v>0</v>
      </c>
      <c r="Q6" s="33">
        <f>'DCWW LLYSWEN'!Q31</f>
        <v>6.0794000000000006</v>
      </c>
      <c r="R6" s="33">
        <f>'DCWW LLYSWEN'!R31</f>
        <v>0</v>
      </c>
      <c r="S6" s="33">
        <f>'DCWW LLYSWEN'!S31</f>
        <v>1.9744600000000005E-2</v>
      </c>
      <c r="T6" s="33">
        <f>'DCWW LLYSWEN'!T31</f>
        <v>0</v>
      </c>
      <c r="U6" s="33">
        <f>'DCWW LLYSWEN'!U31</f>
        <v>0</v>
      </c>
    </row>
    <row r="7" spans="1:21" x14ac:dyDescent="0.25">
      <c r="A7" s="36">
        <v>5</v>
      </c>
      <c r="B7" s="33">
        <f>'DCWW BRYNGWYN'!B31</f>
        <v>250</v>
      </c>
      <c r="C7" s="33">
        <f>'DCWW BRYNGWYN'!C31</f>
        <v>26.302499999999998</v>
      </c>
      <c r="D7" s="33">
        <f>'DCWW BRYNGWYN'!D31</f>
        <v>2.3147118499999997</v>
      </c>
      <c r="E7" s="33">
        <f>'DCWW BRYNGWYN'!E31</f>
        <v>2.7066107500000003</v>
      </c>
      <c r="F7" s="33">
        <f>'DCWW BRYNGWYN'!F31</f>
        <v>6.6867969</v>
      </c>
      <c r="G7" s="33">
        <f>'DCWW BRYNGWYN'!G31</f>
        <v>0.12942499999999998</v>
      </c>
      <c r="H7" s="33">
        <f>'DCWW BRYNGWYN'!H31</f>
        <v>0.82247500000000007</v>
      </c>
      <c r="I7" s="33">
        <f>'DCWW BRYNGWYN'!I31</f>
        <v>5.4275000000000004E-2</v>
      </c>
      <c r="J7" s="33">
        <f>'DCWW BRYNGWYN'!J31</f>
        <v>2.9642499999999999E-3</v>
      </c>
      <c r="K7" s="33">
        <f>'DCWW BRYNGWYN'!K31</f>
        <v>5.0517499999999998E-3</v>
      </c>
      <c r="L7" s="33">
        <f>'DCWW BRYNGWYN'!L31</f>
        <v>2.166825E-2</v>
      </c>
      <c r="M7" s="33">
        <f>'DCWW BRYNGWYN'!M31</f>
        <v>3.9495500000000003E-2</v>
      </c>
      <c r="N7" s="33">
        <f>'DCWW BRYNGWYN'!N31</f>
        <v>15.197000000000001</v>
      </c>
      <c r="O7" s="33">
        <f>'DCWW BRYNGWYN'!O31</f>
        <v>1995.6499999999999</v>
      </c>
      <c r="P7" s="33">
        <f>'DCWW BRYNGWYN'!P31</f>
        <v>0</v>
      </c>
      <c r="Q7" s="33">
        <f>'DCWW BRYNGWYN'!Q31</f>
        <v>49.473750000000003</v>
      </c>
      <c r="R7" s="33">
        <f>'DCWW BRYNGWYN'!R31</f>
        <v>0</v>
      </c>
      <c r="S7" s="33">
        <f>'DCWW BRYNGWYN'!S31</f>
        <v>0.13568750000000002</v>
      </c>
      <c r="T7" s="33">
        <f>'DCWW BRYNGWYN'!T31</f>
        <v>0</v>
      </c>
      <c r="U7" s="33">
        <f>'DCWW BRYNGWYN'!U31</f>
        <v>0</v>
      </c>
    </row>
    <row r="8" spans="1:21" x14ac:dyDescent="0.25">
      <c r="A8" s="36">
        <v>6</v>
      </c>
      <c r="B8" s="33">
        <f>'DCWW CAPEL DEWI'!B31</f>
        <v>250</v>
      </c>
      <c r="C8" s="33">
        <f>'DCWW CAPEL DEWI'!C31</f>
        <v>23.048999999999999</v>
      </c>
      <c r="D8" s="33">
        <f>'DCWW CAPEL DEWI'!D31</f>
        <v>2.9753216999999994</v>
      </c>
      <c r="E8" s="33">
        <f>'DCWW CAPEL DEWI'!E31</f>
        <v>4.4692245000000002</v>
      </c>
      <c r="F8" s="33">
        <f>'DCWW CAPEL DEWI'!F31</f>
        <v>9.5635097999999967</v>
      </c>
      <c r="G8" s="33">
        <f>'DCWW CAPEL DEWI'!G31</f>
        <v>0.11395799999999999</v>
      </c>
      <c r="H8" s="33">
        <f>'DCWW CAPEL DEWI'!H31</f>
        <v>0.73124999999999996</v>
      </c>
      <c r="I8" s="33">
        <f>'DCWW CAPEL DEWI'!I31</f>
        <v>7.2539999999999993E-2</v>
      </c>
      <c r="J8" s="33">
        <f>'DCWW CAPEL DEWI'!J31</f>
        <v>2.5739999999999999E-3</v>
      </c>
      <c r="K8" s="33">
        <f>'DCWW CAPEL DEWI'!K31</f>
        <v>7.7219999999999997E-2</v>
      </c>
      <c r="L8" s="33">
        <f>'DCWW CAPEL DEWI'!L31</f>
        <v>2.1527999999999999E-2</v>
      </c>
      <c r="M8" s="33">
        <f>'DCWW CAPEL DEWI'!M31</f>
        <v>5.0309999999999994E-2</v>
      </c>
      <c r="N8" s="33">
        <f>'DCWW CAPEL DEWI'!N31</f>
        <v>14.390999999999998</v>
      </c>
      <c r="O8" s="33">
        <f>'DCWW CAPEL DEWI'!O31</f>
        <v>1719.8999999999999</v>
      </c>
      <c r="P8" s="33">
        <f>'DCWW CAPEL DEWI'!P31</f>
        <v>0</v>
      </c>
      <c r="Q8" s="33">
        <f>'DCWW CAPEL DEWI'!Q31</f>
        <v>44.167499999999997</v>
      </c>
      <c r="R8" s="33">
        <f>'DCWW CAPEL DEWI'!R31</f>
        <v>0</v>
      </c>
      <c r="S8" s="33">
        <f>'DCWW CAPEL DEWI'!S31</f>
        <v>0.16613999999999998</v>
      </c>
      <c r="T8" s="33">
        <f>'DCWW CAPEL DEWI'!T31</f>
        <v>0</v>
      </c>
      <c r="U8" s="33">
        <f>'DCWW CAPEL DEWI'!U31</f>
        <v>0</v>
      </c>
    </row>
    <row r="9" spans="1:21" x14ac:dyDescent="0.25">
      <c r="A9" s="36">
        <v>7</v>
      </c>
      <c r="B9" s="33">
        <f>'DCWW PRESELI'!B31</f>
        <v>38</v>
      </c>
      <c r="C9" s="33">
        <f>'DCWW PRESELI'!C31</f>
        <v>26.403540000000003</v>
      </c>
      <c r="D9" s="33">
        <f>'DCWW PRESELI'!D31</f>
        <v>16.397113125999997</v>
      </c>
      <c r="E9" s="33">
        <f>'DCWW PRESELI'!E31</f>
        <v>0.56829053200000013</v>
      </c>
      <c r="F9" s="33">
        <f>'DCWW PRESELI'!F31</f>
        <v>1.803394994</v>
      </c>
      <c r="G9" s="33">
        <f>'DCWW PRESELI'!G31</f>
        <v>5.3637379999999998E-2</v>
      </c>
      <c r="H9" s="33">
        <f>'DCWW PRESELI'!H31</f>
        <v>0.27067780000000002</v>
      </c>
      <c r="I9" s="33">
        <f>'DCWW PRESELI'!I31</f>
        <v>4.9818000000000006E-3</v>
      </c>
      <c r="J9" s="33">
        <f>'DCWW PRESELI'!J31</f>
        <v>1.876478E-3</v>
      </c>
      <c r="K9" s="33">
        <f>'DCWW PRESELI'!K31</f>
        <v>7.8048200000000009E-4</v>
      </c>
      <c r="L9" s="33">
        <f>'DCWW PRESELI'!L31</f>
        <v>4.6164680000000007E-2</v>
      </c>
      <c r="M9" s="33">
        <f>'DCWW PRESELI'!M31</f>
        <v>2.2252040000000001E-2</v>
      </c>
      <c r="N9" s="33">
        <f>'DCWW PRESELI'!N31</f>
        <v>272.33840000000004</v>
      </c>
      <c r="O9" s="33">
        <f>'DCWW PRESELI'!O31</f>
        <v>36.533200000000001</v>
      </c>
      <c r="P9" s="33">
        <f>'DCWW PRESELI'!P31</f>
        <v>0</v>
      </c>
      <c r="Q9" s="33">
        <f>'DCWW PRESELI'!Q31</f>
        <v>42.760450000000006</v>
      </c>
      <c r="R9" s="33">
        <f>'DCWW PRESELI'!R31</f>
        <v>0</v>
      </c>
      <c r="S9" s="33">
        <f>'DCWW PRESELI'!S31</f>
        <v>2.4576880000000002E-2</v>
      </c>
      <c r="T9" s="33">
        <f>'DCWW PRESELI'!T31</f>
        <v>0</v>
      </c>
      <c r="U9" s="33">
        <f>'DCWW PRESELI'!U31</f>
        <v>0</v>
      </c>
    </row>
    <row r="10" spans="1:21" x14ac:dyDescent="0.25">
      <c r="A10" s="36">
        <v>8</v>
      </c>
      <c r="B10" s="33">
        <f>'DCWW BOLTON HILL'!B31</f>
        <v>50</v>
      </c>
      <c r="C10" s="33">
        <f>'DCWW BOLTON HILL'!C31</f>
        <v>34.610999999999997</v>
      </c>
      <c r="D10" s="33">
        <f>'DCWW BOLTON HILL'!D31</f>
        <v>16.029897900000005</v>
      </c>
      <c r="E10" s="33">
        <f>'DCWW BOLTON HILL'!E31</f>
        <v>1.5602340000000003</v>
      </c>
      <c r="F10" s="33">
        <f>'DCWW BOLTON HILL'!F31</f>
        <v>3.3398917800000003</v>
      </c>
      <c r="G10" s="33">
        <f>'DCWW BOLTON HILL'!G31</f>
        <v>0.14740800000000001</v>
      </c>
      <c r="H10" s="33">
        <f>'DCWW BOLTON HILL'!H31</f>
        <v>0.27140999999999998</v>
      </c>
      <c r="I10" s="33">
        <f>'DCWW BOLTON HILL'!I31</f>
        <v>1.5438000000000002E-2</v>
      </c>
      <c r="J10" s="33">
        <f>'DCWW BOLTON HILL'!J31</f>
        <v>9.7110000000000024E-4</v>
      </c>
      <c r="K10" s="33">
        <f>'DCWW BOLTON HILL'!K31</f>
        <v>9.9600000000000014E-4</v>
      </c>
      <c r="L10" s="33">
        <f>'DCWW BOLTON HILL'!L31</f>
        <v>6.9720000000000004E-2</v>
      </c>
      <c r="M10" s="33">
        <f>'DCWW BOLTON HILL'!M31</f>
        <v>2.4825300000000005E-2</v>
      </c>
      <c r="N10" s="33">
        <f>'DCWW BOLTON HILL'!N31</f>
        <v>415.83000000000004</v>
      </c>
      <c r="O10" s="33">
        <f>'DCWW BOLTON HILL'!O31</f>
        <v>41.583000000000006</v>
      </c>
      <c r="P10" s="33">
        <f>'DCWW BOLTON HILL'!P31</f>
        <v>0</v>
      </c>
      <c r="Q10" s="33">
        <f>'DCWW BOLTON HILL'!Q31</f>
        <v>39.341999999999999</v>
      </c>
      <c r="R10" s="33">
        <f>'DCWW BOLTON HILL'!R31</f>
        <v>0</v>
      </c>
      <c r="S10" s="33">
        <f>'DCWW BOLTON HILL'!S31</f>
        <v>5.3037000000000008E-2</v>
      </c>
      <c r="T10" s="33">
        <f>'DCWW BOLTON HILL'!T31</f>
        <v>0</v>
      </c>
      <c r="U10" s="33">
        <f>'DCWW BOLTON HILL'!U31</f>
        <v>0</v>
      </c>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6" x14ac:dyDescent="0.3">
      <c r="A13" s="80" t="s">
        <v>85</v>
      </c>
      <c r="B13" s="81">
        <f>SUM(B3:B12)</f>
        <v>1348</v>
      </c>
      <c r="C13" s="81">
        <f t="shared" ref="C13:U13" si="0">SUM(C3:C12)</f>
        <v>218.78864999999999</v>
      </c>
      <c r="D13" s="81">
        <f t="shared" si="0"/>
        <v>71.288384901000015</v>
      </c>
      <c r="E13" s="81">
        <f t="shared" si="0"/>
        <v>14.086546882</v>
      </c>
      <c r="F13" s="81">
        <f t="shared" si="0"/>
        <v>36.517446683999999</v>
      </c>
      <c r="G13" s="81">
        <f t="shared" si="0"/>
        <v>0.92393868000000001</v>
      </c>
      <c r="H13" s="81">
        <f t="shared" si="0"/>
        <v>4.1755398000000001</v>
      </c>
      <c r="I13" s="81">
        <f t="shared" si="0"/>
        <v>0.31128939999999999</v>
      </c>
      <c r="J13" s="81">
        <f t="shared" si="0"/>
        <v>1.8310127999999998E-2</v>
      </c>
      <c r="K13" s="81">
        <f t="shared" si="0"/>
        <v>9.9254041999999987E-2</v>
      </c>
      <c r="L13" s="81">
        <f t="shared" si="0"/>
        <v>0.25872323000000003</v>
      </c>
      <c r="M13" s="81">
        <f t="shared" si="0"/>
        <v>0.27650543999999999</v>
      </c>
      <c r="N13" s="81">
        <f t="shared" si="0"/>
        <v>1575.8151499999999</v>
      </c>
      <c r="O13" s="81">
        <f t="shared" si="0"/>
        <v>8138.245399999998</v>
      </c>
      <c r="P13" s="81">
        <f t="shared" si="0"/>
        <v>0</v>
      </c>
      <c r="Q13" s="81">
        <f t="shared" si="0"/>
        <v>360.72997499999997</v>
      </c>
      <c r="R13" s="81">
        <f t="shared" si="0"/>
        <v>0</v>
      </c>
      <c r="S13" s="81">
        <f t="shared" si="0"/>
        <v>0.88892848000000002</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47" t="s">
        <v>84</v>
      </c>
      <c r="B1" s="34" t="s">
        <v>152</v>
      </c>
      <c r="C1" s="35" t="str">
        <f>'DCWW CRAI'!B29</f>
        <v>Application Rate</v>
      </c>
      <c r="D1" s="35" t="str">
        <f>'DCWW CRAI'!C29</f>
        <v>Nitrogen Addition</v>
      </c>
      <c r="E1" s="35" t="str">
        <f>'DCWW CRAI'!D29</f>
        <v>Phosphate Addition</v>
      </c>
      <c r="F1" s="35" t="str">
        <f>'DCWW CRAI'!E29</f>
        <v>Potash  Addition</v>
      </c>
      <c r="G1" s="35" t="str">
        <f>'DCWW CRAI'!F29</f>
        <v>Mg Oxide Addition</v>
      </c>
      <c r="H1" s="35" t="str">
        <f>'DCWW CRAI'!G29</f>
        <v>Copper Addition</v>
      </c>
      <c r="I1" s="35" t="str">
        <f>'DCWW CRAI'!H29</f>
        <v>Zinc Addition</v>
      </c>
      <c r="J1" s="35" t="str">
        <f>'DCWW CRAI'!I29</f>
        <v>Lead Addition</v>
      </c>
      <c r="K1" s="35" t="str">
        <f>'DCWW CRAI'!J29</f>
        <v>Cadmium Addition</v>
      </c>
      <c r="L1" s="35" t="str">
        <f>'DCWW CRAI'!K29</f>
        <v>Mercury Addition</v>
      </c>
      <c r="M1" s="35" t="str">
        <f>'DCWW CRAI'!L29</f>
        <v>Nickel Addition</v>
      </c>
      <c r="N1" s="35" t="str">
        <f>'DCWW CRAI'!M29</f>
        <v>Chromium Addition</v>
      </c>
      <c r="O1" s="35" t="str">
        <f>'DCWW CRAI'!N29</f>
        <v>Aluminium Addition</v>
      </c>
      <c r="P1" s="35" t="str">
        <f>'DCWW CRAI'!O29</f>
        <v>Iron Addition</v>
      </c>
      <c r="Q1" s="35" t="str">
        <f>'DCWW CRAI'!P29</f>
        <v xml:space="preserve">Sodium Addition                 </v>
      </c>
      <c r="R1" s="35" t="str">
        <f>'DCWW CRAI'!Q29</f>
        <v>SO3  Addition                             kg/ha</v>
      </c>
      <c r="S1" s="35" t="str">
        <f>'DCWW CRAI'!R29</f>
        <v xml:space="preserve">Selenium Addition </v>
      </c>
      <c r="T1" s="35" t="str">
        <f>'DCWW CRAI'!S29</f>
        <v xml:space="preserve">Arsenic  Addition  </v>
      </c>
      <c r="U1" s="35" t="str">
        <f>'DCWW CRAI'!T29</f>
        <v xml:space="preserve">Molybdenum Addition  </v>
      </c>
      <c r="V1" s="35" t="str">
        <f>'DCWW CRAI'!U29</f>
        <v xml:space="preserve">Fluoride Addition </v>
      </c>
    </row>
    <row r="2" spans="1:22" s="83" customFormat="1" ht="26.4" x14ac:dyDescent="0.3">
      <c r="A2" s="147"/>
      <c r="B2" s="32" t="s">
        <v>46</v>
      </c>
      <c r="C2" s="35" t="str">
        <f>'DCWW CRAI'!B30</f>
        <v>tonnes/ha</v>
      </c>
      <c r="D2" s="35" t="str">
        <f>'DCWW CRAI'!C30</f>
        <v>kg/ha</v>
      </c>
      <c r="E2" s="35" t="str">
        <f>'DCWW CRAI'!D30</f>
        <v>P2O5 
kg/ha</v>
      </c>
      <c r="F2" s="35" t="str">
        <f>'DCWW CRAI'!E30</f>
        <v>K2O 
kg/ha</v>
      </c>
      <c r="G2" s="35" t="str">
        <f>'DCWW CRAI'!F30</f>
        <v>MgO 
kg/ha</v>
      </c>
      <c r="H2" s="35" t="str">
        <f>'DCWW CRAI'!G30</f>
        <v>kg/ha</v>
      </c>
      <c r="I2" s="35" t="str">
        <f>'DCWW CRAI'!H30</f>
        <v>kg/ha</v>
      </c>
      <c r="J2" s="35" t="str">
        <f>'DCWW CRAI'!I30</f>
        <v>kg/ha</v>
      </c>
      <c r="K2" s="35" t="str">
        <f>'DCWW CRAI'!J30</f>
        <v>kg/ha</v>
      </c>
      <c r="L2" s="35" t="str">
        <f>'DCWW CRAI'!K30</f>
        <v>kg/ha</v>
      </c>
      <c r="M2" s="35" t="str">
        <f>'DCWW CRAI'!L30</f>
        <v>kg/ha</v>
      </c>
      <c r="N2" s="35" t="str">
        <f>'DCWW CRAI'!M30</f>
        <v>kg/ha</v>
      </c>
      <c r="O2" s="35" t="str">
        <f>'DCWW CRAI'!N30</f>
        <v>kg/ha</v>
      </c>
      <c r="P2" s="35" t="str">
        <f>'DCWW CRAI'!O30</f>
        <v>kg/ha</v>
      </c>
      <c r="Q2" s="35" t="str">
        <f>'DCWW CRAI'!P30</f>
        <v>kg/ha</v>
      </c>
      <c r="R2" s="35" t="str">
        <f>'DCWW CRAI'!Q30</f>
        <v>kg/ha</v>
      </c>
      <c r="S2" s="35" t="str">
        <f>'DCWW CRAI'!R30</f>
        <v>kg/ha</v>
      </c>
      <c r="T2" s="35" t="str">
        <f>'DCWW CRAI'!S30</f>
        <v>kg/ha</v>
      </c>
      <c r="U2" s="35" t="str">
        <f>'DCWW CRAI'!T30</f>
        <v>kg/ha</v>
      </c>
      <c r="V2" s="35" t="str">
        <f>'DCWW CRAI'!U30</f>
        <v>kg/ha</v>
      </c>
    </row>
    <row r="3" spans="1:22" x14ac:dyDescent="0.25">
      <c r="A3" s="36">
        <v>1</v>
      </c>
      <c r="B3" s="91"/>
      <c r="C3" s="33">
        <f>'DCWW CRAI'!B31</f>
        <v>250</v>
      </c>
      <c r="D3" s="33">
        <f>'DCWW CRAI'!C31</f>
        <v>37.128</v>
      </c>
      <c r="E3" s="33">
        <f>'DCWW CRAI'!D31</f>
        <v>9.9198009000000003</v>
      </c>
      <c r="F3" s="33">
        <f>'DCWW CRAI'!E31</f>
        <v>0.97713450000000013</v>
      </c>
      <c r="G3" s="33">
        <f>'DCWW CRAI'!F31</f>
        <v>5.0312009999999994</v>
      </c>
      <c r="H3" s="33">
        <f>'DCWW CRAI'!G31</f>
        <v>0.14331000000000005</v>
      </c>
      <c r="I3" s="33">
        <f>'DCWW CRAI'!H31</f>
        <v>0.66300000000000003</v>
      </c>
      <c r="J3" s="33">
        <f>'DCWW CRAI'!I31</f>
        <v>4.3860000000000003E-2</v>
      </c>
      <c r="K3" s="33">
        <f>'DCWW CRAI'!J31</f>
        <v>3.1110000000000001E-3</v>
      </c>
      <c r="L3" s="33">
        <f>'DCWW CRAI'!K31</f>
        <v>5.0490000000000005E-3</v>
      </c>
      <c r="M3" s="33">
        <f>'DCWW CRAI'!L31</f>
        <v>4.8959999999999997E-2</v>
      </c>
      <c r="N3" s="33">
        <f>'DCWW CRAI'!M31</f>
        <v>7.7010000000000009E-2</v>
      </c>
      <c r="O3" s="33">
        <f>'DCWW CRAI'!N31</f>
        <v>15.555000000000003</v>
      </c>
      <c r="P3" s="33">
        <f>'DCWW CRAI'!O31</f>
        <v>2300.1</v>
      </c>
      <c r="Q3" s="33">
        <f>'DCWW CRAI'!P31</f>
        <v>0</v>
      </c>
      <c r="R3" s="33">
        <f>'DCWW CRAI'!Q31</f>
        <v>33.532499999999999</v>
      </c>
      <c r="S3" s="33">
        <f>'DCWW CRAI'!R31</f>
        <v>0</v>
      </c>
      <c r="T3" s="33">
        <f>'DCWW CRAI'!S31</f>
        <v>0.19737000000000005</v>
      </c>
      <c r="U3" s="33">
        <f>'DCWW CRAI'!T31</f>
        <v>0</v>
      </c>
      <c r="V3" s="33">
        <f>'DCWW CRAI'!U31</f>
        <v>0</v>
      </c>
    </row>
    <row r="4" spans="1:22" x14ac:dyDescent="0.25">
      <c r="A4" s="36">
        <v>2</v>
      </c>
      <c r="B4" s="91"/>
      <c r="C4" s="33">
        <f>'DCWW HIRWAUN'!B31</f>
        <v>250</v>
      </c>
      <c r="D4" s="33">
        <f>'DCWW HIRWAUN'!C31</f>
        <v>27.317250000000005</v>
      </c>
      <c r="E4" s="33">
        <f>'DCWW HIRWAUN'!D31</f>
        <v>2.3603600249999999</v>
      </c>
      <c r="F4" s="33">
        <f>'DCWW HIRWAUN'!E31</f>
        <v>2.6581095000000006</v>
      </c>
      <c r="G4" s="33">
        <f>'DCWW HIRWAUN'!F31</f>
        <v>6.4287706499999997</v>
      </c>
      <c r="H4" s="33">
        <f>'DCWW HIRWAUN'!G31</f>
        <v>0.13124250000000001</v>
      </c>
      <c r="I4" s="33">
        <f>'DCWW HIRWAUN'!H31</f>
        <v>0.80797500000000011</v>
      </c>
      <c r="J4" s="33">
        <f>'DCWW HIRWAUN'!I31</f>
        <v>8.4645000000000012E-2</v>
      </c>
      <c r="K4" s="33">
        <f>'DCWW HIRWAUN'!J31</f>
        <v>3.6765000000000001E-3</v>
      </c>
      <c r="L4" s="33">
        <f>'DCWW HIRWAUN'!K31</f>
        <v>5.0017500000000001E-3</v>
      </c>
      <c r="M4" s="33">
        <f>'DCWW HIRWAUN'!L31</f>
        <v>2.1802499999999999E-2</v>
      </c>
      <c r="N4" s="33">
        <f>'DCWW HIRWAUN'!M31</f>
        <v>4.0014000000000001E-2</v>
      </c>
      <c r="O4" s="33">
        <f>'DCWW HIRWAUN'!N31</f>
        <v>15.261750000000001</v>
      </c>
      <c r="P4" s="33">
        <f>'DCWW HIRWAUN'!O31</f>
        <v>2017.8000000000002</v>
      </c>
      <c r="Q4" s="33">
        <f>'DCWW HIRWAUN'!P31</f>
        <v>0</v>
      </c>
      <c r="R4" s="33">
        <f>'DCWW HIRWAUN'!Q31</f>
        <v>50.979375000000012</v>
      </c>
      <c r="S4" s="33">
        <f>'DCWW HIRWAUN'!R31</f>
        <v>0</v>
      </c>
      <c r="T4" s="33">
        <f>'DCWW HIRWAUN'!S31</f>
        <v>0.1226925</v>
      </c>
      <c r="U4" s="33">
        <f>'DCWW HIRWAUN'!T31</f>
        <v>0</v>
      </c>
      <c r="V4" s="33">
        <f>'DCWW HIRWAUN'!U31</f>
        <v>0</v>
      </c>
    </row>
    <row r="5" spans="1:22" x14ac:dyDescent="0.25">
      <c r="A5" s="36">
        <v>3</v>
      </c>
      <c r="B5" s="91"/>
      <c r="C5" s="33">
        <f>'DCWW CEFN DRYSCOED'!B31</f>
        <v>250</v>
      </c>
      <c r="D5" s="33">
        <f>'DCWW CEFN DRYSCOED'!C31</f>
        <v>40.361999999999995</v>
      </c>
      <c r="E5" s="33">
        <f>'DCWW CEFN DRYSCOED'!D31</f>
        <v>4.2818789999999991</v>
      </c>
      <c r="F5" s="33">
        <f>'DCWW CEFN DRYSCOED'!E31</f>
        <v>0.44030699999999995</v>
      </c>
      <c r="G5" s="33">
        <f>'DCWW CEFN DRYSCOED'!F31</f>
        <v>1.5319919999999998</v>
      </c>
      <c r="H5" s="33">
        <f>'DCWW CEFN DRYSCOED'!G31</f>
        <v>0.18984000000000001</v>
      </c>
      <c r="I5" s="33">
        <f>'DCWW CEFN DRYSCOED'!H31</f>
        <v>0.44519999999999998</v>
      </c>
      <c r="J5" s="33">
        <f>'DCWW CEFN DRYSCOED'!I31</f>
        <v>3.2214E-2</v>
      </c>
      <c r="K5" s="33">
        <f>'DCWW CEFN DRYSCOED'!J31</f>
        <v>2.8140000000000001E-3</v>
      </c>
      <c r="L5" s="33">
        <f>'DCWW CEFN DRYSCOED'!K31</f>
        <v>4.9559999999999995E-3</v>
      </c>
      <c r="M5" s="33">
        <f>'DCWW CEFN DRYSCOED'!L31</f>
        <v>2.1294000000000004E-2</v>
      </c>
      <c r="N5" s="33">
        <f>'DCWW CEFN DRYSCOED'!M31</f>
        <v>1.6841999999999999E-2</v>
      </c>
      <c r="O5" s="33">
        <f>'DCWW CEFN DRYSCOED'!N31</f>
        <v>768.59999999999991</v>
      </c>
      <c r="P5" s="33">
        <f>'DCWW CEFN DRYSCOED'!O31</f>
        <v>21.084000000000003</v>
      </c>
      <c r="Q5" s="33">
        <f>'DCWW CEFN DRYSCOED'!P31</f>
        <v>0</v>
      </c>
      <c r="R5" s="33">
        <f>'DCWW CEFN DRYSCOED'!Q31</f>
        <v>94.39500000000001</v>
      </c>
      <c r="S5" s="33">
        <f>'DCWW CEFN DRYSCOED'!R31</f>
        <v>0</v>
      </c>
      <c r="T5" s="33">
        <f>'DCWW CEFN DRYSCOED'!S31</f>
        <v>0.16968</v>
      </c>
      <c r="U5" s="33">
        <f>'DCWW CEFN DRYSCOED'!T31</f>
        <v>0</v>
      </c>
      <c r="V5" s="33">
        <f>'DCWW CEFN DRYSCOED'!U31</f>
        <v>0</v>
      </c>
    </row>
    <row r="6" spans="1:22" x14ac:dyDescent="0.25">
      <c r="A6" s="36">
        <v>4</v>
      </c>
      <c r="B6" s="91"/>
      <c r="C6" s="33">
        <f>'DCWW LLYSWEN'!B31</f>
        <v>10</v>
      </c>
      <c r="D6" s="33">
        <f>'DCWW LLYSWEN'!C31</f>
        <v>3.6153600000000004</v>
      </c>
      <c r="E6" s="33">
        <f>'DCWW LLYSWEN'!D31</f>
        <v>17.009300400000001</v>
      </c>
      <c r="F6" s="33">
        <f>'DCWW LLYSWEN'!E31</f>
        <v>0.7066361000000001</v>
      </c>
      <c r="G6" s="33">
        <f>'DCWW LLYSWEN'!F31</f>
        <v>2.1318895599999999</v>
      </c>
      <c r="H6" s="33">
        <f>'DCWW LLYSWEN'!G31</f>
        <v>1.5117800000000001E-2</v>
      </c>
      <c r="I6" s="33">
        <f>'DCWW LLYSWEN'!H31</f>
        <v>0.163552</v>
      </c>
      <c r="J6" s="33">
        <f>'DCWW LLYSWEN'!I31</f>
        <v>3.3356000000000006E-3</v>
      </c>
      <c r="K6" s="33">
        <f>'DCWW LLYSWEN'!J31</f>
        <v>3.2279999999999993E-4</v>
      </c>
      <c r="L6" s="33">
        <f>'DCWW LLYSWEN'!K31</f>
        <v>1.9905999999999998E-4</v>
      </c>
      <c r="M6" s="33">
        <f>'DCWW LLYSWEN'!L31</f>
        <v>7.5858000000000002E-3</v>
      </c>
      <c r="N6" s="33">
        <f>'DCWW LLYSWEN'!M31</f>
        <v>5.7565999999999997E-3</v>
      </c>
      <c r="O6" s="33">
        <f>'DCWW LLYSWEN'!N31</f>
        <v>58.642000000000003</v>
      </c>
      <c r="P6" s="33">
        <f>'DCWW LLYSWEN'!O31</f>
        <v>5.5952000000000002</v>
      </c>
      <c r="Q6" s="33">
        <f>'DCWW LLYSWEN'!P31</f>
        <v>0</v>
      </c>
      <c r="R6" s="33">
        <f>'DCWW LLYSWEN'!Q31</f>
        <v>6.0794000000000006</v>
      </c>
      <c r="S6" s="33">
        <f>'DCWW LLYSWEN'!R31</f>
        <v>0</v>
      </c>
      <c r="T6" s="33">
        <f>'DCWW LLYSWEN'!S31</f>
        <v>1.9744600000000005E-2</v>
      </c>
      <c r="U6" s="33">
        <f>'DCWW LLYSWEN'!T31</f>
        <v>0</v>
      </c>
      <c r="V6" s="33">
        <f>'DCWW LLYSWEN'!U31</f>
        <v>0</v>
      </c>
    </row>
    <row r="7" spans="1:22" x14ac:dyDescent="0.25">
      <c r="A7" s="36">
        <v>5</v>
      </c>
      <c r="B7" s="91"/>
      <c r="C7" s="33">
        <f>'DCWW BRYNGWYN'!B31</f>
        <v>250</v>
      </c>
      <c r="D7" s="33">
        <f>'DCWW BRYNGWYN'!C31</f>
        <v>26.302499999999998</v>
      </c>
      <c r="E7" s="33">
        <f>'DCWW BRYNGWYN'!D31</f>
        <v>2.3147118499999997</v>
      </c>
      <c r="F7" s="33">
        <f>'DCWW BRYNGWYN'!E31</f>
        <v>2.7066107500000003</v>
      </c>
      <c r="G7" s="33">
        <f>'DCWW BRYNGWYN'!F31</f>
        <v>6.6867969</v>
      </c>
      <c r="H7" s="33">
        <f>'DCWW BRYNGWYN'!G31</f>
        <v>0.12942499999999998</v>
      </c>
      <c r="I7" s="33">
        <f>'DCWW BRYNGWYN'!H31</f>
        <v>0.82247500000000007</v>
      </c>
      <c r="J7" s="33">
        <f>'DCWW BRYNGWYN'!I31</f>
        <v>5.4275000000000004E-2</v>
      </c>
      <c r="K7" s="33">
        <f>'DCWW BRYNGWYN'!J31</f>
        <v>2.9642499999999999E-3</v>
      </c>
      <c r="L7" s="33">
        <f>'DCWW BRYNGWYN'!K31</f>
        <v>5.0517499999999998E-3</v>
      </c>
      <c r="M7" s="33">
        <f>'DCWW BRYNGWYN'!L31</f>
        <v>2.166825E-2</v>
      </c>
      <c r="N7" s="33">
        <f>'DCWW BRYNGWYN'!M31</f>
        <v>3.9495500000000003E-2</v>
      </c>
      <c r="O7" s="33">
        <f>'DCWW BRYNGWYN'!N31</f>
        <v>15.197000000000001</v>
      </c>
      <c r="P7" s="33">
        <f>'DCWW BRYNGWYN'!O31</f>
        <v>1995.6499999999999</v>
      </c>
      <c r="Q7" s="33">
        <f>'DCWW BRYNGWYN'!P31</f>
        <v>0</v>
      </c>
      <c r="R7" s="33">
        <f>'DCWW BRYNGWYN'!Q31</f>
        <v>49.473750000000003</v>
      </c>
      <c r="S7" s="33">
        <f>'DCWW BRYNGWYN'!R31</f>
        <v>0</v>
      </c>
      <c r="T7" s="33">
        <f>'DCWW BRYNGWYN'!S31</f>
        <v>0.13568750000000002</v>
      </c>
      <c r="U7" s="33">
        <f>'DCWW BRYNGWYN'!T31</f>
        <v>0</v>
      </c>
      <c r="V7" s="33">
        <f>'DCWW BRYNGWYN'!U31</f>
        <v>0</v>
      </c>
    </row>
    <row r="8" spans="1:22" x14ac:dyDescent="0.25">
      <c r="A8" s="36">
        <v>6</v>
      </c>
      <c r="B8" s="91"/>
      <c r="C8" s="33">
        <f>'DCWW CAPEL DEWI'!B31</f>
        <v>250</v>
      </c>
      <c r="D8" s="33">
        <f>'DCWW CAPEL DEWI'!C31</f>
        <v>23.048999999999999</v>
      </c>
      <c r="E8" s="33">
        <f>'DCWW CAPEL DEWI'!D31</f>
        <v>2.9753216999999994</v>
      </c>
      <c r="F8" s="33">
        <f>'DCWW CAPEL DEWI'!E31</f>
        <v>4.4692245000000002</v>
      </c>
      <c r="G8" s="33">
        <f>'DCWW CAPEL DEWI'!F31</f>
        <v>9.5635097999999967</v>
      </c>
      <c r="H8" s="33">
        <f>'DCWW CAPEL DEWI'!G31</f>
        <v>0.11395799999999999</v>
      </c>
      <c r="I8" s="33">
        <f>'DCWW CAPEL DEWI'!H31</f>
        <v>0.73124999999999996</v>
      </c>
      <c r="J8" s="33">
        <f>'DCWW CAPEL DEWI'!I31</f>
        <v>7.2539999999999993E-2</v>
      </c>
      <c r="K8" s="33">
        <f>'DCWW CAPEL DEWI'!J31</f>
        <v>2.5739999999999999E-3</v>
      </c>
      <c r="L8" s="33">
        <f>'DCWW CAPEL DEWI'!K31</f>
        <v>7.7219999999999997E-2</v>
      </c>
      <c r="M8" s="33">
        <f>'DCWW CAPEL DEWI'!L31</f>
        <v>2.1527999999999999E-2</v>
      </c>
      <c r="N8" s="33">
        <f>'DCWW CAPEL DEWI'!M31</f>
        <v>5.0309999999999994E-2</v>
      </c>
      <c r="O8" s="33">
        <f>'DCWW CAPEL DEWI'!N31</f>
        <v>14.390999999999998</v>
      </c>
      <c r="P8" s="33">
        <f>'DCWW CAPEL DEWI'!O31</f>
        <v>1719.8999999999999</v>
      </c>
      <c r="Q8" s="33">
        <f>'DCWW CAPEL DEWI'!P31</f>
        <v>0</v>
      </c>
      <c r="R8" s="33">
        <f>'DCWW CAPEL DEWI'!Q31</f>
        <v>44.167499999999997</v>
      </c>
      <c r="S8" s="33">
        <f>'DCWW CAPEL DEWI'!R31</f>
        <v>0</v>
      </c>
      <c r="T8" s="33">
        <f>'DCWW CAPEL DEWI'!S31</f>
        <v>0.16613999999999998</v>
      </c>
      <c r="U8" s="33">
        <f>'DCWW CAPEL DEWI'!T31</f>
        <v>0</v>
      </c>
      <c r="V8" s="33">
        <f>'DCWW CAPEL DEWI'!U31</f>
        <v>0</v>
      </c>
    </row>
    <row r="9" spans="1:22" x14ac:dyDescent="0.25">
      <c r="A9" s="36">
        <v>7</v>
      </c>
      <c r="B9" s="91"/>
      <c r="C9" s="33">
        <f>'DCWW PRESELI'!B31</f>
        <v>38</v>
      </c>
      <c r="D9" s="33">
        <f>'DCWW PRESELI'!C31</f>
        <v>26.403540000000003</v>
      </c>
      <c r="E9" s="33">
        <f>'DCWW PRESELI'!D31</f>
        <v>16.397113125999997</v>
      </c>
      <c r="F9" s="33">
        <f>'DCWW PRESELI'!E31</f>
        <v>0.56829053200000013</v>
      </c>
      <c r="G9" s="33">
        <f>'DCWW PRESELI'!F31</f>
        <v>1.803394994</v>
      </c>
      <c r="H9" s="33">
        <f>'DCWW PRESELI'!G31</f>
        <v>5.3637379999999998E-2</v>
      </c>
      <c r="I9" s="33">
        <f>'DCWW PRESELI'!H31</f>
        <v>0.27067780000000002</v>
      </c>
      <c r="J9" s="33">
        <f>'DCWW PRESELI'!I31</f>
        <v>4.9818000000000006E-3</v>
      </c>
      <c r="K9" s="33">
        <f>'DCWW PRESELI'!J31</f>
        <v>1.876478E-3</v>
      </c>
      <c r="L9" s="33">
        <f>'DCWW PRESELI'!K31</f>
        <v>7.8048200000000009E-4</v>
      </c>
      <c r="M9" s="33">
        <f>'DCWW PRESELI'!L31</f>
        <v>4.6164680000000007E-2</v>
      </c>
      <c r="N9" s="33">
        <f>'DCWW PRESELI'!M31</f>
        <v>2.2252040000000001E-2</v>
      </c>
      <c r="O9" s="33">
        <f>'DCWW PRESELI'!N31</f>
        <v>272.33840000000004</v>
      </c>
      <c r="P9" s="33">
        <f>'DCWW PRESELI'!O31</f>
        <v>36.533200000000001</v>
      </c>
      <c r="Q9" s="33">
        <f>'DCWW PRESELI'!P31</f>
        <v>0</v>
      </c>
      <c r="R9" s="33">
        <f>'DCWW PRESELI'!Q31</f>
        <v>42.760450000000006</v>
      </c>
      <c r="S9" s="33">
        <f>'DCWW PRESELI'!R31</f>
        <v>0</v>
      </c>
      <c r="T9" s="33">
        <f>'DCWW PRESELI'!S31</f>
        <v>2.4576880000000002E-2</v>
      </c>
      <c r="U9" s="33">
        <f>'DCWW PRESELI'!T31</f>
        <v>0</v>
      </c>
      <c r="V9" s="33">
        <f>'DCWW PRESELI'!U31</f>
        <v>0</v>
      </c>
    </row>
    <row r="10" spans="1:22" x14ac:dyDescent="0.25">
      <c r="A10" s="36">
        <v>8</v>
      </c>
      <c r="B10" s="91"/>
      <c r="C10" s="33">
        <f>'DCWW BOLTON HILL'!B31</f>
        <v>50</v>
      </c>
      <c r="D10" s="33">
        <f>'DCWW BOLTON HILL'!C31</f>
        <v>34.610999999999997</v>
      </c>
      <c r="E10" s="33">
        <f>'DCWW BOLTON HILL'!D31</f>
        <v>16.029897900000005</v>
      </c>
      <c r="F10" s="33">
        <f>'DCWW BOLTON HILL'!E31</f>
        <v>1.5602340000000003</v>
      </c>
      <c r="G10" s="33">
        <f>'DCWW BOLTON HILL'!F31</f>
        <v>3.3398917800000003</v>
      </c>
      <c r="H10" s="33">
        <f>'DCWW BOLTON HILL'!G31</f>
        <v>0.14740800000000001</v>
      </c>
      <c r="I10" s="33">
        <f>'DCWW BOLTON HILL'!H31</f>
        <v>0.27140999999999998</v>
      </c>
      <c r="J10" s="33">
        <f>'DCWW BOLTON HILL'!I31</f>
        <v>1.5438000000000002E-2</v>
      </c>
      <c r="K10" s="33">
        <f>'DCWW BOLTON HILL'!J31</f>
        <v>9.7110000000000024E-4</v>
      </c>
      <c r="L10" s="33">
        <f>'DCWW BOLTON HILL'!K31</f>
        <v>9.9600000000000014E-4</v>
      </c>
      <c r="M10" s="33">
        <f>'DCWW BOLTON HILL'!L31</f>
        <v>6.9720000000000004E-2</v>
      </c>
      <c r="N10" s="33">
        <f>'DCWW BOLTON HILL'!M31</f>
        <v>2.4825300000000005E-2</v>
      </c>
      <c r="O10" s="33">
        <f>'DCWW BOLTON HILL'!N31</f>
        <v>415.83000000000004</v>
      </c>
      <c r="P10" s="33">
        <f>'DCWW BOLTON HILL'!O31</f>
        <v>41.583000000000006</v>
      </c>
      <c r="Q10" s="33">
        <f>'DCWW BOLTON HILL'!P31</f>
        <v>0</v>
      </c>
      <c r="R10" s="33">
        <f>'DCWW BOLTON HILL'!Q31</f>
        <v>39.341999999999999</v>
      </c>
      <c r="S10" s="33">
        <f>'DCWW BOLTON HILL'!R31</f>
        <v>0</v>
      </c>
      <c r="T10" s="33">
        <f>'DCWW BOLTON HILL'!S31</f>
        <v>5.3037000000000008E-2</v>
      </c>
      <c r="U10" s="33">
        <f>'DCWW BOLTON HILL'!T31</f>
        <v>0</v>
      </c>
      <c r="V10" s="33">
        <f>'DCWW BOLTON HILL'!U31</f>
        <v>0</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6" t="s">
        <v>84</v>
      </c>
      <c r="B15" s="35" t="s">
        <v>152</v>
      </c>
      <c r="C15" s="35">
        <f>'DCWW CRAI'!B43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6"/>
      <c r="B16" s="32" t="s">
        <v>46</v>
      </c>
      <c r="C16" s="35">
        <f>'DCWW CRAI'!B44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10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38</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6" x14ac:dyDescent="0.3">
      <c r="A27" s="148" t="s">
        <v>85</v>
      </c>
      <c r="B27" s="148"/>
      <c r="C27" s="148"/>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REGU-415-1631453</_dlc_DocId>
    <_dlc_DocIdUrl xmlns="9be56660-2c31-41ef-bc00-23e72f632f2a">
      <Url>https://cyfoethnaturiolcymru.sharepoint.com/teams/Regulatory/Permitting/_layouts/15/DocIdRedir.aspx?ID=REGU-415-1631453</Url>
      <Description>REGU-415-1631453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2024-01-31T00:00:00+00:00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5E720C7C-557C-4B2A-951C-33A755BDF8C7}"/>
</file>

<file path=customXml/itemProps4.xml><?xml version="1.0" encoding="utf-8"?>
<ds:datastoreItem xmlns:ds="http://schemas.openxmlformats.org/officeDocument/2006/customXml" ds:itemID="{E6075DD5-7D2A-4A90-B2AA-6C82B2C199B1}"/>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DCWW CRAI</vt:lpstr>
      <vt:lpstr>DCWW HIRWAUN</vt:lpstr>
      <vt:lpstr>DCWW CEFN DRYSCOED</vt:lpstr>
      <vt:lpstr>DCWW LLYSWEN</vt:lpstr>
      <vt:lpstr>DCWW BRYNGWYN</vt:lpstr>
      <vt:lpstr>DCWW CAPEL DEWI</vt:lpstr>
      <vt:lpstr>DCWW PRESELI</vt:lpstr>
      <vt:lpstr>DCWW BOLTON HILL</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2024-01-30T16:19:28Z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0b9eb475-1ec1-4d8e-8d08-3e00df849c4b</vt:lpwstr>
  </property>
  <property fmtid="{D5CDD505-2E9C-101B-9397-08002B2CF9AE}" pid="4" name="MediaServiceImageTags">
    <vt:lpwstr/>
  </property>
</Properties>
</file>