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24177/"/>
    </mc:Choice>
  </mc:AlternateContent>
  <xr:revisionPtr revIDLastSave="0" documentId="13_ncr:1_{D5751F02-18D2-43B6-85A6-D6C9DBD0783A}" xr6:coauthVersionLast="47" xr6:coauthVersionMax="47" xr10:uidLastSave="{00000000-0000-0000-0000-000000000000}"/>
  <bookViews>
    <workbookView xWindow="-110" yWindow="-110" windowWidth="19420" windowHeight="10420" tabRatio="870" activeTab="9"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Q22" i="30"/>
  <c r="I22" i="30"/>
  <c r="V20" i="30"/>
  <c r="U20" i="30"/>
  <c r="T20" i="30"/>
  <c r="S20" i="30"/>
  <c r="R20" i="30"/>
  <c r="Q20" i="30"/>
  <c r="P20" i="30"/>
  <c r="O20" i="30"/>
  <c r="N20" i="30"/>
  <c r="M20" i="30"/>
  <c r="L20" i="30"/>
  <c r="K20" i="30"/>
  <c r="V18" i="30"/>
  <c r="T18" i="30"/>
  <c r="N18" i="30"/>
  <c r="J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T22" i="29" s="1"/>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R18" i="29" s="1"/>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S22" i="29"/>
  <c r="R22" i="29"/>
  <c r="Q22" i="29"/>
  <c r="V20" i="29"/>
  <c r="U20" i="29"/>
  <c r="T20" i="29"/>
  <c r="S20" i="29"/>
  <c r="R20" i="29"/>
  <c r="Q20" i="29"/>
  <c r="P20" i="29"/>
  <c r="O20" i="29"/>
  <c r="N20" i="29"/>
  <c r="M20" i="29"/>
  <c r="L20" i="29"/>
  <c r="K20" i="29"/>
  <c r="V18" i="29"/>
  <c r="U18" i="29"/>
  <c r="T18" i="29"/>
  <c r="N18" i="29"/>
  <c r="L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O22" i="28"/>
  <c r="V20" i="28"/>
  <c r="U20" i="28"/>
  <c r="T20" i="28"/>
  <c r="S20" i="28"/>
  <c r="R20" i="28"/>
  <c r="Q20" i="28"/>
  <c r="P20" i="28"/>
  <c r="O20" i="28"/>
  <c r="N20" i="28"/>
  <c r="M20" i="28"/>
  <c r="L20" i="28"/>
  <c r="K20" i="28"/>
  <c r="R18" i="28"/>
  <c r="P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V20" i="27"/>
  <c r="U20" i="27"/>
  <c r="T20" i="27"/>
  <c r="S20" i="27"/>
  <c r="R20" i="27"/>
  <c r="Q20" i="27"/>
  <c r="P20" i="27"/>
  <c r="O20" i="27"/>
  <c r="N20" i="27"/>
  <c r="M20" i="27"/>
  <c r="L20" i="27"/>
  <c r="K20" i="27"/>
  <c r="T18" i="27"/>
  <c r="S18" i="27"/>
  <c r="L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K22" i="26"/>
  <c r="V20" i="26"/>
  <c r="U20" i="26"/>
  <c r="T20" i="26"/>
  <c r="S20" i="26"/>
  <c r="R20" i="26"/>
  <c r="Q20" i="26"/>
  <c r="P20" i="26"/>
  <c r="O20" i="26"/>
  <c r="N20" i="26"/>
  <c r="M20" i="26"/>
  <c r="L20" i="26"/>
  <c r="K20" i="26"/>
  <c r="V18" i="26"/>
  <c r="T18" i="26"/>
  <c r="O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U22" i="24" s="1"/>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Q22" i="24"/>
  <c r="V20" i="24"/>
  <c r="U20" i="24"/>
  <c r="T20" i="24"/>
  <c r="S20" i="24"/>
  <c r="R20" i="24"/>
  <c r="Q20" i="24"/>
  <c r="P20" i="24"/>
  <c r="O20" i="24"/>
  <c r="N20" i="24"/>
  <c r="M20" i="24"/>
  <c r="L20" i="24"/>
  <c r="K20" i="24"/>
  <c r="V18" i="24"/>
  <c r="M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S22" i="23"/>
  <c r="M22" i="23"/>
  <c r="V20" i="23"/>
  <c r="U20" i="23"/>
  <c r="T20" i="23"/>
  <c r="S20" i="23"/>
  <c r="R20" i="23"/>
  <c r="Q20" i="23"/>
  <c r="P20" i="23"/>
  <c r="O20" i="23"/>
  <c r="N20" i="23"/>
  <c r="M20" i="23"/>
  <c r="L20" i="23"/>
  <c r="K20" i="23"/>
  <c r="S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V18" i="21"/>
  <c r="H10" i="19" l="1"/>
  <c r="H24" i="19" s="1"/>
  <c r="T6" i="19"/>
  <c r="T20" i="19" s="1"/>
  <c r="N58" i="2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G20" i="27" s="1"/>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M17" i="28"/>
  <c r="M21" i="28"/>
  <c r="T59" i="28"/>
  <c r="U17" i="28"/>
  <c r="U21" i="28"/>
  <c r="U23" i="28" s="1"/>
  <c r="U24" i="28" s="1"/>
  <c r="I4" i="20"/>
  <c r="J4" i="19"/>
  <c r="J18" i="19" s="1"/>
  <c r="I59" i="21"/>
  <c r="J17" i="21"/>
  <c r="J19" i="21" s="1"/>
  <c r="J20" i="21" s="1"/>
  <c r="J21" i="21"/>
  <c r="C59" i="22"/>
  <c r="D21" i="22"/>
  <c r="D23" i="22" s="1"/>
  <c r="D17" i="22"/>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L59" i="22"/>
  <c r="M21" i="22"/>
  <c r="M23" i="22" s="1"/>
  <c r="M17" i="22"/>
  <c r="T59" i="22"/>
  <c r="U21" i="22"/>
  <c r="U17" i="22"/>
  <c r="U19" i="22" s="1"/>
  <c r="D59" i="27"/>
  <c r="E17" i="27"/>
  <c r="E19" i="27" s="1"/>
  <c r="E20" i="27" s="1"/>
  <c r="L59" i="27"/>
  <c r="M17" i="27"/>
  <c r="M19" i="27" s="1"/>
  <c r="T59" i="27"/>
  <c r="U17" i="27"/>
  <c r="S59" i="22"/>
  <c r="T21" i="22"/>
  <c r="T17" i="22"/>
  <c r="G21" i="23"/>
  <c r="G23" i="23" s="1"/>
  <c r="G24" i="23" s="1"/>
  <c r="G17" i="23"/>
  <c r="G19" i="23" s="1"/>
  <c r="G20" i="23" s="1"/>
  <c r="I9" i="20"/>
  <c r="J9" i="19"/>
  <c r="J23" i="19" s="1"/>
  <c r="R4" i="20"/>
  <c r="S4" i="19"/>
  <c r="S18" i="19" s="1"/>
  <c r="R11" i="20"/>
  <c r="S11" i="19"/>
  <c r="S25" i="19" s="1"/>
  <c r="I59" i="24"/>
  <c r="J21" i="24"/>
  <c r="J23" i="24" s="1"/>
  <c r="J24" i="24" s="1"/>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T59" i="23"/>
  <c r="U17" i="23"/>
  <c r="U19" i="23" s="1"/>
  <c r="U21" i="23"/>
  <c r="U23" i="23" s="1"/>
  <c r="U24" i="23" s="1"/>
  <c r="H21" i="24"/>
  <c r="H17" i="24"/>
  <c r="H19" i="24" s="1"/>
  <c r="H20" i="24" s="1"/>
  <c r="P17" i="24"/>
  <c r="P21" i="24"/>
  <c r="C59" i="26"/>
  <c r="D21" i="26"/>
  <c r="D23" i="26" s="1"/>
  <c r="D24" i="26" s="1"/>
  <c r="D17" i="26"/>
  <c r="D19" i="26" s="1"/>
  <c r="D20" i="26" s="1"/>
  <c r="K59" i="26"/>
  <c r="L21" i="26"/>
  <c r="L17" i="26"/>
  <c r="S59" i="26"/>
  <c r="T21" i="26"/>
  <c r="T17" i="26"/>
  <c r="N63" i="26"/>
  <c r="J59" i="27"/>
  <c r="K17" i="27"/>
  <c r="K19" i="27" s="1"/>
  <c r="R59" i="27"/>
  <c r="S17" i="27"/>
  <c r="S19" i="27" s="1"/>
  <c r="J59" i="28"/>
  <c r="K17" i="28"/>
  <c r="K21" i="28"/>
  <c r="R59" i="28"/>
  <c r="S17" i="28"/>
  <c r="S21" i="28"/>
  <c r="S23" i="28" s="1"/>
  <c r="S24" i="28" s="1"/>
  <c r="I59" i="29"/>
  <c r="J17" i="29"/>
  <c r="J21" i="29"/>
  <c r="J23" i="29" s="1"/>
  <c r="J24" i="29" s="1"/>
  <c r="Q59" i="29"/>
  <c r="R21" i="29"/>
  <c r="R23" i="29" s="1"/>
  <c r="R24"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23" i="23" s="1"/>
  <c r="N24" i="23" s="1"/>
  <c r="N17" i="23"/>
  <c r="N19" i="23" s="1"/>
  <c r="U59" i="23"/>
  <c r="V21" i="23"/>
  <c r="V23" i="23" s="1"/>
  <c r="V24" i="23" s="1"/>
  <c r="V17" i="23"/>
  <c r="I17" i="24"/>
  <c r="I19" i="24" s="1"/>
  <c r="I20" i="24" s="1"/>
  <c r="I21" i="24"/>
  <c r="Q17" i="24"/>
  <c r="Q19" i="24" s="1"/>
  <c r="Q21" i="24"/>
  <c r="Q23" i="24" s="1"/>
  <c r="Q24" i="24" s="1"/>
  <c r="D59" i="26"/>
  <c r="E21" i="26"/>
  <c r="E17" i="26"/>
  <c r="E19" i="26" s="1"/>
  <c r="E20" i="26" s="1"/>
  <c r="L59" i="26"/>
  <c r="M21" i="26"/>
  <c r="M17" i="26"/>
  <c r="T59" i="26"/>
  <c r="U21" i="26"/>
  <c r="U23" i="26" s="1"/>
  <c r="U24"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K24" i="30" s="1"/>
  <c r="O59" i="21"/>
  <c r="O64" i="21" s="1"/>
  <c r="O65" i="21" s="1"/>
  <c r="P21" i="21"/>
  <c r="P23" i="21" s="1"/>
  <c r="P24" i="21" s="1"/>
  <c r="P17" i="21"/>
  <c r="H21" i="21"/>
  <c r="H17" i="21"/>
  <c r="H19" i="21" s="1"/>
  <c r="H20" i="21" s="1"/>
  <c r="E59" i="22"/>
  <c r="F21" i="22"/>
  <c r="F23" i="22" s="1"/>
  <c r="F17" i="22"/>
  <c r="F19" i="22" s="1"/>
  <c r="M59" i="22"/>
  <c r="N21" i="22"/>
  <c r="N23" i="22" s="1"/>
  <c r="N17" i="22"/>
  <c r="U59" i="22"/>
  <c r="V17" i="22"/>
  <c r="V21" i="22"/>
  <c r="C18" i="22"/>
  <c r="H21" i="23"/>
  <c r="H23" i="23" s="1"/>
  <c r="H24" i="23" s="1"/>
  <c r="H17" i="23"/>
  <c r="H19" i="23" s="1"/>
  <c r="H20" i="23" s="1"/>
  <c r="P17" i="23"/>
  <c r="P19" i="23" s="1"/>
  <c r="P21" i="23"/>
  <c r="J59" i="24"/>
  <c r="K21" i="24"/>
  <c r="K17" i="24"/>
  <c r="R59" i="24"/>
  <c r="S21" i="24"/>
  <c r="S23" i="24" s="1"/>
  <c r="S24" i="24" s="1"/>
  <c r="S17" i="24"/>
  <c r="G21" i="26"/>
  <c r="G17" i="26"/>
  <c r="G19" i="26" s="1"/>
  <c r="G20" i="26" s="1"/>
  <c r="O17" i="26"/>
  <c r="O21" i="26"/>
  <c r="E59" i="27"/>
  <c r="F17" i="27"/>
  <c r="F19" i="27" s="1"/>
  <c r="F20" i="27" s="1"/>
  <c r="M59" i="27"/>
  <c r="N17" i="27"/>
  <c r="U59" i="27"/>
  <c r="V17" i="27"/>
  <c r="E59" i="28"/>
  <c r="F17" i="28"/>
  <c r="F21" i="28"/>
  <c r="F23" i="28" s="1"/>
  <c r="F24" i="28" s="1"/>
  <c r="M59" i="28"/>
  <c r="N17" i="28"/>
  <c r="N19" i="28" s="1"/>
  <c r="N21" i="28"/>
  <c r="U59" i="28"/>
  <c r="V17" i="28"/>
  <c r="V21" i="28"/>
  <c r="D59" i="29"/>
  <c r="E17" i="29"/>
  <c r="E21" i="29"/>
  <c r="L59" i="29"/>
  <c r="M17" i="29"/>
  <c r="M21" i="29"/>
  <c r="T59" i="29"/>
  <c r="U17" i="29"/>
  <c r="U21" i="29"/>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F59" i="21"/>
  <c r="G21" i="21"/>
  <c r="G23" i="21" s="1"/>
  <c r="G24" i="21" s="1"/>
  <c r="G17" i="21"/>
  <c r="G17" i="22"/>
  <c r="G21" i="22"/>
  <c r="O17" i="22"/>
  <c r="O19" i="22" s="1"/>
  <c r="O21" i="22"/>
  <c r="O23" i="22" s="1"/>
  <c r="H59" i="23"/>
  <c r="I21" i="23"/>
  <c r="I23" i="23" s="1"/>
  <c r="I24" i="23" s="1"/>
  <c r="I17" i="23"/>
  <c r="I19" i="23" s="1"/>
  <c r="I20" i="23" s="1"/>
  <c r="P59" i="23"/>
  <c r="Q17" i="23"/>
  <c r="Q21" i="23"/>
  <c r="Q23" i="23" s="1"/>
  <c r="Q24" i="23" s="1"/>
  <c r="C59" i="24"/>
  <c r="D17" i="24"/>
  <c r="D19" i="24" s="1"/>
  <c r="D20" i="24" s="1"/>
  <c r="D21" i="24"/>
  <c r="D23" i="24" s="1"/>
  <c r="D24" i="24" s="1"/>
  <c r="K59" i="24"/>
  <c r="L21" i="24"/>
  <c r="L17" i="24"/>
  <c r="L19" i="24" s="1"/>
  <c r="S59" i="24"/>
  <c r="T21" i="24"/>
  <c r="T17" i="24"/>
  <c r="T19" i="24" s="1"/>
  <c r="H21" i="26"/>
  <c r="H23" i="26" s="1"/>
  <c r="H24" i="26" s="1"/>
  <c r="H17" i="26"/>
  <c r="H19" i="26" s="1"/>
  <c r="H20" i="26" s="1"/>
  <c r="P21" i="26"/>
  <c r="P17" i="26"/>
  <c r="F59" i="28"/>
  <c r="G17" i="28"/>
  <c r="G19" i="28" s="1"/>
  <c r="G20" i="28" s="1"/>
  <c r="G21" i="28"/>
  <c r="G23" i="28" s="1"/>
  <c r="G24" i="28" s="1"/>
  <c r="N59" i="28"/>
  <c r="O17" i="28"/>
  <c r="O19" i="28" s="1"/>
  <c r="O21" i="28"/>
  <c r="E59" i="29"/>
  <c r="F17" i="29"/>
  <c r="F19" i="29" s="1"/>
  <c r="F20" i="29" s="1"/>
  <c r="F21" i="29"/>
  <c r="F23" i="29" s="1"/>
  <c r="F24" i="29" s="1"/>
  <c r="M59" i="29"/>
  <c r="N17" i="29"/>
  <c r="N21" i="29"/>
  <c r="N23" i="29" s="1"/>
  <c r="N24" i="29" s="1"/>
  <c r="U59" i="29"/>
  <c r="V17" i="29"/>
  <c r="V21" i="29"/>
  <c r="V23" i="29" s="1"/>
  <c r="V24" i="29" s="1"/>
  <c r="D59" i="30"/>
  <c r="E17" i="30"/>
  <c r="E21" i="30"/>
  <c r="E23" i="30" s="1"/>
  <c r="E24" i="30" s="1"/>
  <c r="L59" i="30"/>
  <c r="M17" i="30"/>
  <c r="M19" i="30" s="1"/>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I59" i="23"/>
  <c r="J21" i="23"/>
  <c r="J17" i="23"/>
  <c r="J19" i="23" s="1"/>
  <c r="J20" i="23" s="1"/>
  <c r="Q59" i="23"/>
  <c r="R21" i="23"/>
  <c r="R17" i="23"/>
  <c r="D59" i="24"/>
  <c r="E17" i="24"/>
  <c r="E21" i="24"/>
  <c r="L59" i="24"/>
  <c r="M17" i="24"/>
  <c r="M19" i="24" s="1"/>
  <c r="M21" i="24"/>
  <c r="M23" i="24" s="1"/>
  <c r="M24" i="24" s="1"/>
  <c r="T59" i="24"/>
  <c r="U21" i="24"/>
  <c r="U17" i="24"/>
  <c r="H59" i="26"/>
  <c r="I17" i="26"/>
  <c r="I21" i="26"/>
  <c r="I23" i="26" s="1"/>
  <c r="I24" i="26" s="1"/>
  <c r="P59" i="26"/>
  <c r="Q17" i="26"/>
  <c r="Q19" i="26" s="1"/>
  <c r="Q21" i="26"/>
  <c r="E63" i="26"/>
  <c r="H17" i="27"/>
  <c r="P17" i="27"/>
  <c r="P19" i="27" s="1"/>
  <c r="H21" i="28"/>
  <c r="H23" i="28" s="1"/>
  <c r="H24" i="28" s="1"/>
  <c r="H17" i="28"/>
  <c r="P21" i="28"/>
  <c r="P23" i="28" s="1"/>
  <c r="P24" i="28" s="1"/>
  <c r="P17" i="28"/>
  <c r="P19" i="28" s="1"/>
  <c r="G17" i="29"/>
  <c r="G19" i="29" s="1"/>
  <c r="G20" i="29" s="1"/>
  <c r="G21" i="29"/>
  <c r="G23" i="29" s="1"/>
  <c r="G24" i="29" s="1"/>
  <c r="O17" i="29"/>
  <c r="O21" i="29"/>
  <c r="E59" i="30"/>
  <c r="F21" i="30"/>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O59" i="22"/>
  <c r="P21" i="22"/>
  <c r="P17" i="22"/>
  <c r="T59" i="21"/>
  <c r="T64" i="21" s="1"/>
  <c r="T65" i="21" s="1"/>
  <c r="U17" i="21"/>
  <c r="U19" i="21" s="1"/>
  <c r="U21" i="21"/>
  <c r="U23" i="21" s="1"/>
  <c r="U24" i="21" s="1"/>
  <c r="M17" i="21"/>
  <c r="M21" i="21"/>
  <c r="E17" i="21"/>
  <c r="E21" i="21"/>
  <c r="E23" i="21" s="1"/>
  <c r="E24" i="21" s="1"/>
  <c r="H59" i="22"/>
  <c r="I17" i="22"/>
  <c r="I19" i="22" s="1"/>
  <c r="I21" i="22"/>
  <c r="I23" i="22" s="1"/>
  <c r="P59" i="22"/>
  <c r="Q17" i="22"/>
  <c r="Q19" i="22" s="1"/>
  <c r="Q21" i="22"/>
  <c r="J59" i="23"/>
  <c r="K17" i="23"/>
  <c r="K21" i="23"/>
  <c r="K23" i="23" s="1"/>
  <c r="K24" i="23" s="1"/>
  <c r="R59" i="23"/>
  <c r="S17" i="23"/>
  <c r="S19" i="23" s="1"/>
  <c r="S21" i="23"/>
  <c r="E59" i="24"/>
  <c r="F21" i="24"/>
  <c r="F23" i="24" s="1"/>
  <c r="F24" i="24" s="1"/>
  <c r="F17" i="24"/>
  <c r="M59" i="24"/>
  <c r="N21" i="24"/>
  <c r="N23" i="24" s="1"/>
  <c r="N24" i="24" s="1"/>
  <c r="N17" i="24"/>
  <c r="N19" i="24" s="1"/>
  <c r="U59" i="24"/>
  <c r="V21" i="24"/>
  <c r="V17" i="24"/>
  <c r="V19" i="24" s="1"/>
  <c r="I58" i="26"/>
  <c r="I61" i="26" s="1"/>
  <c r="J17" i="26"/>
  <c r="J19" i="26" s="1"/>
  <c r="J20" i="26" s="1"/>
  <c r="J21" i="26"/>
  <c r="Q58" i="26"/>
  <c r="Q61" i="26" s="1"/>
  <c r="R21" i="26"/>
  <c r="R23" i="26" s="1"/>
  <c r="R24" i="26" s="1"/>
  <c r="R17" i="26"/>
  <c r="R19" i="26" s="1"/>
  <c r="F63" i="26"/>
  <c r="I17" i="27"/>
  <c r="I19" i="27" s="1"/>
  <c r="I20" i="27" s="1"/>
  <c r="Q17" i="27"/>
  <c r="I21" i="28"/>
  <c r="I23" i="28" s="1"/>
  <c r="I24" i="28" s="1"/>
  <c r="I17" i="28"/>
  <c r="Q21" i="28"/>
  <c r="Q23" i="28" s="1"/>
  <c r="Q24" i="28" s="1"/>
  <c r="Q17" i="28"/>
  <c r="Q19" i="28" s="1"/>
  <c r="H21" i="29"/>
  <c r="H23" i="29" s="1"/>
  <c r="H24" i="29" s="1"/>
  <c r="H17" i="29"/>
  <c r="P21" i="29"/>
  <c r="P23" i="29" s="1"/>
  <c r="P24" i="29" s="1"/>
  <c r="P17" i="29"/>
  <c r="G21" i="30"/>
  <c r="G23" i="30" s="1"/>
  <c r="G24" i="30" s="1"/>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0" i="23" s="1"/>
  <c r="D21" i="23"/>
  <c r="D23" i="23" s="1"/>
  <c r="D24" i="23" s="1"/>
  <c r="S59" i="23"/>
  <c r="T17" i="23"/>
  <c r="T21" i="23"/>
  <c r="G17" i="24"/>
  <c r="G19" i="24" s="1"/>
  <c r="G20" i="24" s="1"/>
  <c r="G21" i="24"/>
  <c r="G23" i="24" s="1"/>
  <c r="G24" i="24" s="1"/>
  <c r="O17" i="24"/>
  <c r="O21" i="24"/>
  <c r="J59" i="26"/>
  <c r="K17" i="26"/>
  <c r="K19" i="26" s="1"/>
  <c r="K21" i="26"/>
  <c r="R59" i="26"/>
  <c r="S17" i="26"/>
  <c r="S19" i="26" s="1"/>
  <c r="S21" i="26"/>
  <c r="S23" i="26" s="1"/>
  <c r="S24" i="26" s="1"/>
  <c r="M63" i="26"/>
  <c r="I59" i="27"/>
  <c r="J17" i="27"/>
  <c r="Q59" i="27"/>
  <c r="R17" i="27"/>
  <c r="I59" i="28"/>
  <c r="J17" i="28"/>
  <c r="J19" i="28" s="1"/>
  <c r="J20" i="28" s="1"/>
  <c r="J21" i="28"/>
  <c r="J23" i="28" s="1"/>
  <c r="J24" i="28" s="1"/>
  <c r="Q59" i="28"/>
  <c r="R21" i="28"/>
  <c r="R23" i="28" s="1"/>
  <c r="R24" i="28" s="1"/>
  <c r="R17" i="28"/>
  <c r="I21" i="29"/>
  <c r="I23" i="29" s="1"/>
  <c r="I24" i="29" s="1"/>
  <c r="I17" i="29"/>
  <c r="I19" i="29" s="1"/>
  <c r="I20" i="29" s="1"/>
  <c r="Q21" i="29"/>
  <c r="Q17" i="29"/>
  <c r="Q19" i="29" s="1"/>
  <c r="H17" i="30"/>
  <c r="H19" i="30" s="1"/>
  <c r="H20" i="30" s="1"/>
  <c r="H21" i="30"/>
  <c r="H23" i="30" s="1"/>
  <c r="H24" i="30" s="1"/>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23" i="21" s="1"/>
  <c r="C24" i="21" s="1"/>
  <c r="C17" i="21"/>
  <c r="C19" i="21" s="1"/>
  <c r="C20" i="21" s="1"/>
  <c r="D23" i="21"/>
  <c r="D24" i="21" s="1"/>
  <c r="S58" i="21"/>
  <c r="S61" i="21" s="1"/>
  <c r="C58" i="21"/>
  <c r="C61" i="21" s="1"/>
  <c r="C64" i="21" s="1"/>
  <c r="C65" i="21" s="1"/>
  <c r="G23" i="22"/>
  <c r="K58" i="21"/>
  <c r="K61" i="21" s="1"/>
  <c r="K64" i="21" s="1"/>
  <c r="K65" i="21" s="1"/>
  <c r="R19" i="24"/>
  <c r="I21" i="27"/>
  <c r="I23" i="27" s="1"/>
  <c r="I24" i="27" s="1"/>
  <c r="Q21" i="27"/>
  <c r="R58" i="21"/>
  <c r="R61" i="21" s="1"/>
  <c r="R64" i="21" s="1"/>
  <c r="R65" i="21" s="1"/>
  <c r="O57" i="21"/>
  <c r="A43" i="21"/>
  <c r="J58" i="21"/>
  <c r="J61" i="21" s="1"/>
  <c r="E19" i="21"/>
  <c r="E20" i="21" s="1"/>
  <c r="G23" i="26"/>
  <c r="G24" i="26" s="1"/>
  <c r="D58" i="29"/>
  <c r="D61" i="29" s="1"/>
  <c r="P23" i="26"/>
  <c r="P24" i="26" s="1"/>
  <c r="G21" i="27"/>
  <c r="G23" i="27" s="1"/>
  <c r="G24" i="27" s="1"/>
  <c r="O21" i="27"/>
  <c r="O23" i="27" s="1"/>
  <c r="O24" i="27" s="1"/>
  <c r="D58" i="30"/>
  <c r="D61" i="30" s="1"/>
  <c r="D64" i="30" s="1"/>
  <c r="D65" i="30" s="1"/>
  <c r="L58" i="30"/>
  <c r="L61" i="30" s="1"/>
  <c r="L64" i="30" s="1"/>
  <c r="L65" i="30" s="1"/>
  <c r="R58" i="23"/>
  <c r="R61" i="23" s="1"/>
  <c r="H21" i="27"/>
  <c r="H23" i="27" s="1"/>
  <c r="H24" i="27" s="1"/>
  <c r="P21" i="27"/>
  <c r="J58" i="22"/>
  <c r="J61" i="22" s="1"/>
  <c r="J58" i="26"/>
  <c r="J61" i="26" s="1"/>
  <c r="J23" i="23"/>
  <c r="J24" i="23" s="1"/>
  <c r="R19" i="23"/>
  <c r="J58" i="27"/>
  <c r="J61" i="27" s="1"/>
  <c r="R58" i="27"/>
  <c r="R61" i="27" s="1"/>
  <c r="R64" i="27" s="1"/>
  <c r="R65" i="27" s="1"/>
  <c r="R58" i="28"/>
  <c r="R61" i="28" s="1"/>
  <c r="R64" i="28" s="1"/>
  <c r="R65" i="28" s="1"/>
  <c r="F58" i="22"/>
  <c r="F61" i="22" s="1"/>
  <c r="N58" i="22"/>
  <c r="N61" i="22" s="1"/>
  <c r="F58" i="23"/>
  <c r="F61" i="23" s="1"/>
  <c r="N58" i="23"/>
  <c r="N61" i="23" s="1"/>
  <c r="D19" i="27"/>
  <c r="D20" i="27" s="1"/>
  <c r="L21" i="27"/>
  <c r="L23" i="27" s="1"/>
  <c r="L24" i="27" s="1"/>
  <c r="T21" i="27"/>
  <c r="H57" i="29"/>
  <c r="P58" i="21"/>
  <c r="P61" i="21" s="1"/>
  <c r="H58" i="21"/>
  <c r="H61" i="21" s="1"/>
  <c r="N59" i="23"/>
  <c r="R58" i="26"/>
  <c r="R61" i="26" s="1"/>
  <c r="R57" i="21"/>
  <c r="H58" i="22"/>
  <c r="H61" i="22" s="1"/>
  <c r="H64" i="22" s="1"/>
  <c r="H65" i="22" s="1"/>
  <c r="P58" i="22"/>
  <c r="P61" i="22" s="1"/>
  <c r="P64" i="22" s="1"/>
  <c r="P65" i="22" s="1"/>
  <c r="F59" i="22"/>
  <c r="K58" i="29"/>
  <c r="K61" i="29" s="1"/>
  <c r="F19" i="23"/>
  <c r="F20" i="23" s="1"/>
  <c r="I58" i="23"/>
  <c r="I61" i="23" s="1"/>
  <c r="I64" i="23" s="1"/>
  <c r="I65" i="23" s="1"/>
  <c r="Q58" i="23"/>
  <c r="Q61" i="23" s="1"/>
  <c r="L58" i="29"/>
  <c r="L61" i="29" s="1"/>
  <c r="T58" i="29"/>
  <c r="T61" i="29" s="1"/>
  <c r="T64" i="29" s="1"/>
  <c r="T65" i="29" s="1"/>
  <c r="I23" i="30"/>
  <c r="I24" i="30" s="1"/>
  <c r="Q23" i="30"/>
  <c r="Q24" i="30" s="1"/>
  <c r="U23" i="30"/>
  <c r="U24" i="30" s="1"/>
  <c r="J58" i="28"/>
  <c r="J61" i="28" s="1"/>
  <c r="J64" i="28" s="1"/>
  <c r="J65" i="28" s="1"/>
  <c r="R58" i="22"/>
  <c r="R61" i="22" s="1"/>
  <c r="R64" i="22" s="1"/>
  <c r="R65" i="22" s="1"/>
  <c r="J58" i="23"/>
  <c r="J61" i="23" s="1"/>
  <c r="J64" i="23" s="1"/>
  <c r="J65" i="23" s="1"/>
  <c r="J58" i="24"/>
  <c r="J61" i="24" s="1"/>
  <c r="J64" i="24" s="1"/>
  <c r="J65" i="24" s="1"/>
  <c r="R58" i="24"/>
  <c r="R61" i="24" s="1"/>
  <c r="F57" i="24"/>
  <c r="T58" i="30"/>
  <c r="T61" i="30" s="1"/>
  <c r="T64" i="30" s="1"/>
  <c r="T65" i="30" s="1"/>
  <c r="C58" i="23"/>
  <c r="C61" i="23" s="1"/>
  <c r="K58" i="23"/>
  <c r="K61" i="23" s="1"/>
  <c r="S58" i="23"/>
  <c r="S61" i="23" s="1"/>
  <c r="F58" i="26"/>
  <c r="F61" i="26" s="1"/>
  <c r="D58" i="27"/>
  <c r="D61" i="27" s="1"/>
  <c r="L58" i="27"/>
  <c r="L61" i="27" s="1"/>
  <c r="T58" i="27"/>
  <c r="T61" i="27" s="1"/>
  <c r="T64" i="27" s="1"/>
  <c r="T65" i="27" s="1"/>
  <c r="J58" i="30"/>
  <c r="J61" i="30" s="1"/>
  <c r="J64" i="30" s="1"/>
  <c r="J65" i="30" s="1"/>
  <c r="R58" i="30"/>
  <c r="R61" i="30" s="1"/>
  <c r="R64" i="30" s="1"/>
  <c r="R65" i="30" s="1"/>
  <c r="P57" i="30"/>
  <c r="J57" i="21"/>
  <c r="H59" i="21"/>
  <c r="Q23" i="22"/>
  <c r="J19" i="27"/>
  <c r="J20" i="27" s="1"/>
  <c r="R21" i="27"/>
  <c r="R23" i="27" s="1"/>
  <c r="R24" i="27" s="1"/>
  <c r="E58" i="27"/>
  <c r="E61" i="27" s="1"/>
  <c r="E64" i="27" s="1"/>
  <c r="M58" i="27"/>
  <c r="M61" i="27" s="1"/>
  <c r="U58" i="27"/>
  <c r="U61" i="27" s="1"/>
  <c r="I58" i="29"/>
  <c r="I61" i="29" s="1"/>
  <c r="I64" i="29" s="1"/>
  <c r="Q58" i="29"/>
  <c r="Q61" i="29" s="1"/>
  <c r="Q64" i="29" s="1"/>
  <c r="Q65"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R65" i="29" s="1"/>
  <c r="P57" i="29"/>
  <c r="L23" i="30"/>
  <c r="L24" i="30" s="1"/>
  <c r="T23" i="30"/>
  <c r="T24" i="30" s="1"/>
  <c r="G58" i="30"/>
  <c r="G61" i="30" s="1"/>
  <c r="O58" i="30"/>
  <c r="O61" i="30" s="1"/>
  <c r="Q57" i="30"/>
  <c r="A36" i="22"/>
  <c r="G58" i="27"/>
  <c r="G61" i="27" s="1"/>
  <c r="T58" i="28"/>
  <c r="T61" i="28" s="1"/>
  <c r="T64" i="28" s="1"/>
  <c r="T65" i="28" s="1"/>
  <c r="C58" i="29"/>
  <c r="C61" i="29" s="1"/>
  <c r="H58" i="30"/>
  <c r="H61" i="30" s="1"/>
  <c r="N59" i="30"/>
  <c r="K19" i="21"/>
  <c r="Q57" i="21"/>
  <c r="B58" i="21"/>
  <c r="B61" i="21" s="1"/>
  <c r="I58" i="22"/>
  <c r="I61" i="22" s="1"/>
  <c r="I64" i="22" s="1"/>
  <c r="I65" i="22" s="1"/>
  <c r="Q58" i="22"/>
  <c r="Q61" i="22" s="1"/>
  <c r="D58" i="23"/>
  <c r="D61" i="23" s="1"/>
  <c r="L58" i="23"/>
  <c r="L61" i="23" s="1"/>
  <c r="L64" i="23" s="1"/>
  <c r="L65" i="23" s="1"/>
  <c r="T58" i="23"/>
  <c r="T61" i="23" s="1"/>
  <c r="T64" i="23" s="1"/>
  <c r="T65"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Q65" i="30" s="1"/>
  <c r="P59" i="30"/>
  <c r="L58" i="24"/>
  <c r="L61" i="24" s="1"/>
  <c r="L64" i="24" s="1"/>
  <c r="L65" i="24" s="1"/>
  <c r="P58" i="26"/>
  <c r="P61" i="26" s="1"/>
  <c r="F59" i="26"/>
  <c r="O58" i="27"/>
  <c r="O61" i="27" s="1"/>
  <c r="A38" i="21"/>
  <c r="F57" i="22"/>
  <c r="N59" i="22"/>
  <c r="E58" i="23"/>
  <c r="E61" i="23" s="1"/>
  <c r="M58" i="23"/>
  <c r="M61" i="23" s="1"/>
  <c r="U58" i="23"/>
  <c r="U61" i="23" s="1"/>
  <c r="U64" i="23" s="1"/>
  <c r="U65" i="23" s="1"/>
  <c r="V19" i="23"/>
  <c r="O23" i="24"/>
  <c r="O24" i="24" s="1"/>
  <c r="F58" i="24"/>
  <c r="F61" i="24" s="1"/>
  <c r="N58" i="24"/>
  <c r="N61" i="24" s="1"/>
  <c r="F59" i="24"/>
  <c r="I58" i="27"/>
  <c r="I61" i="27" s="1"/>
  <c r="I64" i="27" s="1"/>
  <c r="I65" i="27" s="1"/>
  <c r="Q58" i="27"/>
  <c r="Q61" i="27" s="1"/>
  <c r="Q64" i="27" s="1"/>
  <c r="Q65" i="27" s="1"/>
  <c r="H57" i="27"/>
  <c r="F59" i="27"/>
  <c r="O23" i="28"/>
  <c r="O24" i="28" s="1"/>
  <c r="F58" i="28"/>
  <c r="F61" i="28" s="1"/>
  <c r="N58" i="28"/>
  <c r="N61" i="28" s="1"/>
  <c r="E58" i="29"/>
  <c r="E61" i="29" s="1"/>
  <c r="M58" i="29"/>
  <c r="M61" i="29" s="1"/>
  <c r="U58" i="29"/>
  <c r="U61" i="29" s="1"/>
  <c r="F57" i="30"/>
  <c r="N58" i="26"/>
  <c r="N61" i="26" s="1"/>
  <c r="T58" i="24"/>
  <c r="T61" i="24" s="1"/>
  <c r="T64" i="24" s="1"/>
  <c r="T65" i="24" s="1"/>
  <c r="H58" i="26"/>
  <c r="H61" i="26" s="1"/>
  <c r="L58" i="28"/>
  <c r="L61" i="28" s="1"/>
  <c r="S58" i="29"/>
  <c r="S61" i="29" s="1"/>
  <c r="S64" i="29" s="1"/>
  <c r="S65" i="29" s="1"/>
  <c r="P19" i="21"/>
  <c r="H23" i="22"/>
  <c r="P23" i="22"/>
  <c r="C58" i="22"/>
  <c r="C61" i="22" s="1"/>
  <c r="C64" i="22" s="1"/>
  <c r="C65" i="22" s="1"/>
  <c r="K58" i="22"/>
  <c r="K61" i="22" s="1"/>
  <c r="K64" i="22" s="1"/>
  <c r="K65" i="22" s="1"/>
  <c r="S58" i="22"/>
  <c r="S61" i="22" s="1"/>
  <c r="S64" i="22" s="1"/>
  <c r="S65" i="22" s="1"/>
  <c r="F57" i="23"/>
  <c r="L23" i="24"/>
  <c r="L24" i="24" s="1"/>
  <c r="T23" i="24"/>
  <c r="T24" i="24" s="1"/>
  <c r="G58" i="24"/>
  <c r="G61" i="24" s="1"/>
  <c r="O58" i="24"/>
  <c r="O61" i="24" s="1"/>
  <c r="N59" i="24"/>
  <c r="C58" i="26"/>
  <c r="C61" i="26" s="1"/>
  <c r="K58" i="26"/>
  <c r="K61" i="26" s="1"/>
  <c r="S58" i="26"/>
  <c r="S61" i="26" s="1"/>
  <c r="S64" i="26" s="1"/>
  <c r="S65" i="26" s="1"/>
  <c r="P23" i="27"/>
  <c r="P24" i="27" s="1"/>
  <c r="N57" i="27"/>
  <c r="H59" i="27"/>
  <c r="G58" i="28"/>
  <c r="G61" i="28" s="1"/>
  <c r="O58" i="28"/>
  <c r="O61" i="28" s="1"/>
  <c r="F57" i="28"/>
  <c r="F58" i="29"/>
  <c r="F61" i="29" s="1"/>
  <c r="N58" i="29"/>
  <c r="N61" i="29" s="1"/>
  <c r="H59" i="29"/>
  <c r="C58" i="30"/>
  <c r="C61" i="30" s="1"/>
  <c r="C64" i="30" s="1"/>
  <c r="K58" i="30"/>
  <c r="K61" i="30" s="1"/>
  <c r="K64" i="30" s="1"/>
  <c r="K65" i="30" s="1"/>
  <c r="S58" i="30"/>
  <c r="S61" i="30" s="1"/>
  <c r="H57" i="30"/>
  <c r="D58" i="24"/>
  <c r="D61" i="24" s="1"/>
  <c r="D58" i="28"/>
  <c r="D61" i="28" s="1"/>
  <c r="D64" i="28" s="1"/>
  <c r="D65" i="28" s="1"/>
  <c r="P58" i="30"/>
  <c r="P61" i="30" s="1"/>
  <c r="Q58" i="21"/>
  <c r="Q61" i="21" s="1"/>
  <c r="Q64" i="21" s="1"/>
  <c r="Q65" i="21" s="1"/>
  <c r="I58" i="21"/>
  <c r="I61" i="21" s="1"/>
  <c r="D58" i="22"/>
  <c r="D61" i="22" s="1"/>
  <c r="L58" i="22"/>
  <c r="L61" i="22" s="1"/>
  <c r="T58" i="22"/>
  <c r="T61" i="22" s="1"/>
  <c r="T64" i="22" s="1"/>
  <c r="T65" i="22" s="1"/>
  <c r="A37" i="22"/>
  <c r="N57" i="22"/>
  <c r="G58" i="23"/>
  <c r="G61" i="23" s="1"/>
  <c r="O58" i="23"/>
  <c r="O61" i="23" s="1"/>
  <c r="N57" i="23"/>
  <c r="I23" i="24"/>
  <c r="I24" i="24" s="1"/>
  <c r="H58" i="24"/>
  <c r="H61" i="24" s="1"/>
  <c r="P58" i="24"/>
  <c r="P61" i="24" s="1"/>
  <c r="Q23" i="26"/>
  <c r="Q24" i="26" s="1"/>
  <c r="D58" i="26"/>
  <c r="D61" i="26" s="1"/>
  <c r="L58" i="26"/>
  <c r="L61" i="26" s="1"/>
  <c r="L64" i="26" s="1"/>
  <c r="L65" i="26" s="1"/>
  <c r="T58" i="26"/>
  <c r="T61" i="26" s="1"/>
  <c r="F57" i="26"/>
  <c r="C58" i="27"/>
  <c r="C61" i="27" s="1"/>
  <c r="C64" i="27" s="1"/>
  <c r="K58" i="27"/>
  <c r="K61" i="27" s="1"/>
  <c r="K64" i="27" s="1"/>
  <c r="K65" i="27" s="1"/>
  <c r="S58" i="27"/>
  <c r="S61" i="27" s="1"/>
  <c r="S64" i="27" s="1"/>
  <c r="S65" i="27" s="1"/>
  <c r="P57" i="27"/>
  <c r="N59" i="27"/>
  <c r="H58" i="28"/>
  <c r="H61" i="28" s="1"/>
  <c r="P58" i="28"/>
  <c r="P61" i="28" s="1"/>
  <c r="N57" i="28"/>
  <c r="D23" i="29"/>
  <c r="D24" i="29" s="1"/>
  <c r="L23" i="29"/>
  <c r="L24" i="29" s="1"/>
  <c r="T23" i="29"/>
  <c r="T24" i="29" s="1"/>
  <c r="G58" i="29"/>
  <c r="G61" i="29" s="1"/>
  <c r="O58" i="29"/>
  <c r="O61" i="29" s="1"/>
  <c r="P59" i="29"/>
  <c r="I57" i="30"/>
  <c r="M19" i="21"/>
  <c r="G57" i="21"/>
  <c r="J19" i="22"/>
  <c r="E58" i="22"/>
  <c r="E61" i="22" s="1"/>
  <c r="M58" i="22"/>
  <c r="M61" i="22" s="1"/>
  <c r="M64" i="22" s="1"/>
  <c r="M65" i="22" s="1"/>
  <c r="U58" i="22"/>
  <c r="U61" i="22" s="1"/>
  <c r="A45" i="22"/>
  <c r="O57" i="22"/>
  <c r="H58" i="23"/>
  <c r="H61" i="23" s="1"/>
  <c r="H64" i="23" s="1"/>
  <c r="H65" i="23" s="1"/>
  <c r="P58" i="23"/>
  <c r="P61" i="23" s="1"/>
  <c r="P64" i="23" s="1"/>
  <c r="P65" i="23" s="1"/>
  <c r="I58" i="24"/>
  <c r="I61" i="24" s="1"/>
  <c r="Q58" i="24"/>
  <c r="Q61" i="24" s="1"/>
  <c r="Q64" i="24" s="1"/>
  <c r="Q65" i="24" s="1"/>
  <c r="E58" i="26"/>
  <c r="E61" i="26" s="1"/>
  <c r="M58" i="26"/>
  <c r="M61" i="26" s="1"/>
  <c r="M64" i="26" s="1"/>
  <c r="U58" i="26"/>
  <c r="U61" i="26" s="1"/>
  <c r="N57" i="26"/>
  <c r="P59" i="27"/>
  <c r="I58" i="28"/>
  <c r="I61" i="28" s="1"/>
  <c r="I64" i="28" s="1"/>
  <c r="Q58" i="28"/>
  <c r="Q61" i="28" s="1"/>
  <c r="Q64" i="28" s="1"/>
  <c r="Q65" i="28" s="1"/>
  <c r="H58" i="29"/>
  <c r="H61" i="29" s="1"/>
  <c r="P58" i="29"/>
  <c r="P61" i="29" s="1"/>
  <c r="E58" i="30"/>
  <c r="E61" i="30" s="1"/>
  <c r="E64" i="30" s="1"/>
  <c r="M58" i="30"/>
  <c r="M61" i="30" s="1"/>
  <c r="U58" i="30"/>
  <c r="U61" i="30" s="1"/>
  <c r="U64" i="30" s="1"/>
  <c r="N57" i="30"/>
  <c r="F59" i="30"/>
  <c r="B58" i="30"/>
  <c r="B61" i="30" s="1"/>
  <c r="B64" i="30" s="1"/>
  <c r="B65"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O24" i="30" s="1"/>
  <c r="R19" i="30"/>
  <c r="F63" i="30"/>
  <c r="N63" i="30"/>
  <c r="S19" i="30"/>
  <c r="S23" i="30"/>
  <c r="S24" i="30" s="1"/>
  <c r="A31" i="30"/>
  <c r="A33" i="30"/>
  <c r="A39" i="30"/>
  <c r="A41" i="30"/>
  <c r="A47" i="30"/>
  <c r="A49" i="30"/>
  <c r="G57" i="30"/>
  <c r="O57" i="30"/>
  <c r="G59" i="30"/>
  <c r="G64" i="30" s="1"/>
  <c r="O59" i="30"/>
  <c r="G63" i="30"/>
  <c r="O63" i="30"/>
  <c r="P63" i="30"/>
  <c r="I63" i="30"/>
  <c r="Q63" i="30"/>
  <c r="T19" i="30"/>
  <c r="E19" i="30"/>
  <c r="E20" i="30" s="1"/>
  <c r="N19" i="30"/>
  <c r="V19" i="30"/>
  <c r="F23" i="30"/>
  <c r="F24" i="30" s="1"/>
  <c r="N23" i="30"/>
  <c r="N24" i="30" s="1"/>
  <c r="B63" i="30"/>
  <c r="J63" i="30"/>
  <c r="R63" i="30"/>
  <c r="G19" i="30"/>
  <c r="G20" i="30" s="1"/>
  <c r="A32" i="30"/>
  <c r="A34" i="30"/>
  <c r="A40" i="30"/>
  <c r="A42" i="30"/>
  <c r="A48" i="30"/>
  <c r="A50" i="30"/>
  <c r="C63" i="30"/>
  <c r="K63" i="30"/>
  <c r="S63" i="30"/>
  <c r="P19" i="30"/>
  <c r="D63" i="30"/>
  <c r="L63" i="30"/>
  <c r="T63" i="30"/>
  <c r="H63" i="30"/>
  <c r="Q19" i="30"/>
  <c r="E63" i="30"/>
  <c r="M63" i="30"/>
  <c r="Q23" i="29"/>
  <c r="Q24" i="29" s="1"/>
  <c r="O23" i="29"/>
  <c r="O24" i="29" s="1"/>
  <c r="T19" i="29"/>
  <c r="P63" i="29"/>
  <c r="J19" i="29"/>
  <c r="J20" i="29" s="1"/>
  <c r="R19" i="29"/>
  <c r="F57" i="29"/>
  <c r="N57" i="29"/>
  <c r="F59" i="29"/>
  <c r="N59" i="29"/>
  <c r="F63" i="29"/>
  <c r="N63" i="29"/>
  <c r="H63" i="29"/>
  <c r="K19" i="29"/>
  <c r="S19" i="29"/>
  <c r="K23" i="29"/>
  <c r="K24" i="29" s="1"/>
  <c r="S23" i="29"/>
  <c r="S24" i="29" s="1"/>
  <c r="A31" i="29"/>
  <c r="A33" i="29"/>
  <c r="A39" i="29"/>
  <c r="A41" i="29"/>
  <c r="A47" i="29"/>
  <c r="A49" i="29"/>
  <c r="G57" i="29"/>
  <c r="O57" i="29"/>
  <c r="G59" i="29"/>
  <c r="O59" i="29"/>
  <c r="G63" i="29"/>
  <c r="O63" i="29"/>
  <c r="E19" i="29"/>
  <c r="E20" i="29" s="1"/>
  <c r="M19" i="29"/>
  <c r="U19" i="29"/>
  <c r="E23" i="29"/>
  <c r="E24" i="29" s="1"/>
  <c r="M23" i="29"/>
  <c r="M24" i="29" s="1"/>
  <c r="U23" i="29"/>
  <c r="U24" i="29" s="1"/>
  <c r="I57" i="29"/>
  <c r="Q57" i="29"/>
  <c r="I63" i="29"/>
  <c r="Q63" i="29"/>
  <c r="N19" i="29"/>
  <c r="V19" i="29"/>
  <c r="B63" i="29"/>
  <c r="J63" i="29"/>
  <c r="R63" i="29"/>
  <c r="L19" i="29"/>
  <c r="O19" i="29"/>
  <c r="A32" i="29"/>
  <c r="A34" i="29"/>
  <c r="A40" i="29"/>
  <c r="A42" i="29"/>
  <c r="A48" i="29"/>
  <c r="A50" i="29"/>
  <c r="C63" i="29"/>
  <c r="K63" i="29"/>
  <c r="S63" i="29"/>
  <c r="H19" i="29"/>
  <c r="H20" i="29" s="1"/>
  <c r="P19" i="29"/>
  <c r="D63" i="29"/>
  <c r="L63" i="29"/>
  <c r="T63" i="29"/>
  <c r="E63" i="29"/>
  <c r="M63" i="29"/>
  <c r="K19" i="28"/>
  <c r="S19" i="28"/>
  <c r="K23" i="28"/>
  <c r="K24" i="28" s="1"/>
  <c r="A31" i="28"/>
  <c r="A33" i="28"/>
  <c r="A37" i="28"/>
  <c r="A39" i="28"/>
  <c r="A41" i="28"/>
  <c r="A45" i="28"/>
  <c r="A47" i="28"/>
  <c r="A49" i="28"/>
  <c r="G57" i="28"/>
  <c r="O57" i="28"/>
  <c r="G59" i="28"/>
  <c r="O59" i="28"/>
  <c r="G63" i="28"/>
  <c r="O63" i="28"/>
  <c r="D19" i="28"/>
  <c r="D20" i="28" s="1"/>
  <c r="L19" i="28"/>
  <c r="L23" i="28"/>
  <c r="L24" i="28" s="1"/>
  <c r="T23" i="28"/>
  <c r="T24" i="28" s="1"/>
  <c r="H59" i="28"/>
  <c r="P59" i="28"/>
  <c r="H63" i="28"/>
  <c r="P63" i="28"/>
  <c r="E19" i="28"/>
  <c r="E20" i="28" s="1"/>
  <c r="M19" i="28"/>
  <c r="U19" i="28"/>
  <c r="M23" i="28"/>
  <c r="M24" i="28" s="1"/>
  <c r="I57" i="28"/>
  <c r="Q57" i="28"/>
  <c r="I63" i="28"/>
  <c r="Q63" i="28"/>
  <c r="R19" i="28"/>
  <c r="F19" i="28"/>
  <c r="F20" i="28" s="1"/>
  <c r="V19" i="28"/>
  <c r="N23" i="28"/>
  <c r="N24" i="28" s="1"/>
  <c r="V23" i="28"/>
  <c r="V24" i="28" s="1"/>
  <c r="B63" i="28"/>
  <c r="J63" i="28"/>
  <c r="R63" i="28"/>
  <c r="A32" i="28"/>
  <c r="A34" i="28"/>
  <c r="A40" i="28"/>
  <c r="A42" i="28"/>
  <c r="A48" i="28"/>
  <c r="A50" i="28"/>
  <c r="C63" i="28"/>
  <c r="K63" i="28"/>
  <c r="S63" i="28"/>
  <c r="H19" i="28"/>
  <c r="H20" i="28" s="1"/>
  <c r="D63" i="28"/>
  <c r="L63" i="28"/>
  <c r="T63" i="28"/>
  <c r="I19" i="28"/>
  <c r="I20" i="28" s="1"/>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A32" i="27"/>
  <c r="A34" i="27"/>
  <c r="A40" i="27"/>
  <c r="A42" i="27"/>
  <c r="A48" i="27"/>
  <c r="A50" i="27"/>
  <c r="C63" i="27"/>
  <c r="K63" i="27"/>
  <c r="S63" i="27"/>
  <c r="L19" i="27"/>
  <c r="H19" i="27"/>
  <c r="H20" i="27" s="1"/>
  <c r="D63" i="27"/>
  <c r="L63" i="27"/>
  <c r="T63" i="27"/>
  <c r="H63" i="27"/>
  <c r="Q19" i="27"/>
  <c r="E63" i="27"/>
  <c r="M63" i="27"/>
  <c r="U64" i="26"/>
  <c r="O23" i="26"/>
  <c r="O24" i="26" s="1"/>
  <c r="J23" i="26"/>
  <c r="J24" i="26" s="1"/>
  <c r="K23" i="26"/>
  <c r="K24" i="26" s="1"/>
  <c r="A31" i="26"/>
  <c r="A33" i="26"/>
  <c r="A37" i="26"/>
  <c r="A39" i="26"/>
  <c r="A41" i="26"/>
  <c r="A45" i="26"/>
  <c r="A47" i="26"/>
  <c r="A49" i="26"/>
  <c r="G57" i="26"/>
  <c r="O57" i="26"/>
  <c r="G59" i="26"/>
  <c r="O59" i="26"/>
  <c r="G63" i="26"/>
  <c r="O63" i="26"/>
  <c r="L19" i="26"/>
  <c r="T19" i="26"/>
  <c r="L23" i="26"/>
  <c r="L24" i="26" s="1"/>
  <c r="T23" i="26"/>
  <c r="T24" i="26" s="1"/>
  <c r="H63" i="26"/>
  <c r="P63" i="26"/>
  <c r="M19" i="26"/>
  <c r="E23" i="26"/>
  <c r="E24" i="26" s="1"/>
  <c r="M23" i="26"/>
  <c r="M24" i="26" s="1"/>
  <c r="I57" i="26"/>
  <c r="Q57" i="26"/>
  <c r="I59" i="26"/>
  <c r="I64" i="26" s="1"/>
  <c r="Q59" i="26"/>
  <c r="Q64" i="26" s="1"/>
  <c r="Q65" i="26" s="1"/>
  <c r="I63" i="26"/>
  <c r="Q63" i="26"/>
  <c r="N19" i="26"/>
  <c r="N23" i="26"/>
  <c r="N24" i="26" s="1"/>
  <c r="V23" i="26"/>
  <c r="V24" i="26" s="1"/>
  <c r="B63" i="26"/>
  <c r="J63" i="26"/>
  <c r="R63" i="26"/>
  <c r="O19" i="26"/>
  <c r="A32" i="26"/>
  <c r="A34" i="26"/>
  <c r="A40" i="26"/>
  <c r="A42" i="26"/>
  <c r="A48" i="26"/>
  <c r="A50" i="26"/>
  <c r="C63" i="26"/>
  <c r="K63" i="26"/>
  <c r="S63" i="26"/>
  <c r="P19" i="26"/>
  <c r="D63" i="26"/>
  <c r="L63" i="26"/>
  <c r="I19" i="26"/>
  <c r="I20" i="26" s="1"/>
  <c r="H23" i="24"/>
  <c r="H24" i="24" s="1"/>
  <c r="P23" i="24"/>
  <c r="P24" i="24" s="1"/>
  <c r="K19" i="24"/>
  <c r="S19" i="24"/>
  <c r="K23" i="24"/>
  <c r="K24" i="24" s="1"/>
  <c r="A31" i="24"/>
  <c r="A33" i="24"/>
  <c r="A37" i="24"/>
  <c r="A39" i="24"/>
  <c r="A41" i="24"/>
  <c r="A45" i="24"/>
  <c r="A47" i="24"/>
  <c r="A49" i="24"/>
  <c r="G57" i="24"/>
  <c r="O57" i="24"/>
  <c r="G59" i="24"/>
  <c r="O59" i="24"/>
  <c r="G63" i="24"/>
  <c r="O63" i="24"/>
  <c r="H59" i="24"/>
  <c r="P59" i="24"/>
  <c r="H63" i="24"/>
  <c r="P63" i="24"/>
  <c r="E19" i="24"/>
  <c r="E20" i="24" s="1"/>
  <c r="U19" i="24"/>
  <c r="E23" i="24"/>
  <c r="E24" i="24" s="1"/>
  <c r="U23" i="24"/>
  <c r="U24" i="24" s="1"/>
  <c r="I57" i="24"/>
  <c r="Q57" i="24"/>
  <c r="I63" i="24"/>
  <c r="Q63" i="24"/>
  <c r="F19" i="24"/>
  <c r="F20" i="24" s="1"/>
  <c r="V23" i="24"/>
  <c r="V24" i="24" s="1"/>
  <c r="B63" i="24"/>
  <c r="J63" i="24"/>
  <c r="R63" i="24"/>
  <c r="O19" i="24"/>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K19" i="23"/>
  <c r="S23" i="23"/>
  <c r="S24" i="23" s="1"/>
  <c r="A31" i="23"/>
  <c r="A33" i="23"/>
  <c r="A37" i="23"/>
  <c r="A39" i="23"/>
  <c r="A41" i="23"/>
  <c r="A45" i="23"/>
  <c r="A47" i="23"/>
  <c r="A49" i="23"/>
  <c r="G57" i="23"/>
  <c r="O57" i="23"/>
  <c r="G59" i="23"/>
  <c r="O59" i="23"/>
  <c r="L19" i="23"/>
  <c r="T19" i="23"/>
  <c r="L23" i="23"/>
  <c r="L24" i="23" s="1"/>
  <c r="T23" i="23"/>
  <c r="T24" i="23" s="1"/>
  <c r="E19" i="23"/>
  <c r="E20" i="23" s="1"/>
  <c r="M19" i="23"/>
  <c r="E23" i="23"/>
  <c r="E24" i="23" s="1"/>
  <c r="M23" i="23"/>
  <c r="M24" i="23" s="1"/>
  <c r="I57" i="23"/>
  <c r="Q57" i="23"/>
  <c r="F23" i="23"/>
  <c r="F24" i="23" s="1"/>
  <c r="O19" i="23"/>
  <c r="A32" i="23"/>
  <c r="A34" i="23"/>
  <c r="A40" i="23"/>
  <c r="A42" i="23"/>
  <c r="A48" i="23"/>
  <c r="A50"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K23" i="22"/>
  <c r="A31" i="22"/>
  <c r="A33" i="22"/>
  <c r="A41" i="22"/>
  <c r="A47" i="22"/>
  <c r="E19" i="22"/>
  <c r="M19" i="22"/>
  <c r="E23" i="22"/>
  <c r="U23" i="22"/>
  <c r="I57" i="22"/>
  <c r="Q57" i="22"/>
  <c r="K19" i="22"/>
  <c r="A39" i="22"/>
  <c r="A49" i="22"/>
  <c r="N19" i="22"/>
  <c r="V19" i="22"/>
  <c r="V23" i="22"/>
  <c r="G19" i="22"/>
  <c r="A32" i="22"/>
  <c r="A34" i="22"/>
  <c r="A40" i="22"/>
  <c r="A42" i="22"/>
  <c r="A48" i="22"/>
  <c r="A50" i="22"/>
  <c r="P19" i="22"/>
  <c r="P64" i="21"/>
  <c r="P65" i="21" s="1"/>
  <c r="H23" i="21"/>
  <c r="H24" i="21" s="1"/>
  <c r="L23" i="21"/>
  <c r="L24" i="21" s="1"/>
  <c r="N23" i="21"/>
  <c r="N24" i="21" s="1"/>
  <c r="A33" i="21"/>
  <c r="A37" i="21"/>
  <c r="A41" i="21"/>
  <c r="A45" i="21"/>
  <c r="A49" i="21"/>
  <c r="E58" i="21"/>
  <c r="E61" i="21" s="1"/>
  <c r="M58" i="21"/>
  <c r="M61" i="21" s="1"/>
  <c r="U58" i="21"/>
  <c r="U61" i="21" s="1"/>
  <c r="U64" i="21" s="1"/>
  <c r="S19" i="21"/>
  <c r="I23" i="21"/>
  <c r="I24" i="21" s="1"/>
  <c r="M23" i="21"/>
  <c r="M24" i="21" s="1"/>
  <c r="C57" i="21"/>
  <c r="K57" i="21"/>
  <c r="S57" i="21"/>
  <c r="G19" i="21"/>
  <c r="G20" i="21" s="1"/>
  <c r="Q19" i="21"/>
  <c r="J23" i="21"/>
  <c r="J24" i="21" s="1"/>
  <c r="R23" i="21"/>
  <c r="R24" i="21" s="1"/>
  <c r="I19" i="21"/>
  <c r="I20" i="21" s="1"/>
  <c r="L19" i="21"/>
  <c r="R19" i="21"/>
  <c r="A31" i="21"/>
  <c r="D64" i="2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I65" i="29" l="1"/>
  <c r="B65" i="24"/>
  <c r="I65" i="26"/>
  <c r="G65" i="30"/>
  <c r="E65" i="30"/>
  <c r="C65" i="30"/>
  <c r="I65" i="28"/>
  <c r="E65" i="27"/>
  <c r="C65" i="27"/>
  <c r="D65" i="21"/>
  <c r="M66" i="26"/>
  <c r="M65" i="26"/>
  <c r="N66" i="21"/>
  <c r="N65" i="21"/>
  <c r="H64" i="30"/>
  <c r="H65" i="30" s="1"/>
  <c r="N64" i="22"/>
  <c r="N65" i="22" s="1"/>
  <c r="U66" i="30"/>
  <c r="U65" i="30"/>
  <c r="U66" i="21"/>
  <c r="U65" i="21"/>
  <c r="U66" i="26"/>
  <c r="U65" i="26"/>
  <c r="J64" i="27"/>
  <c r="J65" i="27" s="1"/>
  <c r="L64" i="28"/>
  <c r="L65" i="28" s="1"/>
  <c r="F64" i="26"/>
  <c r="F65" i="26" s="1"/>
  <c r="H64" i="26"/>
  <c r="H65" i="26" s="1"/>
  <c r="E64" i="22"/>
  <c r="E65" i="22" s="1"/>
  <c r="E64" i="23"/>
  <c r="E65" i="23" s="1"/>
  <c r="D64" i="24"/>
  <c r="D65" i="24" s="1"/>
  <c r="C64" i="26"/>
  <c r="C65" i="26" s="1"/>
  <c r="D64" i="27"/>
  <c r="D65" i="27" s="1"/>
  <c r="C64" i="29"/>
  <c r="C65" i="29" s="1"/>
  <c r="C64" i="23"/>
  <c r="C65" i="23" s="1"/>
  <c r="F66" i="26"/>
  <c r="L64" i="22"/>
  <c r="L65" i="22" s="1"/>
  <c r="D64" i="22"/>
  <c r="D65" i="22" s="1"/>
  <c r="Q64" i="22"/>
  <c r="Q65" i="22" s="1"/>
  <c r="U64" i="22"/>
  <c r="S64" i="23"/>
  <c r="S65" i="23" s="1"/>
  <c r="M64" i="23"/>
  <c r="R64" i="23"/>
  <c r="M64" i="29"/>
  <c r="M65" i="29" s="1"/>
  <c r="D64" i="29"/>
  <c r="D65" i="29" s="1"/>
  <c r="O64" i="24"/>
  <c r="I64" i="24"/>
  <c r="I65" i="24" s="1"/>
  <c r="M64" i="24"/>
  <c r="M65" i="24" s="1"/>
  <c r="S64" i="24"/>
  <c r="S65" i="24" s="1"/>
  <c r="T64" i="26"/>
  <c r="E64" i="26"/>
  <c r="M64" i="28"/>
  <c r="M65" i="28" s="1"/>
  <c r="S64" i="28"/>
  <c r="S65" i="28" s="1"/>
  <c r="P64" i="27"/>
  <c r="P65" i="27" s="1"/>
  <c r="G64" i="21"/>
  <c r="S64" i="21"/>
  <c r="E64" i="21"/>
  <c r="F64" i="21"/>
  <c r="N64" i="28"/>
  <c r="J64" i="21"/>
  <c r="F64" i="24"/>
  <c r="F64" i="28"/>
  <c r="D64" i="26"/>
  <c r="D65" i="26" s="1"/>
  <c r="H64" i="29"/>
  <c r="S64" i="30"/>
  <c r="Q64" i="23"/>
  <c r="F64" i="30"/>
  <c r="K64" i="23"/>
  <c r="R64" i="26"/>
  <c r="R65" i="26" s="1"/>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O66" i="21"/>
  <c r="M64" i="30"/>
  <c r="K64" i="26"/>
  <c r="C64" i="28"/>
  <c r="C64" i="24"/>
  <c r="L64" i="27"/>
  <c r="R64" i="24"/>
  <c r="K64" i="29"/>
  <c r="J64" i="29"/>
  <c r="E64" i="29"/>
  <c r="M64" i="21"/>
  <c r="M65" i="21" s="1"/>
  <c r="P64" i="28"/>
  <c r="I64" i="21"/>
  <c r="U64" i="28"/>
  <c r="U64" i="24"/>
  <c r="F64" i="23"/>
  <c r="U64" i="27"/>
  <c r="C19" i="22"/>
  <c r="C20" i="22" s="1"/>
  <c r="S66" i="27"/>
  <c r="D66" i="30"/>
  <c r="Q66" i="30"/>
  <c r="N66" i="22"/>
  <c r="B64" i="22"/>
  <c r="B64" i="29"/>
  <c r="B64" i="28"/>
  <c r="B64" i="27"/>
  <c r="B64" i="26"/>
  <c r="B64" i="21"/>
  <c r="T66" i="29"/>
  <c r="P66" i="22"/>
  <c r="O64" i="27"/>
  <c r="O64" i="28"/>
  <c r="N64" i="27"/>
  <c r="N64" i="30"/>
  <c r="L66" i="30"/>
  <c r="J66" i="28"/>
  <c r="G64" i="26"/>
  <c r="G64" i="29"/>
  <c r="F64" i="22"/>
  <c r="O64" i="26"/>
  <c r="R66" i="22"/>
  <c r="L66" i="22"/>
  <c r="T66" i="24"/>
  <c r="U66" i="23"/>
  <c r="P64" i="30"/>
  <c r="P66" i="23"/>
  <c r="T66" i="23"/>
  <c r="Q66" i="21"/>
  <c r="P66" i="21"/>
  <c r="K66" i="27"/>
  <c r="G64" i="23"/>
  <c r="Q66" i="24"/>
  <c r="R66" i="27"/>
  <c r="C66" i="27"/>
  <c r="H66" i="23"/>
  <c r="J66" i="27"/>
  <c r="G64" i="27"/>
  <c r="G66" i="30"/>
  <c r="J66" i="30"/>
  <c r="F64" i="27"/>
  <c r="T66" i="27"/>
  <c r="Q66" i="22"/>
  <c r="J66" i="26"/>
  <c r="C66" i="22"/>
  <c r="T66" i="21"/>
  <c r="S66" i="23"/>
  <c r="H66" i="30"/>
  <c r="E66" i="30"/>
  <c r="S66" i="24"/>
  <c r="L66" i="21"/>
  <c r="D66" i="22"/>
  <c r="S66" i="26"/>
  <c r="L66" i="28"/>
  <c r="L66" i="26"/>
  <c r="T66" i="30"/>
  <c r="C66" i="29"/>
  <c r="H66" i="22"/>
  <c r="R66" i="28"/>
  <c r="N64" i="26"/>
  <c r="O64" i="29"/>
  <c r="P64" i="29"/>
  <c r="S64" i="1"/>
  <c r="N64" i="29"/>
  <c r="R66" i="30"/>
  <c r="L66" i="23"/>
  <c r="O66" i="22"/>
  <c r="R64" i="1"/>
  <c r="J66" i="23"/>
  <c r="Q64" i="1"/>
  <c r="U64" i="1"/>
  <c r="P64" i="1"/>
  <c r="E66" i="27"/>
  <c r="J66" i="24"/>
  <c r="Q66" i="29"/>
  <c r="F64" i="29"/>
  <c r="O64" i="23"/>
  <c r="O64" i="30"/>
  <c r="N64" i="24"/>
  <c r="B66" i="30"/>
  <c r="B66" i="24"/>
  <c r="K66" i="30"/>
  <c r="C66" i="30"/>
  <c r="I66" i="30"/>
  <c r="R66" i="29"/>
  <c r="M66" i="29"/>
  <c r="I66" i="29"/>
  <c r="S66" i="29"/>
  <c r="T66" i="28"/>
  <c r="D66" i="28"/>
  <c r="M66" i="28"/>
  <c r="Q66" i="28"/>
  <c r="I66" i="28"/>
  <c r="S66" i="28"/>
  <c r="K66" i="28"/>
  <c r="Q66" i="27"/>
  <c r="I66" i="27"/>
  <c r="P66" i="27"/>
  <c r="Q66" i="26"/>
  <c r="P66" i="26"/>
  <c r="I66" i="26"/>
  <c r="H66" i="26"/>
  <c r="L66" i="24"/>
  <c r="P66" i="24"/>
  <c r="D66" i="24"/>
  <c r="K66" i="24"/>
  <c r="M66" i="24"/>
  <c r="I66" i="23"/>
  <c r="N66" i="23"/>
  <c r="E66" i="23"/>
  <c r="I66" i="22"/>
  <c r="M66" i="22"/>
  <c r="S66" i="22"/>
  <c r="K66" i="22"/>
  <c r="T66" i="22"/>
  <c r="M66" i="21"/>
  <c r="K66" i="21"/>
  <c r="C66" i="21"/>
  <c r="D66" i="21"/>
  <c r="R66" i="21"/>
  <c r="N64" i="1"/>
  <c r="M64" i="1"/>
  <c r="T64" i="1"/>
  <c r="L64" i="1"/>
  <c r="J64" i="1"/>
  <c r="K64" i="1"/>
  <c r="O64" i="1"/>
  <c r="C64" i="1"/>
  <c r="C65" i="1" s="1"/>
  <c r="I64" i="1"/>
  <c r="H64" i="1"/>
  <c r="G64" i="1"/>
  <c r="F64" i="1"/>
  <c r="E64" i="1"/>
  <c r="D64" i="1"/>
  <c r="B64" i="1"/>
  <c r="D63" i="1"/>
  <c r="L63" i="1"/>
  <c r="F63" i="1"/>
  <c r="R63" i="1"/>
  <c r="R65" i="1" s="1"/>
  <c r="J63" i="1"/>
  <c r="J65" i="1" s="1"/>
  <c r="Q63" i="1"/>
  <c r="I63" i="1"/>
  <c r="C63" i="1"/>
  <c r="K63" i="1"/>
  <c r="K65" i="1" s="1"/>
  <c r="P63" i="1"/>
  <c r="H63" i="1"/>
  <c r="T63" i="1"/>
  <c r="S63" i="1"/>
  <c r="S65" i="1" s="1"/>
  <c r="O63" i="1"/>
  <c r="G63" i="1"/>
  <c r="N63" i="1"/>
  <c r="N65" i="1" s="1"/>
  <c r="E63" i="1"/>
  <c r="B63" i="1"/>
  <c r="U63" i="1"/>
  <c r="M63" i="1"/>
  <c r="M65" i="1" s="1"/>
  <c r="O65" i="1" l="1"/>
  <c r="Q66" i="1"/>
  <c r="Q65" i="1"/>
  <c r="E65" i="1"/>
  <c r="G65" i="1"/>
  <c r="T66" i="1"/>
  <c r="T65" i="1"/>
  <c r="U65" i="1"/>
  <c r="P65" i="1"/>
  <c r="L65" i="1"/>
  <c r="M66" i="30"/>
  <c r="M65" i="30"/>
  <c r="N66" i="28"/>
  <c r="N65" i="28"/>
  <c r="U66" i="27"/>
  <c r="U65" i="27"/>
  <c r="T66" i="26"/>
  <c r="T65" i="26"/>
  <c r="O66" i="26"/>
  <c r="O65" i="26"/>
  <c r="O66" i="28"/>
  <c r="O65" i="28"/>
  <c r="K66" i="29"/>
  <c r="K65" i="29"/>
  <c r="U66" i="29"/>
  <c r="U65" i="29"/>
  <c r="S66" i="30"/>
  <c r="S65" i="30"/>
  <c r="O66" i="29"/>
  <c r="O65" i="29"/>
  <c r="N66" i="27"/>
  <c r="N65" i="27"/>
  <c r="J66" i="29"/>
  <c r="J65" i="29"/>
  <c r="Q66" i="23"/>
  <c r="Q65" i="23"/>
  <c r="L66" i="29"/>
  <c r="O66" i="27"/>
  <c r="O65" i="27"/>
  <c r="U66" i="24"/>
  <c r="U65" i="24"/>
  <c r="R66" i="24"/>
  <c r="R65" i="24"/>
  <c r="M66" i="27"/>
  <c r="M65" i="27"/>
  <c r="S66" i="21"/>
  <c r="S65" i="21"/>
  <c r="U66" i="22"/>
  <c r="U65" i="22"/>
  <c r="N66" i="26"/>
  <c r="N65" i="26"/>
  <c r="N66" i="29"/>
  <c r="N65" i="29"/>
  <c r="C66" i="23"/>
  <c r="U66" i="28"/>
  <c r="U65" i="28"/>
  <c r="L66" i="27"/>
  <c r="L65" i="27"/>
  <c r="J66" i="22"/>
  <c r="J65" i="22"/>
  <c r="N66" i="30"/>
  <c r="N65" i="30"/>
  <c r="R66" i="23"/>
  <c r="R65" i="23"/>
  <c r="M66" i="23"/>
  <c r="M65" i="23"/>
  <c r="N66" i="24"/>
  <c r="N65" i="24"/>
  <c r="R66" i="26"/>
  <c r="P66" i="30"/>
  <c r="P65" i="30"/>
  <c r="O66" i="24"/>
  <c r="O65" i="24"/>
  <c r="O66" i="30"/>
  <c r="O65" i="30"/>
  <c r="P66" i="28"/>
  <c r="P65" i="28"/>
  <c r="O66" i="23"/>
  <c r="O65" i="23"/>
  <c r="P66" i="29"/>
  <c r="P65" i="29"/>
  <c r="K66" i="26"/>
  <c r="K65" i="26"/>
  <c r="K66" i="23"/>
  <c r="K65" i="23"/>
  <c r="J66" i="21"/>
  <c r="J65" i="21"/>
  <c r="I65" i="1"/>
  <c r="H65" i="1"/>
  <c r="F65" i="1"/>
  <c r="D65" i="1"/>
  <c r="B65" i="1"/>
  <c r="I66" i="24"/>
  <c r="D66" i="23"/>
  <c r="H66" i="21"/>
  <c r="C66" i="26"/>
  <c r="E66" i="22"/>
  <c r="D66" i="26"/>
  <c r="D66" i="27"/>
  <c r="D66" i="29"/>
  <c r="I66" i="21"/>
  <c r="I65" i="21"/>
  <c r="H66" i="27"/>
  <c r="H65" i="27"/>
  <c r="H66" i="29"/>
  <c r="H65" i="29"/>
  <c r="H66" i="24"/>
  <c r="H65" i="24"/>
  <c r="H66" i="28"/>
  <c r="H65" i="28"/>
  <c r="G66" i="26"/>
  <c r="G65" i="26"/>
  <c r="G66" i="28"/>
  <c r="G65" i="28"/>
  <c r="G66" i="24"/>
  <c r="G65" i="24"/>
  <c r="G66" i="22"/>
  <c r="G65" i="22"/>
  <c r="G66" i="23"/>
  <c r="G65" i="23"/>
  <c r="G66" i="29"/>
  <c r="G65" i="29"/>
  <c r="G66" i="21"/>
  <c r="G65" i="21"/>
  <c r="G66" i="27"/>
  <c r="G65" i="27"/>
  <c r="F66" i="21"/>
  <c r="F65" i="21"/>
  <c r="F66" i="23"/>
  <c r="F65" i="23"/>
  <c r="F66" i="24"/>
  <c r="F65" i="24"/>
  <c r="F66" i="22"/>
  <c r="F65" i="22"/>
  <c r="F66" i="27"/>
  <c r="F65" i="27"/>
  <c r="F66" i="29"/>
  <c r="F65" i="29"/>
  <c r="F66" i="28"/>
  <c r="F65" i="28"/>
  <c r="F66" i="30"/>
  <c r="F65" i="30"/>
  <c r="E66" i="26"/>
  <c r="E65" i="26"/>
  <c r="E66" i="28"/>
  <c r="E65" i="28"/>
  <c r="E66" i="21"/>
  <c r="E65" i="21"/>
  <c r="E66" i="29"/>
  <c r="E65" i="29"/>
  <c r="E66" i="24"/>
  <c r="E65" i="24"/>
  <c r="C66" i="28"/>
  <c r="C65" i="28"/>
  <c r="C66" i="24"/>
  <c r="C65" i="24"/>
  <c r="B66" i="27"/>
  <c r="B65" i="27"/>
  <c r="B66" i="28"/>
  <c r="B65" i="28"/>
  <c r="B66" i="29"/>
  <c r="B65" i="29"/>
  <c r="B66" i="26"/>
  <c r="B65" i="26"/>
  <c r="B66" i="22"/>
  <c r="B65" i="22"/>
  <c r="B66" i="23"/>
  <c r="B65" i="23"/>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<sst xmlns="http://schemas.openxmlformats.org/spreadsheetml/2006/main" count="2259" uniqueCount="178">
  <si>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</si>
  <si>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</si>
  <si>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</si>
  <si>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</si>
  <si>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</si>
  <si>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</si>
  <si>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</si>
  <si>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</si>
  <si>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</si>
  <si>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</si>
  <si>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</si>
  <si>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</si>
  <si>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</si>
  <si>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</si>
  <si>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</si>
  <si>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</si>
  <si>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</si>
  <si>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</si>
  <si>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</si>
  <si>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</si>
  <si>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</si>
  <si>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</si>
  <si>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</si>
  <si>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</si>
  <si>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</si>
  <si>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</si>
  <si>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</si>
  <si>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</si>
  <si>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</si>
  <si>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</si>
  <si>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</si>
  <si>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</si>
  <si>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</si>
  <si>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</si>
  <si>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</si>
  <si>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</si>
  <si>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</si>
  <si>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</si>
  <si>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</si>
  <si>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</si>
  <si>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</si>
  <si>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</si>
  <si>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</si>
  <si>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</si>
  <si>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</si>
  <si>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</si>
  <si>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</si>
  <si>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</si>
  <si>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</si>
  <si>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</si>
  <si>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</si>
  <si>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</si>
  <si>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</si>
  <si>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</si>
  <si>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</si>
  <si>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</si>
  <si>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</si>
  <si>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</si>
  <si>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</si>
  <si>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</si>
  <si>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</si>
  <si>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</si>
  <si>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</si>
  <si>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</si>
  <si>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</si>
  <si>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</si>
  <si>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</si>
  <si>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</si>
  <si>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</si>
  <si>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</si>
  <si>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</si>
  <si>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</si>
  <si>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</si>
  <si>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</si>
  <si>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</si>
  <si>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</si>
  <si>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</si>
  <si>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</si>
  <si>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</si>
  <si>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</si>
  <si>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</si>
  <si>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</si>
  <si>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</si>
  <si>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</si>
  <si>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</si>
  <si>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</si>
  <si>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</si>
  <si>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</si>
  <si>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</si>
  <si>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</si>
  <si>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</si>
  <si>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</si>
  <si>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</si>
  <si>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</si>
  <si>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</si>
  <si>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</si>
  <si>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</si>
  <si>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</si>
  <si>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</si>
  <si>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</si>
  <si>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</si>
  <si>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</si>
  <si>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</si>
  <si>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</si>
  <si>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</si>
  <si>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</si>
  <si>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</si>
  <si>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</si>
  <si>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</si>
  <si>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</si>
  <si>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</si>
  <si>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</si>
  <si>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</si>
  <si>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</si>
  <si>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</si>
  <si>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</si>
  <si>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</si>
  <si>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</si>
  <si>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</si>
  <si>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</si>
  <si>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</si>
  <si>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</si>
  <si>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</si>
  <si>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</si>
  <si>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</si>
  <si>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</si>
  <si>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</si>
  <si>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</si>
  <si>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</si>
  <si>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</si>
  <si>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</si>
  <si>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</si>
  <si>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</si>
  <si>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</si>
  <si>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</si>
  <si>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</si>
  <si>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</si>
  <si>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</si>
  <si>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</si>
  <si>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</si>
  <si>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</si>
  <si>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</si>
  <si>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</si>
  <si>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</si>
  <si>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</si>
  <si>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</si>
  <si>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</si>
  <si>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</si>
  <si>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</si>
  <si>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</si>
  <si>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</si>
  <si>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</si>
  <si>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</si>
  <si>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</si>
  <si>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</si>
  <si>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</si>
  <si>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</si>
  <si>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</si>
  <si>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</si>
  <si>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</si>
  <si>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PAN-024177</t>
  </si>
  <si>
    <t>GP3792SK</t>
  </si>
  <si>
    <t>Byproduct Recovery ltd</t>
  </si>
  <si>
    <t>Plas Bach, Cerrigceinwen, Bodorgan LL62 5NS</t>
  </si>
  <si>
    <t xml:space="preserve">Ethan Banfield </t>
  </si>
  <si>
    <t>A</t>
  </si>
  <si>
    <t>B</t>
  </si>
  <si>
    <t>19 09 02</t>
  </si>
  <si>
    <t>Moderate</t>
  </si>
  <si>
    <t>Alaw</t>
  </si>
  <si>
    <t>Bryn Cowlyd</t>
  </si>
  <si>
    <t>Cefni</t>
  </si>
  <si>
    <t>Cilfor</t>
  </si>
  <si>
    <t>Cwellyn</t>
  </si>
  <si>
    <t>Dolbwnmaen</t>
  </si>
  <si>
    <t xml:space="preserve">Garreglwyd </t>
  </si>
  <si>
    <t>Conwy</t>
  </si>
  <si>
    <t>Mynydd Llandegai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</si>
</sst>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A22" zoomScale="90" zoomScaleNormal="90" workbookViewId="0">
      <selection activeCell="F3" sqref="F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19" t="s">
        <v>41</v>
      </c>
      <c r="B1" s="119"/>
      <c r="C1" s="135" t="s">
        <v>160</v>
      </c>
      <c r="D1" s="136"/>
      <c r="E1" s="93" t="s">
        <v>45</v>
      </c>
      <c r="F1" s="96">
        <v>44.3</v>
      </c>
      <c r="G1" s="120" t="s">
        <v>43</v>
      </c>
      <c r="H1" s="121"/>
      <c r="I1" s="96">
        <v>7</v>
      </c>
      <c r="J1" s="119" t="s">
        <v>153</v>
      </c>
      <c r="K1" s="119"/>
      <c r="L1" s="96">
        <v>183</v>
      </c>
      <c r="AB1" s="18"/>
      <c r="AC1" s="18"/>
      <c r="AD1" s="30" t="s">
        <v>126</v>
      </c>
      <c r="AE1" s="17"/>
      <c r="AF1" s="17"/>
      <c r="AG1" s="18"/>
      <c r="AH1" s="18"/>
      <c r="AI1" s="40" t="s">
        <v>79</v>
      </c>
      <c r="AJ1" s="41" t="s">
        <v>94</v>
      </c>
      <c r="AK1" s="42" t="s">
        <v>95</v>
      </c>
      <c r="AL1" s="43" t="s">
        <v>125</v>
      </c>
      <c r="AM1" s="43" t="s">
        <v>131</v>
      </c>
      <c r="AN1" s="43" t="s">
        <v>111</v>
      </c>
    </row>
    <row r="2" spans="1:40" ht="13" x14ac:dyDescent="0.3">
      <c r="A2" s="119" t="s">
        <v>87</v>
      </c>
      <c r="B2" s="119"/>
      <c r="C2" s="133" t="s">
        <v>161</v>
      </c>
      <c r="D2" s="134"/>
      <c r="E2" s="93" t="s">
        <v>109</v>
      </c>
      <c r="F2" s="96" t="s">
        <v>167</v>
      </c>
      <c r="G2" s="138" t="s">
        <v>110</v>
      </c>
      <c r="H2" s="139"/>
      <c r="I2" s="96"/>
      <c r="J2" s="119" t="s">
        <v>158</v>
      </c>
      <c r="K2" s="119"/>
      <c r="L2" s="96">
        <v>1.42</v>
      </c>
      <c r="AB2" s="30" t="s">
        <v>56</v>
      </c>
      <c r="AC2" s="17"/>
      <c r="AD2" s="30" t="s">
        <v>70</v>
      </c>
      <c r="AE2" s="17"/>
      <c r="AF2" s="17"/>
      <c r="AG2" s="44" t="s">
        <v>76</v>
      </c>
      <c r="AH2" s="18"/>
      <c r="AI2" s="45" t="s">
        <v>126</v>
      </c>
      <c r="AJ2" s="46">
        <v>0</v>
      </c>
      <c r="AK2" s="47">
        <v>0</v>
      </c>
      <c r="AL2" s="10">
        <v>0</v>
      </c>
      <c r="AM2" s="11">
        <v>0</v>
      </c>
      <c r="AN2" s="11">
        <v>0</v>
      </c>
    </row>
    <row r="3" spans="1:40" ht="13" x14ac:dyDescent="0.25">
      <c r="A3" s="120" t="s">
        <v>42</v>
      </c>
      <c r="B3" s="121"/>
      <c r="C3" s="133" t="s">
        <v>162</v>
      </c>
      <c r="D3" s="134"/>
      <c r="E3" s="93" t="s">
        <v>108</v>
      </c>
      <c r="F3" s="31" t="s">
        <v>104</v>
      </c>
      <c r="G3" s="119" t="s">
        <v>159</v>
      </c>
      <c r="H3" s="119"/>
      <c r="I3" s="96"/>
      <c r="J3" s="120" t="s">
        <v>154</v>
      </c>
      <c r="K3" s="121"/>
      <c r="L3" s="96">
        <f>(L1/(L2*10000))*100</f>
        <v>1.2887323943661972</v>
      </c>
      <c r="AB3" s="30" t="s">
        <v>57</v>
      </c>
      <c r="AC3" s="17"/>
      <c r="AD3" s="30" t="s">
        <v>71</v>
      </c>
      <c r="AE3" s="17"/>
      <c r="AF3" s="17"/>
      <c r="AG3" s="44" t="s">
        <v>77</v>
      </c>
      <c r="AH3" s="18"/>
      <c r="AI3" s="48" t="s">
        <v>113</v>
      </c>
      <c r="AJ3" s="49">
        <v>1.7</v>
      </c>
      <c r="AK3" s="50">
        <v>6</v>
      </c>
      <c r="AL3" s="51">
        <v>1</v>
      </c>
      <c r="AM3" s="11">
        <v>6.2</v>
      </c>
      <c r="AN3" s="11" t="s">
        <v>112</v>
      </c>
    </row>
    <row r="4" spans="1:40" ht="13" x14ac:dyDescent="0.25">
      <c r="A4" s="119" t="s">
        <v>0</v>
      </c>
      <c r="B4" s="119"/>
      <c r="C4" s="135" t="s">
        <v>163</v>
      </c>
      <c r="D4" s="136"/>
      <c r="E4" s="94" t="s">
        <v>1</v>
      </c>
      <c r="F4" s="95" t="s">
        <v>169</v>
      </c>
      <c r="G4" s="119"/>
      <c r="H4" s="119"/>
      <c r="I4" s="96"/>
      <c r="J4" s="120"/>
      <c r="K4" s="121"/>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19" t="s">
        <v>47</v>
      </c>
      <c r="B5" s="119"/>
      <c r="C5" s="137" t="s">
        <v>164</v>
      </c>
      <c r="D5" s="137"/>
      <c r="E5" s="94"/>
      <c r="F5" s="95"/>
      <c r="G5" s="119"/>
      <c r="H5" s="119"/>
      <c r="I5" s="96"/>
      <c r="J5" s="120"/>
      <c r="K5" s="121"/>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19" t="s">
        <v>2</v>
      </c>
      <c r="B8" s="119"/>
      <c r="C8" s="15">
        <v>1</v>
      </c>
      <c r="D8" s="15">
        <v>2</v>
      </c>
      <c r="E8" s="15">
        <v>3</v>
      </c>
      <c r="F8" s="15">
        <v>4</v>
      </c>
      <c r="G8" s="15">
        <v>5</v>
      </c>
      <c r="H8" s="15">
        <v>6</v>
      </c>
      <c r="I8" s="15" t="s">
        <v>165</v>
      </c>
      <c r="J8" s="15" t="s">
        <v>166</v>
      </c>
      <c r="K8" s="15"/>
      <c r="L8" s="15"/>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19" t="s">
        <v>3</v>
      </c>
      <c r="B9" s="119"/>
      <c r="C9" s="15" t="s">
        <v>168</v>
      </c>
      <c r="D9" s="15" t="s">
        <v>168</v>
      </c>
      <c r="E9" s="15" t="s">
        <v>168</v>
      </c>
      <c r="F9" s="15" t="s">
        <v>168</v>
      </c>
      <c r="G9" s="15" t="s">
        <v>168</v>
      </c>
      <c r="H9" s="15" t="s">
        <v>168</v>
      </c>
      <c r="I9" s="15" t="s">
        <v>168</v>
      </c>
      <c r="J9" s="15" t="s">
        <v>168</v>
      </c>
      <c r="K9" s="15"/>
      <c r="L9" s="15"/>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19" t="s">
        <v>4</v>
      </c>
      <c r="B10" s="119"/>
      <c r="C10" s="15">
        <v>6.4</v>
      </c>
      <c r="D10" s="15">
        <v>5.8</v>
      </c>
      <c r="E10" s="15">
        <v>6</v>
      </c>
      <c r="F10" s="15">
        <v>6</v>
      </c>
      <c r="G10" s="15">
        <v>5.9</v>
      </c>
      <c r="H10" s="15">
        <v>6.1</v>
      </c>
      <c r="I10" s="15">
        <v>5.8</v>
      </c>
      <c r="J10" s="15">
        <v>5.7</v>
      </c>
      <c r="K10" s="15"/>
      <c r="L10" s="15"/>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19" t="s">
        <v>5</v>
      </c>
      <c r="B11" s="119"/>
      <c r="C11" s="15">
        <v>2</v>
      </c>
      <c r="D11" s="15">
        <v>2</v>
      </c>
      <c r="E11" s="15">
        <v>3</v>
      </c>
      <c r="F11" s="15">
        <v>1</v>
      </c>
      <c r="G11" s="15">
        <v>0</v>
      </c>
      <c r="H11" s="15">
        <v>3</v>
      </c>
      <c r="I11" s="15">
        <v>2</v>
      </c>
      <c r="J11" s="15">
        <v>2</v>
      </c>
      <c r="K11" s="15"/>
      <c r="L11" s="15"/>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19" t="s">
        <v>6</v>
      </c>
      <c r="B12" s="119"/>
      <c r="C12" s="15">
        <v>3</v>
      </c>
      <c r="D12" s="15">
        <v>4</v>
      </c>
      <c r="E12" s="15">
        <v>4</v>
      </c>
      <c r="F12" s="15">
        <v>1</v>
      </c>
      <c r="G12" s="15">
        <v>1</v>
      </c>
      <c r="H12" s="15">
        <v>2</v>
      </c>
      <c r="I12" s="15">
        <v>2</v>
      </c>
      <c r="J12" s="15">
        <v>2</v>
      </c>
      <c r="K12" s="15"/>
      <c r="L12" s="15"/>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19" t="s">
        <v>7</v>
      </c>
      <c r="B13" s="119"/>
      <c r="C13" s="15">
        <v>4</v>
      </c>
      <c r="D13" s="15">
        <v>3</v>
      </c>
      <c r="E13" s="15">
        <v>3</v>
      </c>
      <c r="F13" s="15">
        <v>3</v>
      </c>
      <c r="G13" s="15">
        <v>3</v>
      </c>
      <c r="H13" s="15">
        <v>3</v>
      </c>
      <c r="I13" s="15">
        <v>3</v>
      </c>
      <c r="J13" s="15">
        <v>3</v>
      </c>
      <c r="K13" s="15"/>
      <c r="L13" s="15"/>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1" t="s">
        <v>8</v>
      </c>
      <c r="B14" s="131"/>
      <c r="C14" s="100" t="s">
        <v>113</v>
      </c>
      <c r="D14" s="100" t="s">
        <v>113</v>
      </c>
      <c r="E14" s="100" t="s">
        <v>113</v>
      </c>
      <c r="F14" s="100" t="s">
        <v>68</v>
      </c>
      <c r="G14" s="100" t="s">
        <v>113</v>
      </c>
      <c r="H14" s="100" t="s">
        <v>113</v>
      </c>
      <c r="I14" s="100" t="s">
        <v>113</v>
      </c>
      <c r="J14" s="100" t="s">
        <v>113</v>
      </c>
      <c r="K14" s="100"/>
      <c r="L14" s="100"/>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0" t="s">
        <v>9</v>
      </c>
      <c r="B15" s="130"/>
      <c r="C15" s="15">
        <v>38</v>
      </c>
      <c r="D15" s="15">
        <v>38</v>
      </c>
      <c r="E15" s="15">
        <v>38</v>
      </c>
      <c r="F15" s="15">
        <v>5.5</v>
      </c>
      <c r="G15" s="15">
        <v>38</v>
      </c>
      <c r="H15" s="15">
        <v>38</v>
      </c>
      <c r="I15" s="15">
        <v>38</v>
      </c>
      <c r="J15" s="15">
        <v>38</v>
      </c>
      <c r="K15" s="15"/>
      <c r="L15" s="15"/>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2" t="s">
        <v>44</v>
      </c>
      <c r="B16" s="132"/>
      <c r="C16" s="101" t="s">
        <v>72</v>
      </c>
      <c r="D16" s="101" t="s">
        <v>72</v>
      </c>
      <c r="E16" s="101" t="s">
        <v>72</v>
      </c>
      <c r="F16" s="101" t="s">
        <v>72</v>
      </c>
      <c r="G16" s="101" t="s">
        <v>72</v>
      </c>
      <c r="H16" s="101" t="s">
        <v>72</v>
      </c>
      <c r="I16" s="101" t="s">
        <v>72</v>
      </c>
      <c r="J16" s="101" t="s">
        <v>72</v>
      </c>
      <c r="K16" s="101"/>
      <c r="L16" s="101"/>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46.75</v>
      </c>
      <c r="G17" s="28">
        <f t="shared" si="0"/>
        <v>64.599999999999994</v>
      </c>
      <c r="H17" s="28">
        <f t="shared" si="0"/>
        <v>64.599999999999994</v>
      </c>
      <c r="I17" s="28">
        <f t="shared" si="0"/>
        <v>64.599999999999994</v>
      </c>
      <c r="J17" s="28">
        <f t="shared" si="0"/>
        <v>64.599999999999994</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46.730535039999999</v>
      </c>
      <c r="D18" s="16">
        <f>$D32</f>
        <v>0</v>
      </c>
      <c r="E18" s="16">
        <f>$D33</f>
        <v>19.942330240000004</v>
      </c>
      <c r="F18" s="16">
        <f>$D34</f>
        <v>19.942330240000004</v>
      </c>
      <c r="G18" s="16">
        <f>$D35</f>
        <v>0</v>
      </c>
      <c r="H18" s="16">
        <f>$D36</f>
        <v>19.942330240000004</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-17.869464959999995</v>
      </c>
      <c r="D19" s="16">
        <f t="shared" ref="D19:V19" si="1">D18-D17</f>
        <v>-64.599999999999994</v>
      </c>
      <c r="E19" s="16">
        <f t="shared" si="1"/>
        <v>-44.65766975999999</v>
      </c>
      <c r="F19" s="16">
        <f t="shared" si="1"/>
        <v>-26.807669759999996</v>
      </c>
      <c r="G19" s="16">
        <f t="shared" si="1"/>
        <v>-64.599999999999994</v>
      </c>
      <c r="H19" s="16">
        <f t="shared" si="1"/>
        <v>-44.65766975999999</v>
      </c>
      <c r="I19" s="16">
        <f t="shared" si="1"/>
        <v>-64.599999999999994</v>
      </c>
      <c r="J19" s="16">
        <f t="shared" si="1"/>
        <v>-64.599999999999994</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66</v>
      </c>
      <c r="G21" s="28">
        <f t="shared" si="2"/>
        <v>228</v>
      </c>
      <c r="H21" s="28">
        <f t="shared" si="2"/>
        <v>228</v>
      </c>
      <c r="I21" s="28">
        <f t="shared" si="2"/>
        <v>228</v>
      </c>
      <c r="J21" s="28">
        <f t="shared" si="2"/>
        <v>228</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6.3142385599999997</v>
      </c>
      <c r="D22" s="16">
        <f>$E32</f>
        <v>0</v>
      </c>
      <c r="E22" s="16">
        <f>$E33</f>
        <v>2.6946113599999997</v>
      </c>
      <c r="F22" s="16">
        <f>$E34</f>
        <v>2.6946113599999997</v>
      </c>
      <c r="G22" s="16">
        <f>$E35</f>
        <v>0</v>
      </c>
      <c r="H22" s="16">
        <f>$E36</f>
        <v>2.6946113599999997</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-221.68576143999999</v>
      </c>
      <c r="D23" s="16">
        <f t="shared" ref="D23:V23" si="3">D22-D21</f>
        <v>-228</v>
      </c>
      <c r="E23" s="16">
        <f t="shared" si="3"/>
        <v>-225.30538863999999</v>
      </c>
      <c r="F23" s="16">
        <f t="shared" si="3"/>
        <v>-63.305388640000004</v>
      </c>
      <c r="G23" s="16">
        <f t="shared" si="3"/>
        <v>-228</v>
      </c>
      <c r="H23" s="16">
        <f t="shared" si="3"/>
        <v>-225.30538863999999</v>
      </c>
      <c r="I23" s="16">
        <f t="shared" si="3"/>
        <v>-228</v>
      </c>
      <c r="J23" s="16">
        <f t="shared" si="3"/>
        <v>-228</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11.2</v>
      </c>
      <c r="C28" s="15">
        <v>1.42</v>
      </c>
      <c r="D28" s="15">
        <v>0.11600000000000001</v>
      </c>
      <c r="E28" s="15">
        <v>2.98E-2</v>
      </c>
      <c r="F28" s="15">
        <v>282</v>
      </c>
      <c r="G28" s="15">
        <v>57.2</v>
      </c>
      <c r="H28" s="15">
        <v>28.9</v>
      </c>
      <c r="I28" s="15">
        <v>6.2</v>
      </c>
      <c r="J28" s="15">
        <v>0.13</v>
      </c>
      <c r="K28" s="23">
        <v>0.84</v>
      </c>
      <c r="L28" s="15">
        <v>5.0999999999999996</v>
      </c>
      <c r="M28" s="15">
        <v>4.3</v>
      </c>
      <c r="N28" s="15">
        <v>203000</v>
      </c>
      <c r="O28" s="15">
        <v>9550</v>
      </c>
      <c r="P28" s="15"/>
      <c r="Q28" s="15">
        <v>7400</v>
      </c>
      <c r="R28" s="15"/>
      <c r="S28" s="15">
        <v>16.600000000000001</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157</v>
      </c>
      <c r="C31" s="77">
        <f t="shared" ref="C31:C50" si="5">IF(C$27="%w/w SAR",((C$28*10)*$B31),IF(C$27="%w/w DM",(((C$28*10)*($B$28/100))*$B31),IF(C$27="kg/t SAR",(C$28*$B31),IF(C$27="kg/t DM",((C$28*($B$28/100))*$B31),IF(C$27="mg/kg SAR",((C$28*0.001)*$B31),IF(C$27="mg/kg DM",(((C$28*0.001)*($B$28/100))*$B31),0))))))</f>
        <v>249.69279999999998</v>
      </c>
      <c r="D31" s="77">
        <f t="shared" ref="D31:D50" si="6">(IF(D$27="%w/w SAR",((D$28*10)*$B31),IF(D$27="%w/w DM",(((D$28*10)*($B$28/100))*$B31),IF(D$27="kg/t SAR",(D$28*$B31),IF(D$27="kg/t DM",((D$28*($B$28/100))*$B31),IF(D$27="mg/kg SAR",((D$28*0.001)*$B31),IF(D$27="mg/kg DM",(((D$28*0.001)*($B$28/100))*$B31),"0")))))))*2.291</f>
        <v>46.730535039999999</v>
      </c>
      <c r="E31" s="77">
        <f>(IF(E$27="%w/w SAR",((E$28*10)*$B31),IF(E$27="%w/w DM",(((E$28*10)*($B$28/100))*$B31),IF(E$27="kg/t SAR",(E$28*$B31),IF(E$27="kg/t DM",((E$28*($B$28/100))*$B31),IF(E$27="mg/kg SAR",((E$28*0.001)*$B31),IF(E$27="mg/kg DM",(((E$28*0.001)*($B$28/100))*$B31),"0")))))))*1.205</f>
        <v>6.3142385599999997</v>
      </c>
      <c r="F31" s="77">
        <f>(IF(F$27="%w/w SAR",((F$28*10)*$B31),IF(F$27="%w/w DM",(((F$28*10)*($B$28/100))*$B31),IF(F$27="kg/t SAR",(F$28*$B31),IF(F$27="kg/t DM",((F$28*($B$28/100))*$B31),IF(F$27="mg/kg SAR",((F$28*0.001)*$B31),IF(F$27="mg/kg DM",(((F$28*0.001)*($B$28/100))*$B31),"0")))))))*1.658</f>
        <v>8.2215047040000009</v>
      </c>
      <c r="G31" s="77">
        <f t="shared" ref="G31:P31" si="7">IF(G$27="%w/w SAR",((G$28*10)*$B31),IF(G$27="%w/w DM",(((G$28*10)*($B$28/100))*$B31),IF(G$27="kg/t SAR",(G$28*$B31),IF(G$27="kg/t DM",((G$28*($B$28/100))*$B31),IF(G$27="mg/kg SAR",((G$28*0.001)*$B31),IF(G$27="mg/kg DM",(((G$28*0.001)*($B$28/100))*$B31),0))))))</f>
        <v>1.0058047999999999</v>
      </c>
      <c r="H31" s="77">
        <f t="shared" si="7"/>
        <v>0.5081775999999999</v>
      </c>
      <c r="I31" s="77">
        <f t="shared" si="7"/>
        <v>0.1090208</v>
      </c>
      <c r="J31" s="77">
        <f t="shared" si="7"/>
        <v>2.2859199999999999E-3</v>
      </c>
      <c r="K31" s="77">
        <f t="shared" si="7"/>
        <v>1.4770559999999999E-2</v>
      </c>
      <c r="L31" s="77">
        <f t="shared" si="7"/>
        <v>8.9678399999999978E-2</v>
      </c>
      <c r="M31" s="77">
        <f t="shared" si="7"/>
        <v>7.561119999999999E-2</v>
      </c>
      <c r="N31" s="77">
        <f t="shared" si="7"/>
        <v>3569.5519999999997</v>
      </c>
      <c r="O31" s="77">
        <f t="shared" si="7"/>
        <v>167.92719999999997</v>
      </c>
      <c r="P31" s="77">
        <f t="shared" si="7"/>
        <v>0</v>
      </c>
      <c r="Q31" s="77">
        <f>(IF(Q$27="%w/w SAR",((Q$28*10)*$B31),IF(Q$27="%w/w DM",(((Q$28*10)*($B$28/100))*$B31),IF(Q$27="kg/t SAR",(Q$28*$B31),IF(Q$27="kg/t DM",((Q$28*($B$28/100))*$B31),IF(Q$27="mg/kg SAR",((Q$28*0.001)*$B31),IF(Q$27="mg/kg DM",(((Q$28*0.001)*($B$28/100))*$B31),0)))))))*2.5</f>
        <v>325.30399999999997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0.2918944</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0</v>
      </c>
      <c r="C32" s="77">
        <f t="shared" si="5"/>
        <v>0</v>
      </c>
      <c r="D32" s="77">
        <f t="shared" si="6"/>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ref="G32:P50" si="10">IF(G$27="%w/w SAR",((G$28*10)*$B32),IF(G$27="%w/w DM",(((G$28*10)*($B$28/100))*$B32),IF(G$27="kg/t SAR",(G$28*$B32),IF(G$27="kg/t DM",((G$28*($B$28/100))*$B32),IF(G$27="mg/kg SAR",((G$28*0.001)*$B32),IF(G$27="mg/kg DM",(((G$28*0.001)*($B$28/100))*$B32),0))))))</f>
        <v>0</v>
      </c>
      <c r="H32" s="77">
        <f t="shared" si="10"/>
        <v>0</v>
      </c>
      <c r="I32" s="77">
        <f t="shared" si="10"/>
        <v>0</v>
      </c>
      <c r="J32" s="77">
        <f t="shared" si="10"/>
        <v>0</v>
      </c>
      <c r="K32" s="77">
        <f t="shared" si="10"/>
        <v>0</v>
      </c>
      <c r="L32" s="77">
        <f t="shared" si="10"/>
        <v>0</v>
      </c>
      <c r="M32" s="77">
        <f t="shared" si="10"/>
        <v>0</v>
      </c>
      <c r="N32" s="77">
        <f t="shared" si="10"/>
        <v>0</v>
      </c>
      <c r="O32" s="77">
        <f t="shared" si="10"/>
        <v>0</v>
      </c>
      <c r="P32" s="77">
        <f t="shared" si="10"/>
        <v>0</v>
      </c>
      <c r="Q32" s="77">
        <f t="shared" ref="Q32:Q50" si="11">(IF(Q$27="%w/w SAR",((Q$28*10)*$B32),IF(Q$27="%w/w DM",(((Q$28*10)*($B$28/100))*$B32),IF(Q$27="kg/t SAR",(Q$28*$B32),IF(Q$27="kg/t DM",((Q$28*($B$28/100))*$B32),IF(Q$27="mg/kg SAR",((Q$28*0.001)*$B32),IF(Q$27="mg/kg DM",(((Q$28*0.001)*($B$28/100))*$B32),0)))))))*2.5</f>
        <v>0</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f>E8</f>
        <v>3</v>
      </c>
      <c r="B33" s="15">
        <v>67</v>
      </c>
      <c r="C33" s="77">
        <f t="shared" si="5"/>
        <v>106.55679999999998</v>
      </c>
      <c r="D33" s="77">
        <f t="shared" si="6"/>
        <v>19.942330240000004</v>
      </c>
      <c r="E33" s="77">
        <f t="shared" si="8"/>
        <v>2.6946113599999997</v>
      </c>
      <c r="F33" s="77">
        <f t="shared" si="9"/>
        <v>3.5085402240000003</v>
      </c>
      <c r="G33" s="77">
        <f t="shared" si="10"/>
        <v>0.42922879999999997</v>
      </c>
      <c r="H33" s="77">
        <f t="shared" si="10"/>
        <v>0.21686559999999996</v>
      </c>
      <c r="I33" s="77">
        <f t="shared" si="10"/>
        <v>4.6524799999999998E-2</v>
      </c>
      <c r="J33" s="77">
        <f t="shared" si="10"/>
        <v>9.7552000000000001E-4</v>
      </c>
      <c r="K33" s="77">
        <f t="shared" si="10"/>
        <v>6.3033599999999992E-3</v>
      </c>
      <c r="L33" s="77">
        <f t="shared" si="10"/>
        <v>3.8270399999999996E-2</v>
      </c>
      <c r="M33" s="77">
        <f t="shared" si="10"/>
        <v>3.2267199999999996E-2</v>
      </c>
      <c r="N33" s="77">
        <f t="shared" si="10"/>
        <v>1523.3119999999999</v>
      </c>
      <c r="O33" s="77">
        <f t="shared" si="10"/>
        <v>71.663199999999989</v>
      </c>
      <c r="P33" s="77">
        <f t="shared" si="10"/>
        <v>0</v>
      </c>
      <c r="Q33" s="77">
        <f t="shared" si="11"/>
        <v>138.82400000000001</v>
      </c>
      <c r="R33" s="77">
        <f t="shared" si="12"/>
        <v>0</v>
      </c>
      <c r="S33" s="77">
        <f t="shared" si="12"/>
        <v>0.12456639999999999</v>
      </c>
      <c r="T33" s="77">
        <f t="shared" si="12"/>
        <v>0</v>
      </c>
      <c r="U33" s="77">
        <f t="shared" si="12"/>
        <v>0</v>
      </c>
      <c r="AB33" s="59"/>
      <c r="AC33" s="59"/>
      <c r="AD33" s="59"/>
      <c r="AE33" s="59"/>
      <c r="AF33" s="59"/>
      <c r="AG33" s="59"/>
      <c r="AH33" s="59"/>
      <c r="AI33" s="59"/>
    </row>
    <row r="34" spans="1:35" s="72" customFormat="1" ht="13" x14ac:dyDescent="0.35">
      <c r="A34" s="13">
        <f>F8</f>
        <v>4</v>
      </c>
      <c r="B34" s="15">
        <v>67</v>
      </c>
      <c r="C34" s="77">
        <f t="shared" si="5"/>
        <v>106.55679999999998</v>
      </c>
      <c r="D34" s="77">
        <f t="shared" si="6"/>
        <v>19.942330240000004</v>
      </c>
      <c r="E34" s="77">
        <f t="shared" si="8"/>
        <v>2.6946113599999997</v>
      </c>
      <c r="F34" s="77">
        <f t="shared" si="9"/>
        <v>3.5085402240000003</v>
      </c>
      <c r="G34" s="77">
        <f t="shared" si="10"/>
        <v>0.42922879999999997</v>
      </c>
      <c r="H34" s="77">
        <f t="shared" si="10"/>
        <v>0.21686559999999996</v>
      </c>
      <c r="I34" s="77">
        <f t="shared" si="10"/>
        <v>4.6524799999999998E-2</v>
      </c>
      <c r="J34" s="77">
        <f t="shared" si="10"/>
        <v>9.7552000000000001E-4</v>
      </c>
      <c r="K34" s="77">
        <f t="shared" si="10"/>
        <v>6.3033599999999992E-3</v>
      </c>
      <c r="L34" s="77">
        <f t="shared" si="10"/>
        <v>3.8270399999999996E-2</v>
      </c>
      <c r="M34" s="77">
        <f t="shared" si="10"/>
        <v>3.2267199999999996E-2</v>
      </c>
      <c r="N34" s="77">
        <f t="shared" si="10"/>
        <v>1523.3119999999999</v>
      </c>
      <c r="O34" s="77">
        <f t="shared" si="10"/>
        <v>71.663199999999989</v>
      </c>
      <c r="P34" s="77">
        <f t="shared" si="10"/>
        <v>0</v>
      </c>
      <c r="Q34" s="77">
        <f t="shared" si="11"/>
        <v>138.82400000000001</v>
      </c>
      <c r="R34" s="77">
        <f t="shared" si="12"/>
        <v>0</v>
      </c>
      <c r="S34" s="77">
        <f t="shared" si="12"/>
        <v>0.12456639999999999</v>
      </c>
      <c r="T34" s="77">
        <f t="shared" si="12"/>
        <v>0</v>
      </c>
      <c r="U34" s="77">
        <f t="shared" si="12"/>
        <v>0</v>
      </c>
      <c r="AB34" s="59"/>
      <c r="AC34" s="59"/>
      <c r="AD34" s="59"/>
      <c r="AE34" s="59"/>
      <c r="AF34" s="59"/>
      <c r="AG34" s="59"/>
      <c r="AH34" s="59"/>
      <c r="AI34" s="59"/>
    </row>
    <row r="35" spans="1:35" s="72" customFormat="1" ht="13" x14ac:dyDescent="0.35">
      <c r="A35" s="13">
        <f>G8</f>
        <v>5</v>
      </c>
      <c r="B35" s="15">
        <v>0</v>
      </c>
      <c r="C35" s="77">
        <f t="shared" si="5"/>
        <v>0</v>
      </c>
      <c r="D35" s="77">
        <f t="shared" si="6"/>
        <v>0</v>
      </c>
      <c r="E35" s="77">
        <f t="shared" si="8"/>
        <v>0</v>
      </c>
      <c r="F35" s="77">
        <f t="shared" si="9"/>
        <v>0</v>
      </c>
      <c r="G35" s="77">
        <f t="shared" si="10"/>
        <v>0</v>
      </c>
      <c r="H35" s="77">
        <f t="shared" si="10"/>
        <v>0</v>
      </c>
      <c r="I35" s="77">
        <f t="shared" si="10"/>
        <v>0</v>
      </c>
      <c r="J35" s="77">
        <f t="shared" si="10"/>
        <v>0</v>
      </c>
      <c r="K35" s="77">
        <f t="shared" si="10"/>
        <v>0</v>
      </c>
      <c r="L35" s="77">
        <f t="shared" si="10"/>
        <v>0</v>
      </c>
      <c r="M35" s="77">
        <f t="shared" si="10"/>
        <v>0</v>
      </c>
      <c r="N35" s="77">
        <f t="shared" si="10"/>
        <v>0</v>
      </c>
      <c r="O35" s="77">
        <f t="shared" si="10"/>
        <v>0</v>
      </c>
      <c r="P35" s="77">
        <f t="shared" si="10"/>
        <v>0</v>
      </c>
      <c r="Q35" s="77">
        <f t="shared" si="11"/>
        <v>0</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f>H8</f>
        <v>6</v>
      </c>
      <c r="B36" s="15">
        <v>67</v>
      </c>
      <c r="C36" s="77">
        <f t="shared" si="5"/>
        <v>106.55679999999998</v>
      </c>
      <c r="D36" s="77">
        <f t="shared" si="6"/>
        <v>19.942330240000004</v>
      </c>
      <c r="E36" s="77">
        <f t="shared" si="8"/>
        <v>2.6946113599999997</v>
      </c>
      <c r="F36" s="77">
        <f t="shared" si="9"/>
        <v>3.5085402240000003</v>
      </c>
      <c r="G36" s="77">
        <f t="shared" si="10"/>
        <v>0.42922879999999997</v>
      </c>
      <c r="H36" s="77">
        <f t="shared" si="10"/>
        <v>0.21686559999999996</v>
      </c>
      <c r="I36" s="77">
        <f t="shared" si="10"/>
        <v>4.6524799999999998E-2</v>
      </c>
      <c r="J36" s="77">
        <f t="shared" si="10"/>
        <v>9.7552000000000001E-4</v>
      </c>
      <c r="K36" s="77">
        <f t="shared" si="10"/>
        <v>6.3033599999999992E-3</v>
      </c>
      <c r="L36" s="77">
        <f t="shared" si="10"/>
        <v>3.8270399999999996E-2</v>
      </c>
      <c r="M36" s="77">
        <f t="shared" si="10"/>
        <v>3.2267199999999996E-2</v>
      </c>
      <c r="N36" s="77">
        <f t="shared" si="10"/>
        <v>1523.3119999999999</v>
      </c>
      <c r="O36" s="77">
        <f t="shared" si="10"/>
        <v>71.663199999999989</v>
      </c>
      <c r="P36" s="77">
        <f t="shared" si="10"/>
        <v>0</v>
      </c>
      <c r="Q36" s="77">
        <f t="shared" si="11"/>
        <v>138.82400000000001</v>
      </c>
      <c r="R36" s="77">
        <f t="shared" si="12"/>
        <v>0</v>
      </c>
      <c r="S36" s="77">
        <f t="shared" si="12"/>
        <v>0.12456639999999999</v>
      </c>
      <c r="T36" s="77">
        <f t="shared" si="12"/>
        <v>0</v>
      </c>
      <c r="U36" s="77">
        <f t="shared" si="12"/>
        <v>0</v>
      </c>
      <c r="AB36" s="59"/>
      <c r="AC36" s="59"/>
      <c r="AD36" s="59"/>
      <c r="AE36" s="59"/>
      <c r="AF36" s="59"/>
      <c r="AG36" s="59"/>
      <c r="AH36" s="59"/>
      <c r="AI36" s="59"/>
    </row>
    <row r="37" spans="1:35" s="72" customFormat="1" ht="13" x14ac:dyDescent="0.35">
      <c r="A37" s="13" t="str">
        <f>I8</f>
        <v>A</v>
      </c>
      <c r="B37" s="15">
        <v>0</v>
      </c>
      <c r="C37" s="77">
        <f t="shared" si="5"/>
        <v>0</v>
      </c>
      <c r="D37" s="77">
        <f t="shared" si="6"/>
        <v>0</v>
      </c>
      <c r="E37" s="77">
        <f t="shared" si="8"/>
        <v>0</v>
      </c>
      <c r="F37" s="77">
        <f t="shared" si="9"/>
        <v>0</v>
      </c>
      <c r="G37" s="77">
        <f t="shared" si="10"/>
        <v>0</v>
      </c>
      <c r="H37" s="77">
        <f t="shared" si="10"/>
        <v>0</v>
      </c>
      <c r="I37" s="77">
        <f t="shared" si="10"/>
        <v>0</v>
      </c>
      <c r="J37" s="77">
        <f t="shared" si="10"/>
        <v>0</v>
      </c>
      <c r="K37" s="77">
        <f t="shared" si="10"/>
        <v>0</v>
      </c>
      <c r="L37" s="77">
        <f t="shared" si="10"/>
        <v>0</v>
      </c>
      <c r="M37" s="77">
        <f t="shared" si="10"/>
        <v>0</v>
      </c>
      <c r="N37" s="77">
        <f t="shared" si="10"/>
        <v>0</v>
      </c>
      <c r="O37" s="77">
        <f t="shared" si="10"/>
        <v>0</v>
      </c>
      <c r="P37" s="77">
        <f t="shared" si="10"/>
        <v>0</v>
      </c>
      <c r="Q37" s="77">
        <f t="shared" si="11"/>
        <v>0</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t="str">
        <f>J8</f>
        <v>B</v>
      </c>
      <c r="B38" s="15">
        <v>0</v>
      </c>
      <c r="C38" s="77">
        <f t="shared" si="5"/>
        <v>0</v>
      </c>
      <c r="D38" s="77">
        <f t="shared" si="6"/>
        <v>0</v>
      </c>
      <c r="E38" s="77">
        <f t="shared" si="8"/>
        <v>0</v>
      </c>
      <c r="F38" s="77">
        <f t="shared" si="9"/>
        <v>0</v>
      </c>
      <c r="G38" s="77">
        <f t="shared" si="10"/>
        <v>0</v>
      </c>
      <c r="H38" s="77">
        <f t="shared" si="10"/>
        <v>0</v>
      </c>
      <c r="I38" s="77">
        <f t="shared" si="10"/>
        <v>0</v>
      </c>
      <c r="J38" s="77">
        <f t="shared" si="10"/>
        <v>0</v>
      </c>
      <c r="K38" s="77">
        <f t="shared" si="10"/>
        <v>0</v>
      </c>
      <c r="L38" s="77">
        <f t="shared" si="10"/>
        <v>0</v>
      </c>
      <c r="M38" s="77">
        <f t="shared" si="10"/>
        <v>0</v>
      </c>
      <c r="N38" s="77">
        <f t="shared" si="10"/>
        <v>0</v>
      </c>
      <c r="O38" s="77">
        <f t="shared" si="10"/>
        <v>0</v>
      </c>
      <c r="P38" s="77">
        <f t="shared" si="10"/>
        <v>0</v>
      </c>
      <c r="Q38" s="77">
        <f t="shared" si="11"/>
        <v>0</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f>K8</f>
        <v>0</v>
      </c>
      <c r="B39" s="15"/>
      <c r="C39" s="77">
        <f t="shared" si="5"/>
        <v>0</v>
      </c>
      <c r="D39" s="77">
        <f t="shared" si="6"/>
        <v>0</v>
      </c>
      <c r="E39" s="77">
        <f t="shared" si="8"/>
        <v>0</v>
      </c>
      <c r="F39" s="77">
        <f t="shared" si="9"/>
        <v>0</v>
      </c>
      <c r="G39" s="77">
        <f t="shared" si="10"/>
        <v>0</v>
      </c>
      <c r="H39" s="77">
        <f t="shared" si="10"/>
        <v>0</v>
      </c>
      <c r="I39" s="77">
        <f t="shared" si="10"/>
        <v>0</v>
      </c>
      <c r="J39" s="77">
        <f t="shared" si="10"/>
        <v>0</v>
      </c>
      <c r="K39" s="77">
        <f t="shared" si="10"/>
        <v>0</v>
      </c>
      <c r="L39" s="77">
        <f t="shared" si="10"/>
        <v>0</v>
      </c>
      <c r="M39" s="77">
        <f t="shared" si="10"/>
        <v>0</v>
      </c>
      <c r="N39" s="77">
        <f t="shared" si="10"/>
        <v>0</v>
      </c>
      <c r="O39" s="77">
        <f t="shared" si="10"/>
        <v>0</v>
      </c>
      <c r="P39" s="77">
        <f t="shared" si="10"/>
        <v>0</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f>L8</f>
        <v>0</v>
      </c>
      <c r="B40" s="15"/>
      <c r="C40" s="77">
        <f t="shared" si="5"/>
        <v>0</v>
      </c>
      <c r="D40" s="77">
        <f t="shared" si="6"/>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0</v>
      </c>
      <c r="B41" s="15"/>
      <c r="C41" s="77">
        <f t="shared" si="5"/>
        <v>0</v>
      </c>
      <c r="D41" s="77">
        <f t="shared" si="6"/>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5"/>
        <v>0</v>
      </c>
      <c r="D42" s="77">
        <f t="shared" si="6"/>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5"/>
        <v>0</v>
      </c>
      <c r="D43" s="77">
        <f t="shared" si="6"/>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5"/>
        <v>0</v>
      </c>
      <c r="D44" s="77">
        <f t="shared" si="6"/>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5"/>
        <v>0</v>
      </c>
      <c r="D45" s="77">
        <f t="shared" si="6"/>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5"/>
        <v>0</v>
      </c>
      <c r="D46" s="77">
        <f t="shared" si="6"/>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5"/>
        <v>0</v>
      </c>
      <c r="D47" s="77">
        <f t="shared" si="6"/>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5"/>
        <v>0</v>
      </c>
      <c r="D48" s="77">
        <f t="shared" si="6"/>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5"/>
        <v>0</v>
      </c>
      <c r="D49" s="77">
        <f t="shared" si="6"/>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5"/>
        <v>0</v>
      </c>
      <c r="D50" s="98">
        <f t="shared" si="6"/>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t="str">
        <f t="shared" si="13"/>
        <v>A</v>
      </c>
      <c r="I57" s="8" t="str">
        <f t="shared" si="13"/>
        <v>B</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Arable</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6.7</v>
      </c>
      <c r="F59" s="76">
        <f>VLOOKUP(G$14,Table24[],5,FALSE)</f>
        <v>6.2</v>
      </c>
      <c r="G59" s="76">
        <f>VLOOKUP(H$14,Table24[],5,FALSE)</f>
        <v>6.2</v>
      </c>
      <c r="H59" s="76">
        <f>VLOOKUP(I$14,Table24[],5,FALSE)</f>
        <v>6.2</v>
      </c>
      <c r="I59" s="76">
        <f>VLOOKUP(J$14,Table24[],5,FALSE)</f>
        <v>6.2</v>
      </c>
      <c r="J59" s="76" t="e">
        <f>VLOOKUP(K$14,Table24[],5,FALSE)</f>
        <v>#N/A</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6.4</v>
      </c>
      <c r="C60" s="76">
        <f t="shared" ref="C60:U60" si="14">D10</f>
        <v>5.8</v>
      </c>
      <c r="D60" s="76">
        <f t="shared" si="14"/>
        <v>6</v>
      </c>
      <c r="E60" s="76">
        <f t="shared" si="14"/>
        <v>6</v>
      </c>
      <c r="F60" s="76">
        <f t="shared" si="14"/>
        <v>5.9</v>
      </c>
      <c r="G60" s="76">
        <f t="shared" si="14"/>
        <v>6.1</v>
      </c>
      <c r="H60" s="76">
        <f t="shared" si="14"/>
        <v>5.8</v>
      </c>
      <c r="I60" s="76">
        <f t="shared" si="14"/>
        <v>5.7</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8</v>
      </c>
      <c r="F61" s="76">
        <f t="shared" si="15"/>
        <v>6</v>
      </c>
      <c r="G61" s="76">
        <f t="shared" si="15"/>
        <v>6</v>
      </c>
      <c r="H61" s="76">
        <f t="shared" si="15"/>
        <v>6</v>
      </c>
      <c r="I61" s="76">
        <f t="shared" si="15"/>
        <v>6</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157</v>
      </c>
      <c r="C62" s="77">
        <f>B32</f>
        <v>0</v>
      </c>
      <c r="D62" s="77">
        <f>B33</f>
        <v>67</v>
      </c>
      <c r="E62" s="77">
        <f>B34</f>
        <v>67</v>
      </c>
      <c r="F62" s="77">
        <f>B35</f>
        <v>0</v>
      </c>
      <c r="G62" s="77">
        <f>B36</f>
        <v>67</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-1.2000000000000011</v>
      </c>
      <c r="C64" s="77">
        <f t="shared" ref="C64:U64" si="17">(C59-C60)*C61</f>
        <v>2.4000000000000021</v>
      </c>
      <c r="D64" s="77">
        <f t="shared" si="17"/>
        <v>1.2000000000000011</v>
      </c>
      <c r="E64" s="77">
        <f t="shared" si="17"/>
        <v>5.6000000000000014</v>
      </c>
      <c r="F64" s="77">
        <f t="shared" si="17"/>
        <v>1.7999999999999989</v>
      </c>
      <c r="G64" s="77">
        <f t="shared" si="17"/>
        <v>0.6000000000000032</v>
      </c>
      <c r="H64" s="77">
        <f t="shared" si="17"/>
        <v>2.4000000000000021</v>
      </c>
      <c r="I64" s="77">
        <f t="shared" si="17"/>
        <v>3</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1.2000000000000011</v>
      </c>
      <c r="C65" s="77">
        <f t="shared" ref="C65:U65" si="18">C63-C64</f>
        <v>-2.4000000000000021</v>
      </c>
      <c r="D65" s="77">
        <f t="shared" si="18"/>
        <v>-1.2000000000000011</v>
      </c>
      <c r="E65" s="77">
        <f t="shared" si="18"/>
        <v>-5.6000000000000014</v>
      </c>
      <c r="F65" s="77">
        <f t="shared" si="18"/>
        <v>-1.7999999999999989</v>
      </c>
      <c r="G65" s="77">
        <f t="shared" si="18"/>
        <v>-0.6000000000000032</v>
      </c>
      <c r="H65" s="77">
        <f t="shared" si="18"/>
        <v>-2.4000000000000021</v>
      </c>
      <c r="I65" s="77">
        <f t="shared" si="18"/>
        <v>-3</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22" zoomScale="90" zoomScaleNormal="90" workbookViewId="0">
      <selection activeCell="R28" sqref="R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PAN-024177</v>
      </c>
      <c r="D1" s="141"/>
      <c r="E1" s="93" t="s">
        <v>45</v>
      </c>
      <c r="F1" s="39">
        <f>'Field data and Waste 1'!F1</f>
        <v>44.3</v>
      </c>
      <c r="G1" s="120" t="s">
        <v>43</v>
      </c>
      <c r="H1" s="121"/>
      <c r="I1" s="118">
        <v>5.9</v>
      </c>
      <c r="J1" s="119" t="s">
        <v>153</v>
      </c>
      <c r="K1" s="119"/>
      <c r="L1" s="97">
        <v>93.9</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GP3792SK</v>
      </c>
      <c r="D2" s="143"/>
      <c r="E2" s="93" t="s">
        <v>109</v>
      </c>
      <c r="F2" s="96" t="s">
        <v>167</v>
      </c>
      <c r="G2" s="138" t="s">
        <v>110</v>
      </c>
      <c r="H2" s="139"/>
      <c r="I2" s="118"/>
      <c r="J2" s="119" t="s">
        <v>158</v>
      </c>
      <c r="K2" s="119"/>
      <c r="L2" s="97">
        <v>0.77800000000000002</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Byproduct Recovery ltd</v>
      </c>
      <c r="D3" s="143"/>
      <c r="E3" s="93" t="s">
        <v>108</v>
      </c>
      <c r="F3" s="31" t="s">
        <v>78</v>
      </c>
      <c r="G3" s="119" t="s">
        <v>159</v>
      </c>
      <c r="H3" s="119"/>
      <c r="I3" s="118"/>
      <c r="J3" s="120" t="s">
        <v>154</v>
      </c>
      <c r="K3" s="121"/>
      <c r="L3" s="97">
        <f>(L1/(L2*10000))*100</f>
        <v>1.2069408740359899</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Plas Bach, Cerrigceinwen, Bodorgan LL62 5NS</v>
      </c>
      <c r="D4" s="141"/>
      <c r="E4" s="94" t="s">
        <v>1</v>
      </c>
      <c r="F4" s="96" t="s">
        <v>170</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 xml:space="preserve">Ethan Banfield </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1</v>
      </c>
      <c r="D8" s="60">
        <f>'Field data and Waste 1'!D8</f>
        <v>2</v>
      </c>
      <c r="E8" s="60">
        <f>'Field data and Waste 1'!E8</f>
        <v>3</v>
      </c>
      <c r="F8" s="60">
        <f>'Field data and Waste 1'!F8</f>
        <v>4</v>
      </c>
      <c r="G8" s="60">
        <f>'Field data and Waste 1'!G8</f>
        <v>5</v>
      </c>
      <c r="H8" s="60">
        <f>'Field data and Waste 1'!H8</f>
        <v>6</v>
      </c>
      <c r="I8" s="60" t="str">
        <f>'Field data and Waste 1'!I8</f>
        <v>A</v>
      </c>
      <c r="J8" s="60" t="str">
        <f>'Field data and Waste 1'!J8</f>
        <v>B</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6.4</v>
      </c>
      <c r="D10" s="60">
        <f>'Field data and Waste 1'!D10</f>
        <v>5.8</v>
      </c>
      <c r="E10" s="60">
        <f>'Field data and Waste 1'!E10</f>
        <v>6</v>
      </c>
      <c r="F10" s="60">
        <f>'Field data and Waste 1'!F10</f>
        <v>6</v>
      </c>
      <c r="G10" s="60">
        <f>'Field data and Waste 1'!G10</f>
        <v>5.9</v>
      </c>
      <c r="H10" s="60">
        <f>'Field data and Waste 1'!H10</f>
        <v>6.1</v>
      </c>
      <c r="I10" s="60">
        <f>'Field data and Waste 1'!I10</f>
        <v>5.8</v>
      </c>
      <c r="J10" s="60">
        <f>'Field data and Waste 1'!J10</f>
        <v>5.7</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3</v>
      </c>
      <c r="F11" s="60">
        <f>'Field data and Waste 1'!F11</f>
        <v>1</v>
      </c>
      <c r="G11" s="60">
        <f>'Field data and Waste 1'!G11</f>
        <v>0</v>
      </c>
      <c r="H11" s="60">
        <f>'Field data and Waste 1'!H11</f>
        <v>3</v>
      </c>
      <c r="I11" s="60">
        <f>'Field data and Waste 1'!I11</f>
        <v>2</v>
      </c>
      <c r="J11" s="60">
        <f>'Field data and Waste 1'!J11</f>
        <v>2</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3</v>
      </c>
      <c r="D12" s="60">
        <f>'Field data and Waste 1'!D12</f>
        <v>4</v>
      </c>
      <c r="E12" s="60">
        <f>'Field data and Waste 1'!E12</f>
        <v>4</v>
      </c>
      <c r="F12" s="60">
        <f>'Field data and Waste 1'!F12</f>
        <v>1</v>
      </c>
      <c r="G12" s="60">
        <f>'Field data and Waste 1'!G12</f>
        <v>1</v>
      </c>
      <c r="H12" s="60">
        <f>'Field data and Waste 1'!H12</f>
        <v>2</v>
      </c>
      <c r="I12" s="60">
        <f>'Field data and Waste 1'!I12</f>
        <v>2</v>
      </c>
      <c r="J12" s="60">
        <f>'Field data and Waste 1'!J12</f>
        <v>2</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4</v>
      </c>
      <c r="D13" s="60">
        <f>'Field data and Waste 1'!D13</f>
        <v>3</v>
      </c>
      <c r="E13" s="60">
        <f>'Field data and Waste 1'!E13</f>
        <v>3</v>
      </c>
      <c r="F13" s="60">
        <f>'Field data and Waste 1'!F13</f>
        <v>3</v>
      </c>
      <c r="G13" s="60">
        <f>'Field data and Waste 1'!G13</f>
        <v>3</v>
      </c>
      <c r="H13" s="60">
        <f>'Field data and Waste 1'!H13</f>
        <v>3</v>
      </c>
      <c r="I13" s="60">
        <f>'Field data and Waste 1'!I13</f>
        <v>3</v>
      </c>
      <c r="J13" s="60">
        <f>'Field data and Waste 1'!J13</f>
        <v>3</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Spring wheat/barley</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5.5</v>
      </c>
      <c r="G15" s="60">
        <f>'Field data and Waste 1'!G15</f>
        <v>38</v>
      </c>
      <c r="H15" s="60">
        <f>'Field data and Waste 1'!H15</f>
        <v>38</v>
      </c>
      <c r="I15" s="60">
        <f>'Field data and Waste 1'!I15</f>
        <v>38</v>
      </c>
      <c r="J15" s="60">
        <f>'Field data and Waste 1'!J15</f>
        <v>38</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46.75</v>
      </c>
      <c r="G17" s="28">
        <f t="shared" si="0"/>
        <v>64.599999999999994</v>
      </c>
      <c r="H17" s="28">
        <f t="shared" si="0"/>
        <v>64.599999999999994</v>
      </c>
      <c r="I17" s="28">
        <f t="shared" si="0"/>
        <v>64.599999999999994</v>
      </c>
      <c r="J17" s="28">
        <f t="shared" si="0"/>
        <v>64.599999999999994</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14.708219999999999</v>
      </c>
      <c r="D18" s="16">
        <f>$D32</f>
        <v>14.708219999999999</v>
      </c>
      <c r="E18" s="16">
        <f>$D33</f>
        <v>14.708219999999999</v>
      </c>
      <c r="F18" s="16">
        <f>$D34</f>
        <v>14.708219999999999</v>
      </c>
      <c r="G18" s="16">
        <f>$D35</f>
        <v>14.708219999999999</v>
      </c>
      <c r="H18" s="16">
        <f>$D36</f>
        <v>14.708219999999999</v>
      </c>
      <c r="I18" s="16">
        <f>$D37</f>
        <v>14.708219999999999</v>
      </c>
      <c r="J18" s="16">
        <f>$D38</f>
        <v>14.708219999999999</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-49.891779999999997</v>
      </c>
      <c r="D19" s="16">
        <f t="shared" ref="D19:V19" si="1">D18-D17</f>
        <v>-49.891779999999997</v>
      </c>
      <c r="E19" s="16">
        <f t="shared" si="1"/>
        <v>-49.891779999999997</v>
      </c>
      <c r="F19" s="16">
        <f t="shared" si="1"/>
        <v>-32.041780000000003</v>
      </c>
      <c r="G19" s="16">
        <f t="shared" si="1"/>
        <v>-49.891779999999997</v>
      </c>
      <c r="H19" s="16">
        <f t="shared" si="1"/>
        <v>-49.891779999999997</v>
      </c>
      <c r="I19" s="16">
        <f t="shared" si="1"/>
        <v>-49.891779999999997</v>
      </c>
      <c r="J19" s="16">
        <f t="shared" si="1"/>
        <v>-49.891779999999997</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66</v>
      </c>
      <c r="G21" s="28">
        <f t="shared" si="2"/>
        <v>228</v>
      </c>
      <c r="H21" s="28">
        <f t="shared" si="2"/>
        <v>228</v>
      </c>
      <c r="I21" s="28">
        <f t="shared" si="2"/>
        <v>228</v>
      </c>
      <c r="J21" s="28">
        <f t="shared" si="2"/>
        <v>228</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2.4853125</v>
      </c>
      <c r="D22" s="16">
        <f>$E32</f>
        <v>2.4853125</v>
      </c>
      <c r="E22" s="16">
        <f>$E33</f>
        <v>2.4853125</v>
      </c>
      <c r="F22" s="16">
        <f>$E34</f>
        <v>2.4853125</v>
      </c>
      <c r="G22" s="16">
        <f>$E35</f>
        <v>2.4853125</v>
      </c>
      <c r="H22" s="16">
        <f>$E36</f>
        <v>2.4853125</v>
      </c>
      <c r="I22" s="16">
        <f>$E37</f>
        <v>2.4853125</v>
      </c>
      <c r="J22" s="16">
        <f>$E38</f>
        <v>2.4853125</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-225.51468750000001</v>
      </c>
      <c r="D23" s="16">
        <f t="shared" ref="D23:V23" si="3">D22-D21</f>
        <v>-225.51468750000001</v>
      </c>
      <c r="E23" s="16">
        <f t="shared" si="3"/>
        <v>-225.51468750000001</v>
      </c>
      <c r="F23" s="16">
        <f t="shared" si="3"/>
        <v>-63.514687500000001</v>
      </c>
      <c r="G23" s="16">
        <f t="shared" si="3"/>
        <v>-225.51468750000001</v>
      </c>
      <c r="H23" s="16">
        <f t="shared" si="3"/>
        <v>-225.51468750000001</v>
      </c>
      <c r="I23" s="16">
        <f t="shared" si="3"/>
        <v>-225.51468750000001</v>
      </c>
      <c r="J23" s="16">
        <f t="shared" si="3"/>
        <v>-225.51468750000001</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3</v>
      </c>
      <c r="C28" s="15">
        <v>0.77800000000000002</v>
      </c>
      <c r="D28" s="15">
        <v>8.5599999999999996E-2</v>
      </c>
      <c r="E28" s="15">
        <v>2.75E-2</v>
      </c>
      <c r="F28" s="15">
        <v>653</v>
      </c>
      <c r="G28" s="15">
        <v>18.399999999999999</v>
      </c>
      <c r="H28" s="15">
        <v>106</v>
      </c>
      <c r="I28" s="15">
        <v>6.2</v>
      </c>
      <c r="J28" s="15">
        <v>0.11</v>
      </c>
      <c r="K28" s="23">
        <v>1.26</v>
      </c>
      <c r="L28" s="15">
        <v>11.9</v>
      </c>
      <c r="M28" s="15">
        <v>10.1</v>
      </c>
      <c r="N28" s="15">
        <v>2210</v>
      </c>
      <c r="O28" s="15">
        <v>379000</v>
      </c>
      <c r="P28" s="15"/>
      <c r="Q28" s="15">
        <v>4430</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250</v>
      </c>
      <c r="C31" s="77">
        <f>IF(C$27="%w/w SAR",((C$28*10)*$B31),IF(C$27="%w/w DM",(((C$28*10)*($B$28/100))*$B31),IF(C$27="kg/t SAR",(C$28*$B31),IF(C$27="kg/t DM",((C$28*($B$28/100))*$B31),IF(C$27="mg/kg SAR",((C$28*0.001)*$B31),IF(C$27="mg/kg DM",(((C$28*0.001)*($B$28/100))*$B31),0))))))</f>
        <v>58.35</v>
      </c>
      <c r="D31" s="77">
        <f>(IF(D$27="%w/w SAR",((D$28*10)*$B31),IF(D$27="%w/w DM",(((D$28*10)*($B$28/100))*$B31),IF(D$27="kg/t SAR",(D$28*$B31),IF(D$27="kg/t DM",((D$28*($B$28/100))*$B31),IF(D$27="mg/kg SAR",((D$28*0.001)*$B31),IF(D$27="mg/kg DM",(((D$28*0.001)*($B$28/100))*$B31),"0")))))))*2.291</f>
        <v>14.708219999999999</v>
      </c>
      <c r="E31" s="77">
        <f>(IF(E$27="%w/w SAR",((E$28*10)*$B31),IF(E$27="%w/w DM",(((E$28*10)*($B$28/100))*$B31),IF(E$27="kg/t SAR",(E$28*$B31),IF(E$27="kg/t DM",((E$28*($B$28/100))*$B31),IF(E$27="mg/kg SAR",((E$28*0.001)*$B31),IF(E$27="mg/kg DM",(((E$28*0.001)*($B$28/100))*$B31),"0")))))))*1.205</f>
        <v>2.4853125</v>
      </c>
      <c r="F31" s="77">
        <f>(IF(F$27="%w/w SAR",((F$28*10)*$B31),IF(F$27="%w/w DM",(((F$28*10)*($B$28/100))*$B31),IF(F$27="kg/t SAR",(F$28*$B31),IF(F$27="kg/t DM",((F$28*($B$28/100))*$B31),IF(F$27="mg/kg SAR",((F$28*0.001)*$B31),IF(F$27="mg/kg DM",(((F$28*0.001)*($B$28/100))*$B31),"0")))))))*1.658</f>
        <v>8.1200549999999989</v>
      </c>
      <c r="G31" s="77">
        <f t="shared" ref="G31:P46" si="5">IF(G$27="%w/w SAR",((G$28*10)*$B31),IF(G$27="%w/w DM",(((G$28*10)*($B$28/100))*$B31),IF(G$27="kg/t SAR",(G$28*$B31),IF(G$27="kg/t DM",((G$28*($B$28/100))*$B31),IF(G$27="mg/kg SAR",((G$28*0.001)*$B31),IF(G$27="mg/kg DM",(((G$28*0.001)*($B$28/100))*$B31),0))))))</f>
        <v>0.13799999999999998</v>
      </c>
      <c r="H31" s="77">
        <f t="shared" si="5"/>
        <v>0.79499999999999993</v>
      </c>
      <c r="I31" s="77">
        <f t="shared" si="5"/>
        <v>4.6500000000000007E-2</v>
      </c>
      <c r="J31" s="77">
        <f t="shared" si="5"/>
        <v>8.25E-4</v>
      </c>
      <c r="K31" s="77">
        <f t="shared" si="5"/>
        <v>9.4500000000000001E-3</v>
      </c>
      <c r="L31" s="77">
        <f t="shared" si="5"/>
        <v>8.9249999999999996E-2</v>
      </c>
      <c r="M31" s="77">
        <f t="shared" si="5"/>
        <v>7.5749999999999998E-2</v>
      </c>
      <c r="N31" s="77">
        <f t="shared" si="5"/>
        <v>16.574999999999999</v>
      </c>
      <c r="O31" s="77">
        <f t="shared" si="5"/>
        <v>2842.5</v>
      </c>
      <c r="P31" s="77">
        <f t="shared" si="5"/>
        <v>0</v>
      </c>
      <c r="Q31" s="77">
        <f>(IF(Q$27="%w/w SAR",((Q$28*10)*$B31),IF(Q$27="%w/w DM",(((Q$28*10)*($B$28/100))*$B31),IF(Q$27="kg/t SAR",(Q$28*$B31),IF(Q$27="kg/t DM",((Q$28*($B$28/100))*$B31),IF(Q$27="mg/kg SAR",((Q$28*0.001)*$B31),IF(Q$27="mg/kg DM",(((Q$28*0.001)*($B$28/100))*$B31),0)))))))*2.5</f>
        <v>83.062499999999986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250</v>
      </c>
      <c r="C32" s="77">
        <f t="shared" ref="C32:C50" si="6">IF(C$27="%w/w SAR",((C$28*10)*$B32),IF(C$27="%w/w DM",(((C$28*10)*($B$28/100))*$B32),IF(C$27="kg/t SAR",(C$28*$B32),IF(C$27="kg/t DM",((C$28*($B$28/100))*$B32),IF(C$27="mg/kg SAR",((C$28*0.001)*$B32),IF(C$27="mg/kg DM",(((C$28*0.001)*($B$28/100))*$B32),0))))))</f>
        <v>58.35</v>
      </c>
      <c r="D32" s="77">
        <f t="shared" ref="D32:D50" si="7">(IF(D$27="%w/w SAR",((D$28*10)*$B32),IF(D$27="%w/w DM",(((D$28*10)*($B$28/100))*$B32),IF(D$27="kg/t SAR",(D$28*$B32),IF(D$27="kg/t DM",((D$28*($B$28/100))*$B32),IF(D$27="mg/kg SAR",((D$28*0.001)*$B32),IF(D$27="mg/kg DM",(((D$28*0.001)*($B$28/100))*$B32),"0")))))))*2.291</f>
        <v>14.708219999999999</v>
      </c>
      <c r="E32" s="77">
        <f t="shared" ref="E32:E50" si="8">(IF(E$27="%w/w SAR",((E$28*10)*$B32),IF(E$27="%w/w DM",(((E$28*10)*($B$28/100))*$B32),IF(E$27="kg/t SAR",(E$28*$B32),IF(E$27="kg/t DM",((E$28*($B$28/100))*$B32),IF(E$27="mg/kg SAR",((E$28*0.001)*$B32),IF(E$27="mg/kg DM",(((E$28*0.001)*($B$28/100))*$B32),"0")))))))*1.205</f>
        <v>2.4853125</v>
      </c>
      <c r="F32" s="77">
        <f t="shared" ref="F32:F50" si="9">(IF(F$27="%w/w SAR",((F$28*10)*$B32),IF(F$27="%w/w DM",(((F$28*10)*($B$28/100))*$B32),IF(F$27="kg/t SAR",(F$28*$B32),IF(F$27="kg/t DM",((F$28*($B$28/100))*$B32),IF(F$27="mg/kg SAR",((F$28*0.001)*$B32),IF(F$27="mg/kg DM",(((F$28*0.001)*($B$28/100))*$B32),"0")))))))*1.658</f>
        <v>8.1200549999999989</v>
      </c>
      <c r="G32" s="77">
        <f t="shared" si="5"/>
        <v>0.13799999999999998</v>
      </c>
      <c r="H32" s="77">
        <f t="shared" si="5"/>
        <v>0.79499999999999993</v>
      </c>
      <c r="I32" s="77">
        <f t="shared" si="5"/>
        <v>4.6500000000000007E-2</v>
      </c>
      <c r="J32" s="77">
        <f t="shared" si="5"/>
        <v>8.25E-4</v>
      </c>
      <c r="K32" s="77">
        <f t="shared" si="5"/>
        <v>9.4500000000000001E-3</v>
      </c>
      <c r="L32" s="77">
        <f t="shared" si="5"/>
        <v>8.9249999999999996E-2</v>
      </c>
      <c r="M32" s="77">
        <f t="shared" si="5"/>
        <v>7.5749999999999998E-2</v>
      </c>
      <c r="N32" s="77">
        <f t="shared" si="5"/>
        <v>16.574999999999999</v>
      </c>
      <c r="O32" s="77">
        <f t="shared" si="5"/>
        <v>2842.5</v>
      </c>
      <c r="P32" s="77">
        <f t="shared" si="5"/>
        <v>0</v>
      </c>
      <c r="Q32" s="77">
        <f t="shared" ref="Q32:Q50" si="10">(IF(Q$27="%w/w SAR",((Q$28*10)*$B32),IF(Q$27="%w/w DM",(((Q$28*10)*($B$28/100))*$B32),IF(Q$27="kg/t SAR",(Q$28*$B32),IF(Q$27="kg/t DM",((Q$28*($B$28/100))*$B32),IF(Q$27="mg/kg SAR",((Q$28*0.001)*$B32),IF(Q$27="mg/kg DM",(((Q$28*0.001)*($B$28/100))*$B32),0)))))))*2.5</f>
        <v>83.062499999999986</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250</v>
      </c>
      <c r="C33" s="77">
        <f t="shared" si="6"/>
        <v>58.35</v>
      </c>
      <c r="D33" s="77">
        <f t="shared" si="7"/>
        <v>14.708219999999999</v>
      </c>
      <c r="E33" s="77">
        <f t="shared" si="8"/>
        <v>2.4853125</v>
      </c>
      <c r="F33" s="77">
        <f t="shared" si="9"/>
        <v>8.1200549999999989</v>
      </c>
      <c r="G33" s="77">
        <f t="shared" si="5"/>
        <v>0.13799999999999998</v>
      </c>
      <c r="H33" s="77">
        <f t="shared" si="5"/>
        <v>0.79499999999999993</v>
      </c>
      <c r="I33" s="77">
        <f t="shared" si="5"/>
        <v>4.6500000000000007E-2</v>
      </c>
      <c r="J33" s="77">
        <f t="shared" si="5"/>
        <v>8.25E-4</v>
      </c>
      <c r="K33" s="77">
        <f t="shared" si="5"/>
        <v>9.4500000000000001E-3</v>
      </c>
      <c r="L33" s="77">
        <f t="shared" si="5"/>
        <v>8.9249999999999996E-2</v>
      </c>
      <c r="M33" s="77">
        <f t="shared" si="5"/>
        <v>7.5749999999999998E-2</v>
      </c>
      <c r="N33" s="77">
        <f t="shared" si="5"/>
        <v>16.574999999999999</v>
      </c>
      <c r="O33" s="77">
        <f t="shared" si="5"/>
        <v>2842.5</v>
      </c>
      <c r="P33" s="77">
        <f t="shared" si="5"/>
        <v>0</v>
      </c>
      <c r="Q33" s="77">
        <f t="shared" si="10"/>
        <v>83.062499999999986</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250</v>
      </c>
      <c r="C34" s="77">
        <f t="shared" si="6"/>
        <v>58.35</v>
      </c>
      <c r="D34" s="77">
        <f t="shared" si="7"/>
        <v>14.708219999999999</v>
      </c>
      <c r="E34" s="77">
        <f t="shared" si="8"/>
        <v>2.4853125</v>
      </c>
      <c r="F34" s="77">
        <f t="shared" si="9"/>
        <v>8.1200549999999989</v>
      </c>
      <c r="G34" s="77">
        <f t="shared" si="5"/>
        <v>0.13799999999999998</v>
      </c>
      <c r="H34" s="77">
        <f t="shared" si="5"/>
        <v>0.79499999999999993</v>
      </c>
      <c r="I34" s="77">
        <f t="shared" si="5"/>
        <v>4.6500000000000007E-2</v>
      </c>
      <c r="J34" s="77">
        <f t="shared" si="5"/>
        <v>8.25E-4</v>
      </c>
      <c r="K34" s="77">
        <f t="shared" si="5"/>
        <v>9.4500000000000001E-3</v>
      </c>
      <c r="L34" s="77">
        <f t="shared" si="5"/>
        <v>8.9249999999999996E-2</v>
      </c>
      <c r="M34" s="77">
        <f t="shared" si="5"/>
        <v>7.5749999999999998E-2</v>
      </c>
      <c r="N34" s="77">
        <f t="shared" si="5"/>
        <v>16.574999999999999</v>
      </c>
      <c r="O34" s="77">
        <f t="shared" si="5"/>
        <v>2842.5</v>
      </c>
      <c r="P34" s="77">
        <f t="shared" si="5"/>
        <v>0</v>
      </c>
      <c r="Q34" s="77">
        <f t="shared" si="10"/>
        <v>83.062499999999986</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250</v>
      </c>
      <c r="C35" s="77">
        <f t="shared" si="6"/>
        <v>58.35</v>
      </c>
      <c r="D35" s="77">
        <f t="shared" si="7"/>
        <v>14.708219999999999</v>
      </c>
      <c r="E35" s="77">
        <f t="shared" si="8"/>
        <v>2.4853125</v>
      </c>
      <c r="F35" s="77">
        <f t="shared" si="9"/>
        <v>8.1200549999999989</v>
      </c>
      <c r="G35" s="77">
        <f t="shared" si="5"/>
        <v>0.13799999999999998</v>
      </c>
      <c r="H35" s="77">
        <f t="shared" si="5"/>
        <v>0.79499999999999993</v>
      </c>
      <c r="I35" s="77">
        <f t="shared" si="5"/>
        <v>4.6500000000000007E-2</v>
      </c>
      <c r="J35" s="77">
        <f t="shared" si="5"/>
        <v>8.25E-4</v>
      </c>
      <c r="K35" s="77">
        <f t="shared" si="5"/>
        <v>9.4500000000000001E-3</v>
      </c>
      <c r="L35" s="77">
        <f t="shared" si="5"/>
        <v>8.9249999999999996E-2</v>
      </c>
      <c r="M35" s="77">
        <f t="shared" si="5"/>
        <v>7.5749999999999998E-2</v>
      </c>
      <c r="N35" s="77">
        <f t="shared" si="5"/>
        <v>16.574999999999999</v>
      </c>
      <c r="O35" s="77">
        <f t="shared" si="5"/>
        <v>2842.5</v>
      </c>
      <c r="P35" s="77">
        <f t="shared" si="5"/>
        <v>0</v>
      </c>
      <c r="Q35" s="77">
        <f t="shared" si="10"/>
        <v>83.062499999999986</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250</v>
      </c>
      <c r="C36" s="77">
        <f t="shared" si="6"/>
        <v>58.35</v>
      </c>
      <c r="D36" s="77">
        <f t="shared" si="7"/>
        <v>14.708219999999999</v>
      </c>
      <c r="E36" s="77">
        <f t="shared" si="8"/>
        <v>2.4853125</v>
      </c>
      <c r="F36" s="77">
        <f t="shared" si="9"/>
        <v>8.1200549999999989</v>
      </c>
      <c r="G36" s="77">
        <f t="shared" si="5"/>
        <v>0.13799999999999998</v>
      </c>
      <c r="H36" s="77">
        <f t="shared" si="5"/>
        <v>0.79499999999999993</v>
      </c>
      <c r="I36" s="77">
        <f t="shared" si="5"/>
        <v>4.6500000000000007E-2</v>
      </c>
      <c r="J36" s="77">
        <f t="shared" si="5"/>
        <v>8.25E-4</v>
      </c>
      <c r="K36" s="77">
        <f t="shared" si="5"/>
        <v>9.4500000000000001E-3</v>
      </c>
      <c r="L36" s="77">
        <f t="shared" si="5"/>
        <v>8.9249999999999996E-2</v>
      </c>
      <c r="M36" s="77">
        <f t="shared" si="5"/>
        <v>7.5749999999999998E-2</v>
      </c>
      <c r="N36" s="77">
        <f t="shared" si="5"/>
        <v>16.574999999999999</v>
      </c>
      <c r="O36" s="77">
        <f t="shared" si="5"/>
        <v>2842.5</v>
      </c>
      <c r="P36" s="77">
        <f t="shared" si="5"/>
        <v>0</v>
      </c>
      <c r="Q36" s="77">
        <f t="shared" si="10"/>
        <v>83.062499999999986</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A</v>
      </c>
      <c r="B37" s="15">
        <v>250</v>
      </c>
      <c r="C37" s="77">
        <f t="shared" si="6"/>
        <v>58.35</v>
      </c>
      <c r="D37" s="77">
        <f t="shared" si="7"/>
        <v>14.708219999999999</v>
      </c>
      <c r="E37" s="77">
        <f t="shared" si="8"/>
        <v>2.4853125</v>
      </c>
      <c r="F37" s="77">
        <f t="shared" si="9"/>
        <v>8.1200549999999989</v>
      </c>
      <c r="G37" s="77">
        <f t="shared" si="5"/>
        <v>0.13799999999999998</v>
      </c>
      <c r="H37" s="77">
        <f t="shared" si="5"/>
        <v>0.79499999999999993</v>
      </c>
      <c r="I37" s="77">
        <f t="shared" si="5"/>
        <v>4.6500000000000007E-2</v>
      </c>
      <c r="J37" s="77">
        <f t="shared" si="5"/>
        <v>8.25E-4</v>
      </c>
      <c r="K37" s="77">
        <f t="shared" si="5"/>
        <v>9.4500000000000001E-3</v>
      </c>
      <c r="L37" s="77">
        <f t="shared" si="5"/>
        <v>8.9249999999999996E-2</v>
      </c>
      <c r="M37" s="77">
        <f t="shared" si="5"/>
        <v>7.5749999999999998E-2</v>
      </c>
      <c r="N37" s="77">
        <f t="shared" si="5"/>
        <v>16.574999999999999</v>
      </c>
      <c r="O37" s="77">
        <f t="shared" si="5"/>
        <v>2842.5</v>
      </c>
      <c r="P37" s="77">
        <f t="shared" si="5"/>
        <v>0</v>
      </c>
      <c r="Q37" s="77">
        <f t="shared" si="10"/>
        <v>83.062499999999986</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B</v>
      </c>
      <c r="B38" s="15">
        <v>250</v>
      </c>
      <c r="C38" s="77">
        <f t="shared" si="6"/>
        <v>58.35</v>
      </c>
      <c r="D38" s="77">
        <f t="shared" si="7"/>
        <v>14.708219999999999</v>
      </c>
      <c r="E38" s="77">
        <f t="shared" si="8"/>
        <v>2.4853125</v>
      </c>
      <c r="F38" s="77">
        <f t="shared" si="9"/>
        <v>8.1200549999999989</v>
      </c>
      <c r="G38" s="77">
        <f t="shared" si="5"/>
        <v>0.13799999999999998</v>
      </c>
      <c r="H38" s="77">
        <f t="shared" si="5"/>
        <v>0.79499999999999993</v>
      </c>
      <c r="I38" s="77">
        <f t="shared" si="5"/>
        <v>4.6500000000000007E-2</v>
      </c>
      <c r="J38" s="77">
        <f t="shared" si="5"/>
        <v>8.25E-4</v>
      </c>
      <c r="K38" s="77">
        <f t="shared" si="5"/>
        <v>9.4500000000000001E-3</v>
      </c>
      <c r="L38" s="77">
        <f t="shared" si="5"/>
        <v>8.9249999999999996E-2</v>
      </c>
      <c r="M38" s="77">
        <f t="shared" si="5"/>
        <v>7.5749999999999998E-2</v>
      </c>
      <c r="N38" s="77">
        <f t="shared" si="5"/>
        <v>16.574999999999999</v>
      </c>
      <c r="O38" s="77">
        <f t="shared" si="5"/>
        <v>2842.5</v>
      </c>
      <c r="P38" s="77">
        <f t="shared" si="5"/>
        <v>0</v>
      </c>
      <c r="Q38" s="77">
        <f t="shared" si="10"/>
        <v>83.062499999999986</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t="str">
        <f t="shared" si="13"/>
        <v>A</v>
      </c>
      <c r="I57" s="8" t="str">
        <f t="shared" si="13"/>
        <v>B</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Arable</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6.7</v>
      </c>
      <c r="F59" s="76">
        <f>VLOOKUP(G$14,Table245[],5,FALSE)</f>
        <v>6.2</v>
      </c>
      <c r="G59" s="76">
        <f>VLOOKUP(H$14,Table245[],5,FALSE)</f>
        <v>6.2</v>
      </c>
      <c r="H59" s="76">
        <f>VLOOKUP(I$14,Table245[],5,FALSE)</f>
        <v>6.2</v>
      </c>
      <c r="I59" s="76">
        <f>VLOOKUP(J$14,Table245[],5,FALSE)</f>
        <v>6.2</v>
      </c>
      <c r="J59" s="76" t="e">
        <f>VLOOKUP(K$14,Table245[],5,FALSE)</f>
        <v>#N/A</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6.4</v>
      </c>
      <c r="C60" s="76">
        <f t="shared" ref="C60:U60" si="14">D10</f>
        <v>5.8</v>
      </c>
      <c r="D60" s="76">
        <f t="shared" si="14"/>
        <v>6</v>
      </c>
      <c r="E60" s="76">
        <f t="shared" si="14"/>
        <v>6</v>
      </c>
      <c r="F60" s="76">
        <f t="shared" si="14"/>
        <v>5.9</v>
      </c>
      <c r="G60" s="76">
        <f t="shared" si="14"/>
        <v>6.1</v>
      </c>
      <c r="H60" s="76">
        <f t="shared" si="14"/>
        <v>5.8</v>
      </c>
      <c r="I60" s="76">
        <f t="shared" si="14"/>
        <v>5.7</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8</v>
      </c>
      <c r="F61" s="76">
        <f t="shared" si="15"/>
        <v>6</v>
      </c>
      <c r="G61" s="76">
        <f t="shared" si="15"/>
        <v>6</v>
      </c>
      <c r="H61" s="76">
        <f t="shared" si="15"/>
        <v>6</v>
      </c>
      <c r="I61" s="76">
        <f t="shared" si="15"/>
        <v>6</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-1.2000000000000011</v>
      </c>
      <c r="C64" s="77">
        <f t="shared" ref="C64:U64" si="17">(C59-C60)*C61</f>
        <v>2.4000000000000021</v>
      </c>
      <c r="D64" s="77">
        <f t="shared" si="17"/>
        <v>1.2000000000000011</v>
      </c>
      <c r="E64" s="77">
        <f t="shared" si="17"/>
        <v>5.6000000000000014</v>
      </c>
      <c r="F64" s="77">
        <f t="shared" si="17"/>
        <v>1.7999999999999989</v>
      </c>
      <c r="G64" s="77">
        <f t="shared" si="17"/>
        <v>0.6000000000000032</v>
      </c>
      <c r="H64" s="77">
        <f t="shared" si="17"/>
        <v>2.4000000000000021</v>
      </c>
      <c r="I64" s="77">
        <f t="shared" si="17"/>
        <v>3</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1.2000000000000011</v>
      </c>
      <c r="C65" s="77">
        <f t="shared" ref="C65:U65" si="18">C63-C64</f>
        <v>-2.4000000000000021</v>
      </c>
      <c r="D65" s="77">
        <f t="shared" si="18"/>
        <v>-1.2000000000000011</v>
      </c>
      <c r="E65" s="77">
        <f t="shared" si="18"/>
        <v>-5.6000000000000014</v>
      </c>
      <c r="F65" s="77">
        <f t="shared" si="18"/>
        <v>-1.7999999999999989</v>
      </c>
      <c r="G65" s="77">
        <f t="shared" si="18"/>
        <v>-0.6000000000000032</v>
      </c>
      <c r="H65" s="77">
        <f t="shared" si="18"/>
        <v>-2.4000000000000021</v>
      </c>
      <c r="I65" s="77">
        <f t="shared" si="18"/>
        <v>-3</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77" priority="37" operator="equal">
      <formula>"DECREASE"</formula>
    </cfRule>
    <cfRule type="cellIs" dxfId="376" priority="38" operator="equal">
      <formula>"INCREASE"</formula>
    </cfRule>
  </conditionalFormatting>
  <conditionalFormatting sqref="B62:U66 B31:B50">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A25"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PAN-024177</v>
      </c>
      <c r="D1" s="141"/>
      <c r="E1" s="93" t="s">
        <v>45</v>
      </c>
      <c r="F1" s="39">
        <f>'Field data and Waste 1'!F1</f>
        <v>44.3</v>
      </c>
      <c r="G1" s="120" t="s">
        <v>43</v>
      </c>
      <c r="H1" s="121"/>
      <c r="I1" s="118">
        <v>7</v>
      </c>
      <c r="J1" s="119" t="s">
        <v>153</v>
      </c>
      <c r="K1" s="119"/>
      <c r="L1" s="97">
        <v>1130</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GP3792SK</v>
      </c>
      <c r="D2" s="143"/>
      <c r="E2" s="93" t="s">
        <v>109</v>
      </c>
      <c r="F2" s="96" t="s">
        <v>167</v>
      </c>
      <c r="G2" s="138" t="s">
        <v>110</v>
      </c>
      <c r="H2" s="139"/>
      <c r="I2" s="118"/>
      <c r="J2" s="119" t="s">
        <v>158</v>
      </c>
      <c r="K2" s="119"/>
      <c r="L2" s="97">
        <v>1.24</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Byproduct Recovery ltd</v>
      </c>
      <c r="D3" s="143"/>
      <c r="E3" s="93" t="s">
        <v>108</v>
      </c>
      <c r="F3" s="31" t="s">
        <v>78</v>
      </c>
      <c r="G3" s="119" t="s">
        <v>159</v>
      </c>
      <c r="H3" s="119"/>
      <c r="I3" s="118"/>
      <c r="J3" s="120" t="s">
        <v>154</v>
      </c>
      <c r="K3" s="121"/>
      <c r="L3" s="97">
        <f>(L1/(L2*10000))*100</f>
        <v>9.112903225806452</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Plas Bach, Cerrigceinwen, Bodorgan LL62 5NS</v>
      </c>
      <c r="D4" s="141"/>
      <c r="E4" s="94" t="s">
        <v>1</v>
      </c>
      <c r="F4" s="96" t="s">
        <v>171</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 xml:space="preserve">Ethan Banfield </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1</v>
      </c>
      <c r="D8" s="60">
        <f>'Field data and Waste 1'!D8</f>
        <v>2</v>
      </c>
      <c r="E8" s="60">
        <f>'Field data and Waste 1'!E8</f>
        <v>3</v>
      </c>
      <c r="F8" s="60">
        <f>'Field data and Waste 1'!F8</f>
        <v>4</v>
      </c>
      <c r="G8" s="60">
        <f>'Field data and Waste 1'!G8</f>
        <v>5</v>
      </c>
      <c r="H8" s="60">
        <f>'Field data and Waste 1'!H8</f>
        <v>6</v>
      </c>
      <c r="I8" s="60" t="str">
        <f>'Field data and Waste 1'!I8</f>
        <v>A</v>
      </c>
      <c r="J8" s="60" t="str">
        <f>'Field data and Waste 1'!J8</f>
        <v>B</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6.4</v>
      </c>
      <c r="D10" s="60">
        <f>'Field data and Waste 1'!D10</f>
        <v>5.8</v>
      </c>
      <c r="E10" s="60">
        <f>'Field data and Waste 1'!E10</f>
        <v>6</v>
      </c>
      <c r="F10" s="60">
        <f>'Field data and Waste 1'!F10</f>
        <v>6</v>
      </c>
      <c r="G10" s="60">
        <f>'Field data and Waste 1'!G10</f>
        <v>5.9</v>
      </c>
      <c r="H10" s="60">
        <f>'Field data and Waste 1'!H10</f>
        <v>6.1</v>
      </c>
      <c r="I10" s="60">
        <f>'Field data and Waste 1'!I10</f>
        <v>5.8</v>
      </c>
      <c r="J10" s="60">
        <f>'Field data and Waste 1'!J10</f>
        <v>5.7</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3</v>
      </c>
      <c r="F11" s="60">
        <f>'Field data and Waste 1'!F11</f>
        <v>1</v>
      </c>
      <c r="G11" s="60">
        <f>'Field data and Waste 1'!G11</f>
        <v>0</v>
      </c>
      <c r="H11" s="60">
        <f>'Field data and Waste 1'!H11</f>
        <v>3</v>
      </c>
      <c r="I11" s="60">
        <f>'Field data and Waste 1'!I11</f>
        <v>2</v>
      </c>
      <c r="J11" s="60">
        <f>'Field data and Waste 1'!J11</f>
        <v>2</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3</v>
      </c>
      <c r="D12" s="60">
        <f>'Field data and Waste 1'!D12</f>
        <v>4</v>
      </c>
      <c r="E12" s="60">
        <f>'Field data and Waste 1'!E12</f>
        <v>4</v>
      </c>
      <c r="F12" s="60">
        <f>'Field data and Waste 1'!F12</f>
        <v>1</v>
      </c>
      <c r="G12" s="60">
        <f>'Field data and Waste 1'!G12</f>
        <v>1</v>
      </c>
      <c r="H12" s="60">
        <f>'Field data and Waste 1'!H12</f>
        <v>2</v>
      </c>
      <c r="I12" s="60">
        <f>'Field data and Waste 1'!I12</f>
        <v>2</v>
      </c>
      <c r="J12" s="60">
        <f>'Field data and Waste 1'!J12</f>
        <v>2</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4</v>
      </c>
      <c r="D13" s="60">
        <f>'Field data and Waste 1'!D13</f>
        <v>3</v>
      </c>
      <c r="E13" s="60">
        <f>'Field data and Waste 1'!E13</f>
        <v>3</v>
      </c>
      <c r="F13" s="60">
        <f>'Field data and Waste 1'!F13</f>
        <v>3</v>
      </c>
      <c r="G13" s="60">
        <f>'Field data and Waste 1'!G13</f>
        <v>3</v>
      </c>
      <c r="H13" s="60">
        <f>'Field data and Waste 1'!H13</f>
        <v>3</v>
      </c>
      <c r="I13" s="60">
        <f>'Field data and Waste 1'!I13</f>
        <v>3</v>
      </c>
      <c r="J13" s="60">
        <f>'Field data and Waste 1'!J13</f>
        <v>3</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Spring wheat/barley</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5.5</v>
      </c>
      <c r="G15" s="60">
        <f>'Field data and Waste 1'!G15</f>
        <v>38</v>
      </c>
      <c r="H15" s="60">
        <f>'Field data and Waste 1'!H15</f>
        <v>38</v>
      </c>
      <c r="I15" s="60">
        <f>'Field data and Waste 1'!I15</f>
        <v>38</v>
      </c>
      <c r="J15" s="60">
        <f>'Field data and Waste 1'!J15</f>
        <v>38</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46.75</v>
      </c>
      <c r="G17" s="28">
        <f t="shared" si="0"/>
        <v>64.599999999999994</v>
      </c>
      <c r="H17" s="28">
        <f t="shared" si="0"/>
        <v>64.599999999999994</v>
      </c>
      <c r="I17" s="28">
        <f t="shared" si="0"/>
        <v>64.599999999999994</v>
      </c>
      <c r="J17" s="28">
        <f t="shared" si="0"/>
        <v>64.599999999999994</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25.762295000000002</v>
      </c>
      <c r="D18" s="16">
        <f>$D32</f>
        <v>0</v>
      </c>
      <c r="E18" s="16">
        <f>$D33</f>
        <v>20.094590100000001</v>
      </c>
      <c r="F18" s="16">
        <f>$D34</f>
        <v>25.762295000000002</v>
      </c>
      <c r="G18" s="16">
        <f>$D35</f>
        <v>0</v>
      </c>
      <c r="H18" s="16">
        <f>$D36</f>
        <v>20.094590100000001</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-38.837704999999993</v>
      </c>
      <c r="D19" s="16">
        <f t="shared" ref="D19:V19" si="1">D18-D17</f>
        <v>-64.599999999999994</v>
      </c>
      <c r="E19" s="16">
        <f t="shared" si="1"/>
        <v>-44.505409899999989</v>
      </c>
      <c r="F19" s="16">
        <f t="shared" si="1"/>
        <v>-20.987704999999998</v>
      </c>
      <c r="G19" s="16">
        <f t="shared" si="1"/>
        <v>-64.599999999999994</v>
      </c>
      <c r="H19" s="16">
        <f t="shared" si="1"/>
        <v>-44.505409899999989</v>
      </c>
      <c r="I19" s="16">
        <f t="shared" si="1"/>
        <v>-64.599999999999994</v>
      </c>
      <c r="J19" s="16">
        <f t="shared" si="1"/>
        <v>-64.599999999999994</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(VLOOKUP(D$14,$AI2:$AK24,3,FALSE))*D$15</f>
        <v>228</v>
      </c>
      <c r="E21" s="28">
        <f t="shared" si="2"/>
        <v>228</v>
      </c>
      <c r="F21" s="28">
        <f t="shared" si="2"/>
        <v>66</v>
      </c>
      <c r="G21" s="28">
        <f t="shared" si="2"/>
        <v>228</v>
      </c>
      <c r="H21" s="28">
        <f t="shared" si="2"/>
        <v>228</v>
      </c>
      <c r="I21" s="28">
        <f t="shared" si="2"/>
        <v>228</v>
      </c>
      <c r="J21" s="28">
        <f t="shared" si="2"/>
        <v>228</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3.2504875000000011</v>
      </c>
      <c r="D22" s="16">
        <f>$E32</f>
        <v>0</v>
      </c>
      <c r="E22" s="16">
        <f>$E33</f>
        <v>2.5353802500000007</v>
      </c>
      <c r="F22" s="16">
        <f>$E34</f>
        <v>3.2504875000000011</v>
      </c>
      <c r="G22" s="16">
        <f>$E35</f>
        <v>0</v>
      </c>
      <c r="H22" s="16">
        <f>$E36</f>
        <v>2.5353802500000007</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-224.74951250000001</v>
      </c>
      <c r="D23" s="16">
        <f t="shared" ref="D23:V23" si="3">D22-D21</f>
        <v>-228</v>
      </c>
      <c r="E23" s="16">
        <f t="shared" si="3"/>
        <v>-225.46461975</v>
      </c>
      <c r="F23" s="16">
        <f t="shared" si="3"/>
        <v>-62.749512500000002</v>
      </c>
      <c r="G23" s="16">
        <f t="shared" si="3"/>
        <v>-228</v>
      </c>
      <c r="H23" s="16">
        <f t="shared" si="3"/>
        <v>-225.46461975</v>
      </c>
      <c r="I23" s="16">
        <f t="shared" si="3"/>
        <v>-228</v>
      </c>
      <c r="J23" s="16">
        <f t="shared" si="3"/>
        <v>-228</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2.6</v>
      </c>
      <c r="C28" s="15">
        <v>1.24</v>
      </c>
      <c r="D28" s="15">
        <v>0.17299999999999999</v>
      </c>
      <c r="E28" s="15">
        <v>4.1500000000000002E-2</v>
      </c>
      <c r="F28" s="15">
        <v>725</v>
      </c>
      <c r="G28" s="15">
        <v>45.5</v>
      </c>
      <c r="H28" s="15">
        <v>30.9</v>
      </c>
      <c r="I28" s="15">
        <v>6.2</v>
      </c>
      <c r="J28" s="15">
        <v>0.5</v>
      </c>
      <c r="K28" s="23">
        <v>1.34</v>
      </c>
      <c r="L28" s="15">
        <v>7.7</v>
      </c>
      <c r="M28" s="15">
        <v>4.3</v>
      </c>
      <c r="N28" s="15">
        <v>220000</v>
      </c>
      <c r="O28" s="15">
        <v>7040</v>
      </c>
      <c r="P28" s="15"/>
      <c r="Q28" s="15">
        <v>8300</v>
      </c>
      <c r="R28" s="15"/>
      <c r="S28" s="15">
        <v>12.2</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250</v>
      </c>
      <c r="C31" s="77">
        <f>IF(C$27="%w/w SAR",((C$28*10)*$B31),IF(C$27="%w/w DM",(((C$28*10)*($B$28/100))*$B31),IF(C$27="kg/t SAR",(C$28*$B31),IF(C$27="kg/t DM",((C$28*($B$28/100))*$B31),IF(C$27="mg/kg SAR",((C$28*0.001)*$B31),IF(C$27="mg/kg DM",(((C$28*0.001)*($B$28/100))*$B31),0))))))</f>
        <v>80.600000000000009</v>
      </c>
      <c r="D31" s="77">
        <f>(IF(D$27="%w/w SAR",((D$28*10)*$B31),IF(D$27="%w/w DM",(((D$28*10)*($B$28/100))*$B31),IF(D$27="kg/t SAR",(D$28*$B31),IF(D$27="kg/t DM",((D$28*($B$28/100))*$B31),IF(D$27="mg/kg SAR",((D$28*0.001)*$B31),IF(D$27="mg/kg DM",(((D$28*0.001)*($B$28/100))*$B31),"0")))))))*2.291</f>
        <v>25.762295000000002</v>
      </c>
      <c r="E31" s="77">
        <f>(IF(E$27="%w/w SAR",((E$28*10)*$B31),IF(E$27="%w/w DM",(((E$28*10)*($B$28/100))*$B31),IF(E$27="kg/t SAR",(E$28*$B31),IF(E$27="kg/t DM",((E$28*($B$28/100))*$B31),IF(E$27="mg/kg SAR",((E$28*0.001)*$B31),IF(E$27="mg/kg DM",(((E$28*0.001)*($B$28/100))*$B31),"0")))))))*1.205</f>
        <v>3.2504875000000011</v>
      </c>
      <c r="F31" s="77">
        <f>(IF(F$27="%w/w SAR",((F$28*10)*$B31),IF(F$27="%w/w DM",(((F$28*10)*($B$28/100))*$B31),IF(F$27="kg/t SAR",(F$28*$B31),IF(F$27="kg/t DM",((F$28*($B$28/100))*$B31),IF(F$27="mg/kg SAR",((F$28*0.001)*$B31),IF(F$27="mg/kg DM",(((F$28*0.001)*($B$28/100))*$B31),"0")))))))*1.658</f>
        <v>7.8133249999999999</v>
      </c>
      <c r="G31" s="77">
        <f t="shared" ref="G31:P46" si="5">IF(G$27="%w/w SAR",((G$28*10)*$B31),IF(G$27="%w/w DM",(((G$28*10)*($B$28/100))*$B31),IF(G$27="kg/t SAR",(G$28*$B31),IF(G$27="kg/t DM",((G$28*($B$28/100))*$B31),IF(G$27="mg/kg SAR",((G$28*0.001)*$B31),IF(G$27="mg/kg DM",(((G$28*0.001)*($B$28/100))*$B31),0))))))</f>
        <v>0.29575000000000001</v>
      </c>
      <c r="H31" s="77">
        <f t="shared" si="5"/>
        <v>0.20085000000000003</v>
      </c>
      <c r="I31" s="77">
        <f t="shared" si="5"/>
        <v>4.0300000000000009E-2</v>
      </c>
      <c r="J31" s="77">
        <f t="shared" si="5"/>
        <v>3.2500000000000003E-3</v>
      </c>
      <c r="K31" s="77">
        <f t="shared" si="5"/>
        <v>8.7100000000000007E-3</v>
      </c>
      <c r="L31" s="77">
        <f t="shared" si="5"/>
        <v>5.0050000000000004E-2</v>
      </c>
      <c r="M31" s="77">
        <f t="shared" si="5"/>
        <v>2.7950000000000003E-2</v>
      </c>
      <c r="N31" s="77">
        <f t="shared" si="5"/>
        <v>1430.0000000000002</v>
      </c>
      <c r="O31" s="77">
        <f t="shared" si="5"/>
        <v>45.760000000000005</v>
      </c>
      <c r="P31" s="77">
        <f t="shared" si="5"/>
        <v>0</v>
      </c>
      <c r="Q31" s="77">
        <f>(IF(Q$27="%w/w SAR",((Q$28*10)*$B31),IF(Q$27="%w/w DM",(((Q$28*10)*($B$28/100))*$B31),IF(Q$27="kg/t SAR",(Q$28*$B31),IF(Q$27="kg/t DM",((Q$28*($B$28/100))*$B31),IF(Q$27="mg/kg SAR",((Q$28*0.001)*$B31),IF(Q$27="mg/kg DM",(((Q$28*0.001)*($B$28/100))*$B31),0)))))))*2.5</f>
        <v>134.87500000000003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7.9300000000000009E-2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195</v>
      </c>
      <c r="C33" s="77">
        <f t="shared" si="6"/>
        <v>62.868000000000002</v>
      </c>
      <c r="D33" s="77">
        <f t="shared" si="7"/>
        <v>20.094590100000001</v>
      </c>
      <c r="E33" s="77">
        <f t="shared" si="8"/>
        <v>2.5353802500000007</v>
      </c>
      <c r="F33" s="77">
        <f t="shared" si="9"/>
        <v>6.0943934999999998</v>
      </c>
      <c r="G33" s="77">
        <f t="shared" si="5"/>
        <v>0.230685</v>
      </c>
      <c r="H33" s="77">
        <f t="shared" si="5"/>
        <v>0.15666300000000002</v>
      </c>
      <c r="I33" s="77">
        <f t="shared" si="5"/>
        <v>3.1434000000000011E-2</v>
      </c>
      <c r="J33" s="77">
        <f t="shared" si="5"/>
        <v>2.5350000000000004E-3</v>
      </c>
      <c r="K33" s="77">
        <f t="shared" si="5"/>
        <v>6.7938000000000009E-3</v>
      </c>
      <c r="L33" s="77">
        <f t="shared" si="5"/>
        <v>3.9039000000000004E-2</v>
      </c>
      <c r="M33" s="77">
        <f t="shared" si="5"/>
        <v>2.1801000000000001E-2</v>
      </c>
      <c r="N33" s="77">
        <f t="shared" si="5"/>
        <v>1115.4000000000001</v>
      </c>
      <c r="O33" s="77">
        <f t="shared" si="5"/>
        <v>35.692799999999998</v>
      </c>
      <c r="P33" s="77">
        <f t="shared" si="5"/>
        <v>0</v>
      </c>
      <c r="Q33" s="77">
        <f t="shared" si="10"/>
        <v>105.20250000000003</v>
      </c>
      <c r="R33" s="77">
        <f t="shared" si="11"/>
        <v>0</v>
      </c>
      <c r="S33" s="77">
        <f t="shared" si="11"/>
        <v>6.1853999999999999E-2</v>
      </c>
      <c r="T33" s="77">
        <f t="shared" si="11"/>
        <v>0</v>
      </c>
      <c r="U33" s="77">
        <f t="shared" si="11"/>
        <v>0</v>
      </c>
      <c r="AB33" s="59"/>
      <c r="AC33" s="59"/>
      <c r="AD33" s="59"/>
      <c r="AE33" s="59"/>
      <c r="AF33" s="59"/>
      <c r="AG33" s="59"/>
      <c r="AH33" s="59"/>
      <c r="AI33" s="59"/>
    </row>
    <row r="34" spans="1:35" s="72" customFormat="1" ht="13" x14ac:dyDescent="0.35">
      <c r="A34" s="13">
        <f>F8</f>
        <v>4</v>
      </c>
      <c r="B34" s="15">
        <v>250</v>
      </c>
      <c r="C34" s="77">
        <f t="shared" si="6"/>
        <v>80.600000000000009</v>
      </c>
      <c r="D34" s="77">
        <f t="shared" si="7"/>
        <v>25.762295000000002</v>
      </c>
      <c r="E34" s="77">
        <f t="shared" si="8"/>
        <v>3.2504875000000011</v>
      </c>
      <c r="F34" s="77">
        <f t="shared" si="9"/>
        <v>7.8133249999999999</v>
      </c>
      <c r="G34" s="77">
        <f t="shared" si="5"/>
        <v>0.29575000000000001</v>
      </c>
      <c r="H34" s="77">
        <f t="shared" si="5"/>
        <v>0.20085000000000003</v>
      </c>
      <c r="I34" s="77">
        <f t="shared" si="5"/>
        <v>4.0300000000000009E-2</v>
      </c>
      <c r="J34" s="77">
        <f t="shared" si="5"/>
        <v>3.2500000000000003E-3</v>
      </c>
      <c r="K34" s="77">
        <f t="shared" si="5"/>
        <v>8.7100000000000007E-3</v>
      </c>
      <c r="L34" s="77">
        <f t="shared" si="5"/>
        <v>5.0050000000000004E-2</v>
      </c>
      <c r="M34" s="77">
        <f t="shared" si="5"/>
        <v>2.7950000000000003E-2</v>
      </c>
      <c r="N34" s="77">
        <f t="shared" si="5"/>
        <v>1430.0000000000002</v>
      </c>
      <c r="O34" s="77">
        <f t="shared" si="5"/>
        <v>45.760000000000005</v>
      </c>
      <c r="P34" s="77">
        <f t="shared" si="5"/>
        <v>0</v>
      </c>
      <c r="Q34" s="77">
        <f t="shared" si="10"/>
        <v>134.87500000000003</v>
      </c>
      <c r="R34" s="77">
        <f t="shared" si="11"/>
        <v>0</v>
      </c>
      <c r="S34" s="77">
        <f t="shared" si="11"/>
        <v>7.9300000000000009E-2</v>
      </c>
      <c r="T34" s="77">
        <f t="shared" si="11"/>
        <v>0</v>
      </c>
      <c r="U34" s="77">
        <f t="shared" si="11"/>
        <v>0</v>
      </c>
      <c r="AB34" s="59"/>
      <c r="AC34" s="59"/>
      <c r="AD34" s="59"/>
      <c r="AE34" s="59"/>
      <c r="AF34" s="59"/>
      <c r="AG34" s="59"/>
      <c r="AH34" s="59"/>
      <c r="AI34" s="59"/>
    </row>
    <row r="35" spans="1:35" s="72" customFormat="1" ht="13" x14ac:dyDescent="0.35">
      <c r="A35" s="13">
        <f>G8</f>
        <v>5</v>
      </c>
      <c r="B35" s="15">
        <v>0</v>
      </c>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195</v>
      </c>
      <c r="C36" s="77">
        <f t="shared" si="6"/>
        <v>62.868000000000002</v>
      </c>
      <c r="D36" s="77">
        <f t="shared" si="7"/>
        <v>20.094590100000001</v>
      </c>
      <c r="E36" s="77">
        <f t="shared" si="8"/>
        <v>2.5353802500000007</v>
      </c>
      <c r="F36" s="77">
        <f t="shared" si="9"/>
        <v>6.0943934999999998</v>
      </c>
      <c r="G36" s="77">
        <f t="shared" si="5"/>
        <v>0.230685</v>
      </c>
      <c r="H36" s="77">
        <f t="shared" si="5"/>
        <v>0.15666300000000002</v>
      </c>
      <c r="I36" s="77">
        <f t="shared" si="5"/>
        <v>3.1434000000000011E-2</v>
      </c>
      <c r="J36" s="77">
        <f t="shared" si="5"/>
        <v>2.5350000000000004E-3</v>
      </c>
      <c r="K36" s="77">
        <f t="shared" si="5"/>
        <v>6.7938000000000009E-3</v>
      </c>
      <c r="L36" s="77">
        <f t="shared" si="5"/>
        <v>3.9039000000000004E-2</v>
      </c>
      <c r="M36" s="77">
        <f t="shared" si="5"/>
        <v>2.1801000000000001E-2</v>
      </c>
      <c r="N36" s="77">
        <f t="shared" si="5"/>
        <v>1115.4000000000001</v>
      </c>
      <c r="O36" s="77">
        <f t="shared" si="5"/>
        <v>35.692799999999998</v>
      </c>
      <c r="P36" s="77">
        <f t="shared" si="5"/>
        <v>0</v>
      </c>
      <c r="Q36" s="77">
        <f t="shared" si="10"/>
        <v>105.20250000000003</v>
      </c>
      <c r="R36" s="77">
        <f t="shared" si="11"/>
        <v>0</v>
      </c>
      <c r="S36" s="77">
        <f t="shared" si="11"/>
        <v>6.1853999999999999E-2</v>
      </c>
      <c r="T36" s="77">
        <f t="shared" si="11"/>
        <v>0</v>
      </c>
      <c r="U36" s="77">
        <f t="shared" si="11"/>
        <v>0</v>
      </c>
      <c r="AB36" s="59"/>
      <c r="AC36" s="59"/>
      <c r="AD36" s="59"/>
      <c r="AE36" s="59"/>
      <c r="AF36" s="59"/>
      <c r="AG36" s="59"/>
      <c r="AH36" s="59"/>
      <c r="AI36" s="59"/>
    </row>
    <row r="37" spans="1:35" s="72" customFormat="1" ht="13" x14ac:dyDescent="0.35">
      <c r="A37" s="13" t="str">
        <f>I8</f>
        <v>A</v>
      </c>
      <c r="B37" s="15">
        <v>0</v>
      </c>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B</v>
      </c>
      <c r="B38" s="15">
        <v>0</v>
      </c>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t="str">
        <f t="shared" si="13"/>
        <v>A</v>
      </c>
      <c r="I57" s="8" t="str">
        <f t="shared" si="13"/>
        <v>B</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Arable</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6.2</v>
      </c>
      <c r="D59" s="76">
        <f>VLOOKUP(E$14,Table245811[],5,FALSE)</f>
        <v>6.2</v>
      </c>
      <c r="E59" s="76">
        <f>VLOOKUP(F$14,Table245811[],5,FALSE)</f>
        <v>6.7</v>
      </c>
      <c r="F59" s="76">
        <f>VLOOKUP(G$14,Table245811[],5,FALSE)</f>
        <v>6.2</v>
      </c>
      <c r="G59" s="76">
        <f>VLOOKUP(H$14,Table245811[],5,FALSE)</f>
        <v>6.2</v>
      </c>
      <c r="H59" s="76">
        <f>VLOOKUP(I$14,Table245811[],5,FALSE)</f>
        <v>6.2</v>
      </c>
      <c r="I59" s="76">
        <f>VLOOKUP(J$14,Table245811[],5,FALSE)</f>
        <v>6.2</v>
      </c>
      <c r="J59" s="76" t="e">
        <f>VLOOKUP(K$14,Table245811[],5,FALSE)</f>
        <v>#N/A</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6.4</v>
      </c>
      <c r="C60" s="76">
        <f t="shared" ref="C60:U60" si="14">D10</f>
        <v>5.8</v>
      </c>
      <c r="D60" s="76">
        <f t="shared" si="14"/>
        <v>6</v>
      </c>
      <c r="E60" s="76">
        <f t="shared" si="14"/>
        <v>6</v>
      </c>
      <c r="F60" s="76">
        <f t="shared" si="14"/>
        <v>5.9</v>
      </c>
      <c r="G60" s="76">
        <f t="shared" si="14"/>
        <v>6.1</v>
      </c>
      <c r="H60" s="76">
        <f t="shared" si="14"/>
        <v>5.8</v>
      </c>
      <c r="I60" s="76">
        <f t="shared" si="14"/>
        <v>5.7</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8</v>
      </c>
      <c r="F61" s="76">
        <f t="shared" si="15"/>
        <v>6</v>
      </c>
      <c r="G61" s="76">
        <f t="shared" si="15"/>
        <v>6</v>
      </c>
      <c r="H61" s="76">
        <f t="shared" si="15"/>
        <v>6</v>
      </c>
      <c r="I61" s="76">
        <f t="shared" si="15"/>
        <v>6</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0</v>
      </c>
      <c r="D62" s="77">
        <f>B33</f>
        <v>195</v>
      </c>
      <c r="E62" s="77">
        <f>B34</f>
        <v>250</v>
      </c>
      <c r="F62" s="77">
        <f>B35</f>
        <v>0</v>
      </c>
      <c r="G62" s="77">
        <f>B36</f>
        <v>195</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-1.2000000000000011</v>
      </c>
      <c r="C64" s="77">
        <f t="shared" ref="C64:U64" si="17">(C59-C60)*C61</f>
        <v>2.4000000000000021</v>
      </c>
      <c r="D64" s="77">
        <f t="shared" si="17"/>
        <v>1.2000000000000011</v>
      </c>
      <c r="E64" s="77">
        <f t="shared" si="17"/>
        <v>5.6000000000000014</v>
      </c>
      <c r="F64" s="77">
        <f t="shared" si="17"/>
        <v>1.7999999999999989</v>
      </c>
      <c r="G64" s="77">
        <f t="shared" si="17"/>
        <v>0.6000000000000032</v>
      </c>
      <c r="H64" s="77">
        <f t="shared" si="17"/>
        <v>2.4000000000000021</v>
      </c>
      <c r="I64" s="77">
        <f t="shared" si="17"/>
        <v>3</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1.2000000000000011</v>
      </c>
      <c r="C65" s="77">
        <f t="shared" ref="C65:U65" si="18">C63-C64</f>
        <v>-2.4000000000000021</v>
      </c>
      <c r="D65" s="77">
        <f t="shared" si="18"/>
        <v>-1.2000000000000011</v>
      </c>
      <c r="E65" s="77">
        <f t="shared" si="18"/>
        <v>-5.6000000000000014</v>
      </c>
      <c r="F65" s="77">
        <f t="shared" si="18"/>
        <v>-1.7999999999999989</v>
      </c>
      <c r="G65" s="77">
        <f t="shared" si="18"/>
        <v>-0.6000000000000032</v>
      </c>
      <c r="H65" s="77">
        <f t="shared" si="18"/>
        <v>-2.4000000000000021</v>
      </c>
      <c r="I65" s="77">
        <f t="shared" si="18"/>
        <v>-3</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A25"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PAN-024177</v>
      </c>
      <c r="D1" s="141"/>
      <c r="E1" s="93" t="s">
        <v>45</v>
      </c>
      <c r="F1" s="39">
        <f>'Field data and Waste 1'!F1</f>
        <v>44.3</v>
      </c>
      <c r="G1" s="120" t="s">
        <v>43</v>
      </c>
      <c r="H1" s="121"/>
      <c r="I1" s="118">
        <v>6.4</v>
      </c>
      <c r="J1" s="119" t="s">
        <v>153</v>
      </c>
      <c r="K1" s="119"/>
      <c r="L1" s="97">
        <v>800</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GP3792SK</v>
      </c>
      <c r="D2" s="143"/>
      <c r="E2" s="93" t="s">
        <v>109</v>
      </c>
      <c r="F2" s="96" t="s">
        <v>167</v>
      </c>
      <c r="G2" s="138" t="s">
        <v>110</v>
      </c>
      <c r="H2" s="139"/>
      <c r="I2" s="118"/>
      <c r="J2" s="119" t="s">
        <v>158</v>
      </c>
      <c r="K2" s="119"/>
      <c r="L2" s="97">
        <v>1.81</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Byproduct Recovery ltd</v>
      </c>
      <c r="D3" s="143"/>
      <c r="E3" s="93" t="s">
        <v>108</v>
      </c>
      <c r="F3" s="31" t="s">
        <v>78</v>
      </c>
      <c r="G3" s="119" t="s">
        <v>159</v>
      </c>
      <c r="H3" s="119"/>
      <c r="I3" s="118"/>
      <c r="J3" s="120" t="s">
        <v>154</v>
      </c>
      <c r="K3" s="121"/>
      <c r="L3" s="97">
        <f>(L1/(L2*10000))*100</f>
        <v>4.4198895027624303</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Plas Bach, Cerrigceinwen, Bodorgan LL62 5NS</v>
      </c>
      <c r="D4" s="141"/>
      <c r="E4" s="94" t="s">
        <v>1</v>
      </c>
      <c r="F4" s="96" t="s">
        <v>172</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 xml:space="preserve">Ethan Banfield </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1</v>
      </c>
      <c r="D8" s="60">
        <f>'Field data and Waste 1'!D8</f>
        <v>2</v>
      </c>
      <c r="E8" s="60">
        <f>'Field data and Waste 1'!E8</f>
        <v>3</v>
      </c>
      <c r="F8" s="60">
        <f>'Field data and Waste 1'!F8</f>
        <v>4</v>
      </c>
      <c r="G8" s="60">
        <f>'Field data and Waste 1'!G8</f>
        <v>5</v>
      </c>
      <c r="H8" s="60">
        <f>'Field data and Waste 1'!H8</f>
        <v>6</v>
      </c>
      <c r="I8" s="60" t="str">
        <f>'Field data and Waste 1'!I8</f>
        <v>A</v>
      </c>
      <c r="J8" s="60" t="str">
        <f>'Field data and Waste 1'!J8</f>
        <v>B</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6.4</v>
      </c>
      <c r="D10" s="60">
        <f>'Field data and Waste 1'!D10</f>
        <v>5.8</v>
      </c>
      <c r="E10" s="60">
        <f>'Field data and Waste 1'!E10</f>
        <v>6</v>
      </c>
      <c r="F10" s="60">
        <f>'Field data and Waste 1'!F10</f>
        <v>6</v>
      </c>
      <c r="G10" s="60">
        <f>'Field data and Waste 1'!G10</f>
        <v>5.9</v>
      </c>
      <c r="H10" s="60">
        <f>'Field data and Waste 1'!H10</f>
        <v>6.1</v>
      </c>
      <c r="I10" s="60">
        <f>'Field data and Waste 1'!I10</f>
        <v>5.8</v>
      </c>
      <c r="J10" s="60">
        <f>'Field data and Waste 1'!J10</f>
        <v>5.7</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3</v>
      </c>
      <c r="F11" s="60">
        <f>'Field data and Waste 1'!F11</f>
        <v>1</v>
      </c>
      <c r="G11" s="60">
        <f>'Field data and Waste 1'!G11</f>
        <v>0</v>
      </c>
      <c r="H11" s="60">
        <f>'Field data and Waste 1'!H11</f>
        <v>3</v>
      </c>
      <c r="I11" s="60">
        <f>'Field data and Waste 1'!I11</f>
        <v>2</v>
      </c>
      <c r="J11" s="60">
        <f>'Field data and Waste 1'!J11</f>
        <v>2</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3</v>
      </c>
      <c r="D12" s="60">
        <f>'Field data and Waste 1'!D12</f>
        <v>4</v>
      </c>
      <c r="E12" s="60">
        <f>'Field data and Waste 1'!E12</f>
        <v>4</v>
      </c>
      <c r="F12" s="60">
        <f>'Field data and Waste 1'!F12</f>
        <v>1</v>
      </c>
      <c r="G12" s="60">
        <f>'Field data and Waste 1'!G12</f>
        <v>1</v>
      </c>
      <c r="H12" s="60">
        <f>'Field data and Waste 1'!H12</f>
        <v>2</v>
      </c>
      <c r="I12" s="60">
        <f>'Field data and Waste 1'!I12</f>
        <v>2</v>
      </c>
      <c r="J12" s="60">
        <f>'Field data and Waste 1'!J12</f>
        <v>2</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4</v>
      </c>
      <c r="D13" s="60">
        <f>'Field data and Waste 1'!D13</f>
        <v>3</v>
      </c>
      <c r="E13" s="60">
        <f>'Field data and Waste 1'!E13</f>
        <v>3</v>
      </c>
      <c r="F13" s="60">
        <f>'Field data and Waste 1'!F13</f>
        <v>3</v>
      </c>
      <c r="G13" s="60">
        <f>'Field data and Waste 1'!G13</f>
        <v>3</v>
      </c>
      <c r="H13" s="60">
        <f>'Field data and Waste 1'!H13</f>
        <v>3</v>
      </c>
      <c r="I13" s="60">
        <f>'Field data and Waste 1'!I13</f>
        <v>3</v>
      </c>
      <c r="J13" s="60">
        <f>'Field data and Waste 1'!J13</f>
        <v>3</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Spring wheat/barley</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5.5</v>
      </c>
      <c r="G15" s="60">
        <f>'Field data and Waste 1'!G15</f>
        <v>38</v>
      </c>
      <c r="H15" s="60">
        <f>'Field data and Waste 1'!H15</f>
        <v>38</v>
      </c>
      <c r="I15" s="60">
        <f>'Field data and Waste 1'!I15</f>
        <v>38</v>
      </c>
      <c r="J15" s="60">
        <f>'Field data and Waste 1'!J15</f>
        <v>38</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46.75</v>
      </c>
      <c r="G17" s="28">
        <f t="shared" si="0"/>
        <v>64.599999999999994</v>
      </c>
      <c r="H17" s="28">
        <f t="shared" si="0"/>
        <v>64.599999999999994</v>
      </c>
      <c r="I17" s="28">
        <f t="shared" si="0"/>
        <v>64.599999999999994</v>
      </c>
      <c r="J17" s="28">
        <f t="shared" si="0"/>
        <v>64.599999999999994</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31.123234999999998</v>
      </c>
      <c r="D18" s="16">
        <f>$D32</f>
        <v>0</v>
      </c>
      <c r="E18" s="16">
        <f>$D33</f>
        <v>19.918870399999999</v>
      </c>
      <c r="F18" s="16">
        <f>$D34</f>
        <v>19.918870399999999</v>
      </c>
      <c r="G18" s="16">
        <f>$D35</f>
        <v>0</v>
      </c>
      <c r="H18" s="16">
        <f>$D36</f>
        <v>19.918870399999999</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-33.476765</v>
      </c>
      <c r="D19" s="16">
        <f t="shared" ref="D19:V19" si="1">D18-D17</f>
        <v>-64.599999999999994</v>
      </c>
      <c r="E19" s="16">
        <f t="shared" si="1"/>
        <v>-44.681129599999991</v>
      </c>
      <c r="F19" s="16">
        <f t="shared" si="1"/>
        <v>-26.831129600000001</v>
      </c>
      <c r="G19" s="16">
        <f t="shared" si="1"/>
        <v>-64.599999999999994</v>
      </c>
      <c r="H19" s="16">
        <f t="shared" si="1"/>
        <v>-44.681129599999991</v>
      </c>
      <c r="I19" s="16">
        <f t="shared" si="1"/>
        <v>-64.599999999999994</v>
      </c>
      <c r="J19" s="16">
        <f t="shared" si="1"/>
        <v>-64.599999999999994</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66</v>
      </c>
      <c r="G21" s="28">
        <f t="shared" si="2"/>
        <v>228</v>
      </c>
      <c r="H21" s="28">
        <f t="shared" si="2"/>
        <v>228</v>
      </c>
      <c r="I21" s="28">
        <f t="shared" si="2"/>
        <v>228</v>
      </c>
      <c r="J21" s="28">
        <f t="shared" si="2"/>
        <v>228</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4.0524149999999999</v>
      </c>
      <c r="D22" s="16">
        <f>$E32</f>
        <v>0</v>
      </c>
      <c r="E22" s="16">
        <f>$E33</f>
        <v>2.5935455999999997</v>
      </c>
      <c r="F22" s="16">
        <f>$E34</f>
        <v>2.5935455999999997</v>
      </c>
      <c r="G22" s="16">
        <f>$E35</f>
        <v>0</v>
      </c>
      <c r="H22" s="16">
        <f>$E36</f>
        <v>2.5935455999999997</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-223.947585</v>
      </c>
      <c r="D23" s="16">
        <f t="shared" ref="D23:V23" si="3">D22-D21</f>
        <v>-228</v>
      </c>
      <c r="E23" s="16">
        <f t="shared" si="3"/>
        <v>-225.4064544</v>
      </c>
      <c r="F23" s="16">
        <f t="shared" si="3"/>
        <v>-63.406454400000001</v>
      </c>
      <c r="G23" s="16">
        <f t="shared" si="3"/>
        <v>-228</v>
      </c>
      <c r="H23" s="16">
        <f t="shared" si="3"/>
        <v>-225.4064544</v>
      </c>
      <c r="I23" s="16">
        <f t="shared" si="3"/>
        <v>-228</v>
      </c>
      <c r="J23" s="16">
        <f t="shared" si="3"/>
        <v>-228</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3.8</v>
      </c>
      <c r="C28" s="15">
        <v>1.81</v>
      </c>
      <c r="D28" s="15">
        <v>0.14299999999999999</v>
      </c>
      <c r="E28" s="15">
        <v>3.5400000000000001E-2</v>
      </c>
      <c r="F28" s="15">
        <v>1160</v>
      </c>
      <c r="G28" s="15">
        <v>47.8</v>
      </c>
      <c r="H28" s="15">
        <v>120</v>
      </c>
      <c r="I28" s="15">
        <v>6.2</v>
      </c>
      <c r="J28" s="15">
        <v>0.93</v>
      </c>
      <c r="K28" s="23">
        <v>2.29</v>
      </c>
      <c r="L28" s="15">
        <v>25.3</v>
      </c>
      <c r="M28" s="15">
        <v>4.3</v>
      </c>
      <c r="N28" s="15">
        <v>208000</v>
      </c>
      <c r="O28" s="15">
        <v>4180</v>
      </c>
      <c r="P28" s="15"/>
      <c r="Q28" s="15">
        <v>14300</v>
      </c>
      <c r="R28" s="15"/>
      <c r="S28" s="15">
        <v>17.2</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250</v>
      </c>
      <c r="C31" s="77">
        <f>IF(C$27="%w/w SAR",((C$28*10)*$B31),IF(C$27="%w/w DM",(((C$28*10)*($B$28/100))*$B31),IF(C$27="kg/t SAR",(C$28*$B31),IF(C$27="kg/t DM",((C$28*($B$28/100))*$B31),IF(C$27="mg/kg SAR",((C$28*0.001)*$B31),IF(C$27="mg/kg DM",(((C$28*0.001)*($B$28/100))*$B31),0))))))</f>
        <v>171.95000000000002</v>
      </c>
      <c r="D31" s="77">
        <f>(IF(D$27="%w/w SAR",((D$28*10)*$B31),IF(D$27="%w/w DM",(((D$28*10)*($B$28/100))*$B31),IF(D$27="kg/t SAR",(D$28*$B31),IF(D$27="kg/t DM",((D$28*($B$28/100))*$B31),IF(D$27="mg/kg SAR",((D$28*0.001)*$B31),IF(D$27="mg/kg DM",(((D$28*0.001)*($B$28/100))*$B31),"0")))))))*2.291</f>
        <v>31.123234999999998</v>
      </c>
      <c r="E31" s="77">
        <f>(IF(E$27="%w/w SAR",((E$28*10)*$B31),IF(E$27="%w/w DM",(((E$28*10)*($B$28/100))*$B31),IF(E$27="kg/t SAR",(E$28*$B31),IF(E$27="kg/t DM",((E$28*($B$28/100))*$B31),IF(E$27="mg/kg SAR",((E$28*0.001)*$B31),IF(E$27="mg/kg DM",(((E$28*0.001)*($B$28/100))*$B31),"0")))))))*1.205</f>
        <v>4.0524149999999999</v>
      </c>
      <c r="F31" s="77">
        <f>(IF(F$27="%w/w SAR",((F$28*10)*$B31),IF(F$27="%w/w DM",(((F$28*10)*($B$28/100))*$B31),IF(F$27="kg/t SAR",(F$28*$B31),IF(F$27="kg/t DM",((F$28*($B$28/100))*$B31),IF(F$27="mg/kg SAR",((F$28*0.001)*$B31),IF(F$27="mg/kg DM",(((F$28*0.001)*($B$28/100))*$B31),"0")))))))*1.658</f>
        <v>18.271159999999995</v>
      </c>
      <c r="G31" s="77">
        <f t="shared" ref="G31:P46" si="5">IF(G$27="%w/w SAR",((G$28*10)*$B31),IF(G$27="%w/w DM",(((G$28*10)*($B$28/100))*$B31),IF(G$27="kg/t SAR",(G$28*$B31),IF(G$27="kg/t DM",((G$28*($B$28/100))*$B31),IF(G$27="mg/kg SAR",((G$28*0.001)*$B31),IF(G$27="mg/kg DM",(((G$28*0.001)*($B$28/100))*$B31),0))))))</f>
        <v>0.45409999999999995</v>
      </c>
      <c r="H31" s="77">
        <f t="shared" si="5"/>
        <v>1.1399999999999999</v>
      </c>
      <c r="I31" s="77">
        <f t="shared" si="5"/>
        <v>5.8900000000000001E-2</v>
      </c>
      <c r="J31" s="77">
        <f t="shared" si="5"/>
        <v>8.8350000000000008E-3</v>
      </c>
      <c r="K31" s="77">
        <f t="shared" si="5"/>
        <v>2.1754999999999997E-2</v>
      </c>
      <c r="L31" s="77">
        <f t="shared" si="5"/>
        <v>0.24034999999999998</v>
      </c>
      <c r="M31" s="77">
        <f t="shared" si="5"/>
        <v>4.0849999999999997E-2</v>
      </c>
      <c r="N31" s="77">
        <f t="shared" si="5"/>
        <v>1976</v>
      </c>
      <c r="O31" s="77">
        <f t="shared" si="5"/>
        <v>39.709999999999994</v>
      </c>
      <c r="P31" s="77">
        <f t="shared" si="5"/>
        <v>0</v>
      </c>
      <c r="Q31" s="77">
        <f>(IF(Q$27="%w/w SAR",((Q$28*10)*$B31),IF(Q$27="%w/w DM",(((Q$28*10)*($B$28/100))*$B31),IF(Q$27="kg/t SAR",(Q$28*$B31),IF(Q$27="kg/t DM",((Q$28*($B$28/100))*$B31),IF(Q$27="mg/kg SAR",((Q$28*0.001)*$B31),IF(Q$27="mg/kg DM",(((Q$28*0.001)*($B$28/100))*$B31),0)))))))*2.5</f>
        <v>339.625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0.16339999999999999</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160</v>
      </c>
      <c r="C33" s="77">
        <f t="shared" si="6"/>
        <v>110.04800000000002</v>
      </c>
      <c r="D33" s="77">
        <f t="shared" si="7"/>
        <v>19.918870399999999</v>
      </c>
      <c r="E33" s="77">
        <f t="shared" si="8"/>
        <v>2.5935455999999997</v>
      </c>
      <c r="F33" s="77">
        <f t="shared" si="9"/>
        <v>11.693542399999998</v>
      </c>
      <c r="G33" s="77">
        <f t="shared" si="5"/>
        <v>0.29062399999999994</v>
      </c>
      <c r="H33" s="77">
        <f t="shared" si="5"/>
        <v>0.72960000000000003</v>
      </c>
      <c r="I33" s="77">
        <f t="shared" si="5"/>
        <v>3.7696E-2</v>
      </c>
      <c r="J33" s="77">
        <f t="shared" si="5"/>
        <v>5.6544000000000004E-3</v>
      </c>
      <c r="K33" s="77">
        <f t="shared" si="5"/>
        <v>1.3923199999999998E-2</v>
      </c>
      <c r="L33" s="77">
        <f t="shared" si="5"/>
        <v>0.15382399999999999</v>
      </c>
      <c r="M33" s="77">
        <f t="shared" si="5"/>
        <v>2.6143999999999997E-2</v>
      </c>
      <c r="N33" s="77">
        <f t="shared" si="5"/>
        <v>1264.6399999999999</v>
      </c>
      <c r="O33" s="77">
        <f t="shared" si="5"/>
        <v>25.414399999999997</v>
      </c>
      <c r="P33" s="77">
        <f t="shared" si="5"/>
        <v>0</v>
      </c>
      <c r="Q33" s="77">
        <f t="shared" si="10"/>
        <v>217.36</v>
      </c>
      <c r="R33" s="77">
        <f t="shared" si="11"/>
        <v>0</v>
      </c>
      <c r="S33" s="77">
        <f t="shared" si="11"/>
        <v>0.10457599999999999</v>
      </c>
      <c r="T33" s="77">
        <f t="shared" si="11"/>
        <v>0</v>
      </c>
      <c r="U33" s="77">
        <f t="shared" si="11"/>
        <v>0</v>
      </c>
      <c r="AB33" s="59"/>
      <c r="AC33" s="59"/>
      <c r="AD33" s="59"/>
      <c r="AE33" s="59"/>
      <c r="AF33" s="59"/>
      <c r="AG33" s="59"/>
      <c r="AH33" s="59"/>
      <c r="AI33" s="59"/>
    </row>
    <row r="34" spans="1:35" s="72" customFormat="1" ht="13" x14ac:dyDescent="0.35">
      <c r="A34" s="13">
        <f>F8</f>
        <v>4</v>
      </c>
      <c r="B34" s="15">
        <v>160</v>
      </c>
      <c r="C34" s="77">
        <f t="shared" si="6"/>
        <v>110.04800000000002</v>
      </c>
      <c r="D34" s="77">
        <f t="shared" si="7"/>
        <v>19.918870399999999</v>
      </c>
      <c r="E34" s="77">
        <f t="shared" si="8"/>
        <v>2.5935455999999997</v>
      </c>
      <c r="F34" s="77">
        <f t="shared" si="9"/>
        <v>11.693542399999998</v>
      </c>
      <c r="G34" s="77">
        <f t="shared" si="5"/>
        <v>0.29062399999999994</v>
      </c>
      <c r="H34" s="77">
        <f t="shared" si="5"/>
        <v>0.72960000000000003</v>
      </c>
      <c r="I34" s="77">
        <f t="shared" si="5"/>
        <v>3.7696E-2</v>
      </c>
      <c r="J34" s="77">
        <f t="shared" si="5"/>
        <v>5.6544000000000004E-3</v>
      </c>
      <c r="K34" s="77">
        <f t="shared" si="5"/>
        <v>1.3923199999999998E-2</v>
      </c>
      <c r="L34" s="77">
        <f t="shared" si="5"/>
        <v>0.15382399999999999</v>
      </c>
      <c r="M34" s="77">
        <f t="shared" si="5"/>
        <v>2.6143999999999997E-2</v>
      </c>
      <c r="N34" s="77">
        <f t="shared" si="5"/>
        <v>1264.6399999999999</v>
      </c>
      <c r="O34" s="77">
        <f t="shared" si="5"/>
        <v>25.414399999999997</v>
      </c>
      <c r="P34" s="77">
        <f t="shared" si="5"/>
        <v>0</v>
      </c>
      <c r="Q34" s="77">
        <f t="shared" si="10"/>
        <v>217.36</v>
      </c>
      <c r="R34" s="77">
        <f t="shared" si="11"/>
        <v>0</v>
      </c>
      <c r="S34" s="77">
        <f t="shared" si="11"/>
        <v>0.10457599999999999</v>
      </c>
      <c r="T34" s="77">
        <f t="shared" si="11"/>
        <v>0</v>
      </c>
      <c r="U34" s="77">
        <f t="shared" si="11"/>
        <v>0</v>
      </c>
      <c r="AB34" s="59"/>
      <c r="AC34" s="59"/>
      <c r="AD34" s="59"/>
      <c r="AE34" s="59"/>
      <c r="AF34" s="59"/>
      <c r="AG34" s="59"/>
      <c r="AH34" s="59"/>
      <c r="AI34" s="59"/>
    </row>
    <row r="35" spans="1:35" s="72" customFormat="1" ht="13" x14ac:dyDescent="0.35">
      <c r="A35" s="13">
        <f>G8</f>
        <v>5</v>
      </c>
      <c r="B35" s="15">
        <v>0</v>
      </c>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160</v>
      </c>
      <c r="C36" s="77">
        <f t="shared" si="6"/>
        <v>110.04800000000002</v>
      </c>
      <c r="D36" s="77">
        <f t="shared" si="7"/>
        <v>19.918870399999999</v>
      </c>
      <c r="E36" s="77">
        <f t="shared" si="8"/>
        <v>2.5935455999999997</v>
      </c>
      <c r="F36" s="77">
        <f t="shared" si="9"/>
        <v>11.693542399999998</v>
      </c>
      <c r="G36" s="77">
        <f t="shared" si="5"/>
        <v>0.29062399999999994</v>
      </c>
      <c r="H36" s="77">
        <f t="shared" si="5"/>
        <v>0.72960000000000003</v>
      </c>
      <c r="I36" s="77">
        <f t="shared" si="5"/>
        <v>3.7696E-2</v>
      </c>
      <c r="J36" s="77">
        <f t="shared" si="5"/>
        <v>5.6544000000000004E-3</v>
      </c>
      <c r="K36" s="77">
        <f t="shared" si="5"/>
        <v>1.3923199999999998E-2</v>
      </c>
      <c r="L36" s="77">
        <f t="shared" si="5"/>
        <v>0.15382399999999999</v>
      </c>
      <c r="M36" s="77">
        <f t="shared" si="5"/>
        <v>2.6143999999999997E-2</v>
      </c>
      <c r="N36" s="77">
        <f t="shared" si="5"/>
        <v>1264.6399999999999</v>
      </c>
      <c r="O36" s="77">
        <f t="shared" si="5"/>
        <v>25.414399999999997</v>
      </c>
      <c r="P36" s="77">
        <f t="shared" si="5"/>
        <v>0</v>
      </c>
      <c r="Q36" s="77">
        <f t="shared" si="10"/>
        <v>217.36</v>
      </c>
      <c r="R36" s="77">
        <f t="shared" si="11"/>
        <v>0</v>
      </c>
      <c r="S36" s="77">
        <f t="shared" si="11"/>
        <v>0.10457599999999999</v>
      </c>
      <c r="T36" s="77">
        <f t="shared" si="11"/>
        <v>0</v>
      </c>
      <c r="U36" s="77">
        <f t="shared" si="11"/>
        <v>0</v>
      </c>
      <c r="AB36" s="59"/>
      <c r="AC36" s="59"/>
      <c r="AD36" s="59"/>
      <c r="AE36" s="59"/>
      <c r="AF36" s="59"/>
      <c r="AG36" s="59"/>
      <c r="AH36" s="59"/>
      <c r="AI36" s="59"/>
    </row>
    <row r="37" spans="1:35" s="72" customFormat="1" ht="13" x14ac:dyDescent="0.35">
      <c r="A37" s="13" t="str">
        <f>I8</f>
        <v>A</v>
      </c>
      <c r="B37" s="15">
        <v>0</v>
      </c>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B</v>
      </c>
      <c r="B38" s="15">
        <v>0</v>
      </c>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t="str">
        <f t="shared" si="13"/>
        <v>A</v>
      </c>
      <c r="I57" s="8" t="str">
        <f t="shared" si="13"/>
        <v>B</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Arable</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6.7</v>
      </c>
      <c r="F59" s="76">
        <f>VLOOKUP(G$14,Table24581112[],5,FALSE)</f>
        <v>6.2</v>
      </c>
      <c r="G59" s="76">
        <f>VLOOKUP(H$14,Table24581112[],5,FALSE)</f>
        <v>6.2</v>
      </c>
      <c r="H59" s="76">
        <f>VLOOKUP(I$14,Table24581112[],5,FALSE)</f>
        <v>6.2</v>
      </c>
      <c r="I59" s="76">
        <f>VLOOKUP(J$14,Table24581112[],5,FALSE)</f>
        <v>6.2</v>
      </c>
      <c r="J59" s="76" t="e">
        <f>VLOOKUP(K$14,Table24581112[],5,FALSE)</f>
        <v>#N/A</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6.4</v>
      </c>
      <c r="C60" s="76">
        <f t="shared" ref="C60:U60" si="14">D10</f>
        <v>5.8</v>
      </c>
      <c r="D60" s="76">
        <f t="shared" si="14"/>
        <v>6</v>
      </c>
      <c r="E60" s="76">
        <f t="shared" si="14"/>
        <v>6</v>
      </c>
      <c r="F60" s="76">
        <f t="shared" si="14"/>
        <v>5.9</v>
      </c>
      <c r="G60" s="76">
        <f t="shared" si="14"/>
        <v>6.1</v>
      </c>
      <c r="H60" s="76">
        <f t="shared" si="14"/>
        <v>5.8</v>
      </c>
      <c r="I60" s="76">
        <f t="shared" si="14"/>
        <v>5.7</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8</v>
      </c>
      <c r="F61" s="76">
        <f t="shared" si="15"/>
        <v>6</v>
      </c>
      <c r="G61" s="76">
        <f t="shared" si="15"/>
        <v>6</v>
      </c>
      <c r="H61" s="76">
        <f t="shared" si="15"/>
        <v>6</v>
      </c>
      <c r="I61" s="76">
        <f t="shared" si="15"/>
        <v>6</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0</v>
      </c>
      <c r="D62" s="77">
        <f>B33</f>
        <v>160</v>
      </c>
      <c r="E62" s="77">
        <f>B34</f>
        <v>160</v>
      </c>
      <c r="F62" s="77">
        <f>B35</f>
        <v>0</v>
      </c>
      <c r="G62" s="77">
        <f>B36</f>
        <v>160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-1.2000000000000011</v>
      </c>
      <c r="C64" s="77">
        <f t="shared" ref="C64:U64" si="17">(C59-C60)*C61</f>
        <v>2.4000000000000021</v>
      </c>
      <c r="D64" s="77">
        <f t="shared" si="17"/>
        <v>1.2000000000000011</v>
      </c>
      <c r="E64" s="77">
        <f t="shared" si="17"/>
        <v>5.6000000000000014</v>
      </c>
      <c r="F64" s="77">
        <f t="shared" si="17"/>
        <v>1.7999999999999989</v>
      </c>
      <c r="G64" s="77">
        <f t="shared" si="17"/>
        <v>0.6000000000000032</v>
      </c>
      <c r="H64" s="77">
        <f t="shared" si="17"/>
        <v>2.4000000000000021</v>
      </c>
      <c r="I64" s="77">
        <f t="shared" si="17"/>
        <v>3</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1.2000000000000011</v>
      </c>
      <c r="C65" s="77">
        <f t="shared" ref="C65:U65" si="18">C63-C64</f>
        <v>-2.4000000000000021</v>
      </c>
      <c r="D65" s="77">
        <f t="shared" si="18"/>
        <v>-1.2000000000000011</v>
      </c>
      <c r="E65" s="77">
        <f t="shared" si="18"/>
        <v>-5.6000000000000014</v>
      </c>
      <c r="F65" s="77">
        <f t="shared" si="18"/>
        <v>-1.7999999999999989</v>
      </c>
      <c r="G65" s="77">
        <f t="shared" si="18"/>
        <v>-0.6000000000000032</v>
      </c>
      <c r="H65" s="77">
        <f t="shared" si="18"/>
        <v>-2.4000000000000021</v>
      </c>
      <c r="I65" s="77">
        <f t="shared" si="18"/>
        <v>-3</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A19"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19" t="s">
        <v>41</v>
      </c>
      <c r="B1" s="119"/>
      <c r="C1" s="140" t="str">
        <f>'Field data and Waste 1'!C1:D1</f>
        <v>PAN-024177</v>
      </c>
      <c r="D1" s="141"/>
      <c r="E1" s="93" t="s">
        <v>45</v>
      </c>
      <c r="F1" s="39">
        <f>'Field data and Waste 1'!F1</f>
        <v>44.3</v>
      </c>
      <c r="G1" s="120" t="s">
        <v>43</v>
      </c>
      <c r="H1" s="121"/>
      <c r="I1" s="118">
        <v>6.8</v>
      </c>
      <c r="J1" s="119" t="s">
        <v>153</v>
      </c>
      <c r="K1" s="119"/>
      <c r="L1" s="97">
        <v>266</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GP3792SK</v>
      </c>
      <c r="D2" s="143"/>
      <c r="E2" s="93" t="s">
        <v>109</v>
      </c>
      <c r="F2" s="96" t="s">
        <v>167</v>
      </c>
      <c r="G2" s="138" t="s">
        <v>110</v>
      </c>
      <c r="H2" s="139"/>
      <c r="I2" s="118"/>
      <c r="J2" s="119" t="s">
        <v>158</v>
      </c>
      <c r="K2" s="119"/>
      <c r="L2" s="97">
        <v>1.44</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Byproduct Recovery ltd</v>
      </c>
      <c r="D3" s="143"/>
      <c r="E3" s="93" t="s">
        <v>108</v>
      </c>
      <c r="F3" s="31" t="s">
        <v>78</v>
      </c>
      <c r="G3" s="119" t="s">
        <v>159</v>
      </c>
      <c r="H3" s="119"/>
      <c r="I3" s="118"/>
      <c r="J3" s="120" t="s">
        <v>154</v>
      </c>
      <c r="K3" s="121"/>
      <c r="L3" s="97">
        <f>(L1/(L2*10000))*100</f>
        <v>1.8472222222222223</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Plas Bach, Cerrigceinwen, Bodorgan LL62 5NS</v>
      </c>
      <c r="D4" s="141"/>
      <c r="E4" s="94" t="s">
        <v>1</v>
      </c>
      <c r="F4" s="96" t="s">
        <v>173</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 xml:space="preserve">Ethan Banfield </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1</v>
      </c>
      <c r="D8" s="60">
        <f>'Field data and Waste 1'!D8</f>
        <v>2</v>
      </c>
      <c r="E8" s="60">
        <f>'Field data and Waste 1'!E8</f>
        <v>3</v>
      </c>
      <c r="F8" s="60">
        <f>'Field data and Waste 1'!F8</f>
        <v>4</v>
      </c>
      <c r="G8" s="60">
        <f>'Field data and Waste 1'!G8</f>
        <v>5</v>
      </c>
      <c r="H8" s="60">
        <f>'Field data and Waste 1'!H8</f>
        <v>6</v>
      </c>
      <c r="I8" s="60" t="str">
        <f>'Field data and Waste 1'!I8</f>
        <v>A</v>
      </c>
      <c r="J8" s="60" t="str">
        <f>'Field data and Waste 1'!J8</f>
        <v>B</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6.4</v>
      </c>
      <c r="D10" s="60">
        <f>'Field data and Waste 1'!D10</f>
        <v>5.8</v>
      </c>
      <c r="E10" s="60">
        <f>'Field data and Waste 1'!E10</f>
        <v>6</v>
      </c>
      <c r="F10" s="60">
        <f>'Field data and Waste 1'!F10</f>
        <v>6</v>
      </c>
      <c r="G10" s="60">
        <f>'Field data and Waste 1'!G10</f>
        <v>5.9</v>
      </c>
      <c r="H10" s="60">
        <f>'Field data and Waste 1'!H10</f>
        <v>6.1</v>
      </c>
      <c r="I10" s="60">
        <f>'Field data and Waste 1'!I10</f>
        <v>5.8</v>
      </c>
      <c r="J10" s="60">
        <f>'Field data and Waste 1'!J10</f>
        <v>5.7</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3</v>
      </c>
      <c r="F11" s="60">
        <f>'Field data and Waste 1'!F11</f>
        <v>1</v>
      </c>
      <c r="G11" s="60">
        <f>'Field data and Waste 1'!G11</f>
        <v>0</v>
      </c>
      <c r="H11" s="60">
        <f>'Field data and Waste 1'!H11</f>
        <v>3</v>
      </c>
      <c r="I11" s="60">
        <f>'Field data and Waste 1'!I11</f>
        <v>2</v>
      </c>
      <c r="J11" s="60">
        <f>'Field data and Waste 1'!J11</f>
        <v>2</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3</v>
      </c>
      <c r="D12" s="60">
        <f>'Field data and Waste 1'!D12</f>
        <v>4</v>
      </c>
      <c r="E12" s="60">
        <f>'Field data and Waste 1'!E12</f>
        <v>4</v>
      </c>
      <c r="F12" s="60">
        <f>'Field data and Waste 1'!F12</f>
        <v>1</v>
      </c>
      <c r="G12" s="60">
        <f>'Field data and Waste 1'!G12</f>
        <v>1</v>
      </c>
      <c r="H12" s="60">
        <f>'Field data and Waste 1'!H12</f>
        <v>2</v>
      </c>
      <c r="I12" s="60">
        <f>'Field data and Waste 1'!I12</f>
        <v>2</v>
      </c>
      <c r="J12" s="60">
        <f>'Field data and Waste 1'!J12</f>
        <v>2</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4</v>
      </c>
      <c r="D13" s="60">
        <f>'Field data and Waste 1'!D13</f>
        <v>3</v>
      </c>
      <c r="E13" s="60">
        <f>'Field data and Waste 1'!E13</f>
        <v>3</v>
      </c>
      <c r="F13" s="60">
        <f>'Field data and Waste 1'!F13</f>
        <v>3</v>
      </c>
      <c r="G13" s="60">
        <f>'Field data and Waste 1'!G13</f>
        <v>3</v>
      </c>
      <c r="H13" s="60">
        <f>'Field data and Waste 1'!H13</f>
        <v>3</v>
      </c>
      <c r="I13" s="60">
        <f>'Field data and Waste 1'!I13</f>
        <v>3</v>
      </c>
      <c r="J13" s="60">
        <f>'Field data and Waste 1'!J13</f>
        <v>3</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Spring wheat/barley</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5.5</v>
      </c>
      <c r="G15" s="60">
        <f>'Field data and Waste 1'!G15</f>
        <v>38</v>
      </c>
      <c r="H15" s="60">
        <f>'Field data and Waste 1'!H15</f>
        <v>38</v>
      </c>
      <c r="I15" s="60">
        <f>'Field data and Waste 1'!I15</f>
        <v>38</v>
      </c>
      <c r="J15" s="60">
        <f>'Field data and Waste 1'!J15</f>
        <v>38</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46.75</v>
      </c>
      <c r="G17" s="28">
        <f t="shared" si="0"/>
        <v>64.599999999999994</v>
      </c>
      <c r="H17" s="28">
        <f t="shared" si="0"/>
        <v>64.599999999999994</v>
      </c>
      <c r="I17" s="28">
        <f t="shared" si="0"/>
        <v>64.599999999999994</v>
      </c>
      <c r="J17" s="28">
        <f t="shared" si="0"/>
        <v>64.599999999999994</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53.517759999999996</v>
      </c>
      <c r="D18" s="16">
        <f>$D32</f>
        <v>0</v>
      </c>
      <c r="E18" s="16">
        <f>$D33</f>
        <v>19.908606719999998</v>
      </c>
      <c r="F18" s="16">
        <f>$D34</f>
        <v>50.306694399999991</v>
      </c>
      <c r="G18" s="16">
        <f>$D35</f>
        <v>0</v>
      </c>
      <c r="H18" s="16">
        <f>$D36</f>
        <v>19.908606719999998</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-11.082239999999999</v>
      </c>
      <c r="D19" s="16">
        <f t="shared" ref="D19:V19" si="1">D18-D17</f>
        <v>-64.599999999999994</v>
      </c>
      <c r="E19" s="16">
        <f t="shared" si="1"/>
        <v>-44.69139328</v>
      </c>
      <c r="F19" s="16">
        <f t="shared" si="1"/>
        <v>3.5566943999999907</v>
      </c>
      <c r="G19" s="16">
        <f t="shared" si="1"/>
        <v>-64.599999999999994</v>
      </c>
      <c r="H19" s="16">
        <f t="shared" si="1"/>
        <v>-44.69139328</v>
      </c>
      <c r="I19" s="16">
        <f t="shared" si="1"/>
        <v>-64.599999999999994</v>
      </c>
      <c r="J19" s="16">
        <f t="shared" si="1"/>
        <v>-64.599999999999994</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INCREASE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66</v>
      </c>
      <c r="G21" s="28">
        <f t="shared" si="2"/>
        <v>228</v>
      </c>
      <c r="H21" s="28">
        <f t="shared" si="2"/>
        <v>228</v>
      </c>
      <c r="I21" s="28">
        <f t="shared" si="2"/>
        <v>228</v>
      </c>
      <c r="J21" s="28">
        <f t="shared" si="2"/>
        <v>228</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3.2294000000000005</v>
      </c>
      <c r="D22" s="16">
        <f>$E32</f>
        <v>0</v>
      </c>
      <c r="E22" s="16">
        <f>$E33</f>
        <v>1.2013368000000002</v>
      </c>
      <c r="F22" s="16">
        <f>$E34</f>
        <v>3.0356360000000002</v>
      </c>
      <c r="G22" s="16">
        <f>$E35</f>
        <v>0</v>
      </c>
      <c r="H22" s="16">
        <f>$E36</f>
        <v>1.2013368000000002</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-224.7706</v>
      </c>
      <c r="D23" s="16">
        <f t="shared" ref="D23:V23" si="3">D22-D21</f>
        <v>-228</v>
      </c>
      <c r="E23" s="16">
        <f t="shared" si="3"/>
        <v>-226.79866319999999</v>
      </c>
      <c r="F23" s="16">
        <f t="shared" si="3"/>
        <v>-62.964364000000003</v>
      </c>
      <c r="G23" s="16">
        <f t="shared" si="3"/>
        <v>-228</v>
      </c>
      <c r="H23" s="16">
        <f t="shared" si="3"/>
        <v>-226.79866319999999</v>
      </c>
      <c r="I23" s="16">
        <f t="shared" si="3"/>
        <v>-228</v>
      </c>
      <c r="J23" s="16">
        <f t="shared" si="3"/>
        <v>-228</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3.2</v>
      </c>
      <c r="C28" s="15">
        <v>1.44</v>
      </c>
      <c r="D28" s="15">
        <v>0.29199999999999998</v>
      </c>
      <c r="E28" s="15">
        <v>3.3500000000000002E-2</v>
      </c>
      <c r="F28" s="15">
        <v>510</v>
      </c>
      <c r="G28" s="15">
        <v>74.099999999999994</v>
      </c>
      <c r="H28" s="15">
        <v>244</v>
      </c>
      <c r="I28" s="15">
        <v>6.2</v>
      </c>
      <c r="J28" s="15">
        <v>0.6</v>
      </c>
      <c r="K28" s="23">
        <v>1.0900000000000001</v>
      </c>
      <c r="L28" s="15">
        <v>14.6</v>
      </c>
      <c r="M28" s="15">
        <v>5</v>
      </c>
      <c r="N28" s="15">
        <v>176000</v>
      </c>
      <c r="O28" s="15">
        <v>6950</v>
      </c>
      <c r="P28" s="15"/>
      <c r="Q28" s="15">
        <v>6190</v>
      </c>
      <c r="R28" s="15"/>
      <c r="S28" s="15">
        <v>23.1</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250</v>
      </c>
      <c r="C31" s="77">
        <f>IF(C$27="%w/w SAR",((C$28*10)*$B31),IF(C$27="%w/w DM",(((C$28*10)*($B$28/100))*$B31),IF(C$27="kg/t SAR",(C$28*$B31),IF(C$27="kg/t DM",((C$28*($B$28/100))*$B31),IF(C$27="mg/kg SAR",((C$28*0.001)*$B31),IF(C$27="mg/kg DM",(((C$28*0.001)*($B$28/100))*$B31),0))))))</f>
        <v>115.2</v>
      </c>
      <c r="D31" s="77">
        <f>(IF(D$27="%w/w SAR",((D$28*10)*$B31),IF(D$27="%w/w DM",(((D$28*10)*($B$28/100))*$B31),IF(D$27="kg/t SAR",(D$28*$B31),IF(D$27="kg/t DM",((D$28*($B$28/100))*$B31),IF(D$27="mg/kg SAR",((D$28*0.001)*$B31),IF(D$27="mg/kg DM",(((D$28*0.001)*($B$28/100))*$B31),"0")))))))*2.291</f>
        <v>53.517759999999996</v>
      </c>
      <c r="E31" s="77">
        <f>(IF(E$27="%w/w SAR",((E$28*10)*$B31),IF(E$27="%w/w DM",(((E$28*10)*($B$28/100))*$B31),IF(E$27="kg/t SAR",(E$28*$B31),IF(E$27="kg/t DM",((E$28*($B$28/100))*$B31),IF(E$27="mg/kg SAR",((E$28*0.001)*$B31),IF(E$27="mg/kg DM",(((E$28*0.001)*($B$28/100))*$B31),"0")))))))*1.205</f>
        <v>3.2294000000000005</v>
      </c>
      <c r="F31" s="77">
        <f>(IF(F$27="%w/w SAR",((F$28*10)*$B31),IF(F$27="%w/w DM",(((F$28*10)*($B$28/100))*$B31),IF(F$27="kg/t SAR",(F$28*$B31),IF(F$27="kg/t DM",((F$28*($B$28/100))*$B31),IF(F$27="mg/kg SAR",((F$28*0.001)*$B31),IF(F$27="mg/kg DM",(((F$28*0.001)*($B$28/100))*$B31),"0")))))))*1.658</f>
        <v>6.76464</v>
      </c>
      <c r="G31" s="77">
        <f t="shared" ref="G31:P46" si="5">IF(G$27="%w/w SAR",((G$28*10)*$B31),IF(G$27="%w/w DM",(((G$28*10)*($B$28/100))*$B31),IF(G$27="kg/t SAR",(G$28*$B31),IF(G$27="kg/t DM",((G$28*($B$28/100))*$B31),IF(G$27="mg/kg SAR",((G$28*0.001)*$B31),IF(G$27="mg/kg DM",(((G$28*0.001)*($B$28/100))*$B31),0))))))</f>
        <v>0.59279999999999999</v>
      </c>
      <c r="H31" s="77">
        <f t="shared" si="5"/>
        <v>1.952</v>
      </c>
      <c r="I31" s="77">
        <f t="shared" si="5"/>
        <v>4.9600000000000005E-2</v>
      </c>
      <c r="J31" s="77">
        <f t="shared" si="5"/>
        <v>4.7999999999999996E-3</v>
      </c>
      <c r="K31" s="77">
        <f t="shared" si="5"/>
        <v>8.7200000000000021E-3</v>
      </c>
      <c r="L31" s="77">
        <f t="shared" si="5"/>
        <v>0.1168</v>
      </c>
      <c r="M31" s="77">
        <f t="shared" si="5"/>
        <v>0.04</v>
      </c>
      <c r="N31" s="77">
        <f t="shared" si="5"/>
        <v>1408</v>
      </c>
      <c r="O31" s="77">
        <f t="shared" si="5"/>
        <v>55.6</v>
      </c>
      <c r="P31" s="77">
        <f t="shared" si="5"/>
        <v>0</v>
      </c>
      <c r="Q31" s="77">
        <f>(IF(Q$27="%w/w SAR",((Q$28*10)*$B31),IF(Q$27="%w/w DM",(((Q$28*10)*($B$28/100))*$B31),IF(Q$27="kg/t SAR",(Q$28*$B31),IF(Q$27="kg/t DM",((Q$28*($B$28/100))*$B31),IF(Q$27="mg/kg SAR",((Q$28*0.001)*$B31),IF(Q$27="mg/kg DM",(((Q$28*0.001)*($B$28/100))*$B31),0)))))))*2.5</f>
        <v>123.80000000000001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0.18480000000000002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93</v>
      </c>
      <c r="C33" s="77">
        <f t="shared" si="6"/>
        <v>42.854399999999998</v>
      </c>
      <c r="D33" s="77">
        <f t="shared" si="7"/>
        <v>19.908606719999998</v>
      </c>
      <c r="E33" s="77">
        <f t="shared" si="8"/>
        <v>1.2013368000000002</v>
      </c>
      <c r="F33" s="77">
        <f t="shared" si="9"/>
        <v>2.5164460799999997</v>
      </c>
      <c r="G33" s="77">
        <f t="shared" si="5"/>
        <v>0.22052159999999998</v>
      </c>
      <c r="H33" s="77">
        <f t="shared" si="5"/>
        <v>0.72614400000000001</v>
      </c>
      <c r="I33" s="77">
        <f t="shared" si="5"/>
        <v>1.8451200000000001E-2</v>
      </c>
      <c r="J33" s="77">
        <f t="shared" si="5"/>
        <v>1.7855999999999998E-3</v>
      </c>
      <c r="K33" s="77">
        <f t="shared" si="5"/>
        <v>3.2438400000000004E-3</v>
      </c>
      <c r="L33" s="77">
        <f t="shared" si="5"/>
        <v>4.3449600000000005E-2</v>
      </c>
      <c r="M33" s="77">
        <f t="shared" si="5"/>
        <v>1.4880000000000001E-2</v>
      </c>
      <c r="N33" s="77">
        <f t="shared" si="5"/>
        <v>523.77599999999995</v>
      </c>
      <c r="O33" s="77">
        <f t="shared" si="5"/>
        <v>20.683200000000003</v>
      </c>
      <c r="P33" s="77">
        <f t="shared" si="5"/>
        <v>0</v>
      </c>
      <c r="Q33" s="77">
        <f t="shared" si="10"/>
        <v>46.053600000000003</v>
      </c>
      <c r="R33" s="77">
        <f t="shared" si="11"/>
        <v>0</v>
      </c>
      <c r="S33" s="77">
        <f t="shared" si="11"/>
        <v>6.8745600000000004E-2</v>
      </c>
      <c r="T33" s="77">
        <f t="shared" si="11"/>
        <v>0</v>
      </c>
      <c r="U33" s="77">
        <f t="shared" si="11"/>
        <v>0</v>
      </c>
      <c r="AB33" s="59"/>
      <c r="AC33" s="59"/>
      <c r="AD33" s="59"/>
      <c r="AE33" s="59"/>
      <c r="AF33" s="59"/>
      <c r="AG33" s="59"/>
      <c r="AH33" s="59"/>
      <c r="AI33" s="59"/>
    </row>
    <row r="34" spans="1:35" s="72" customFormat="1" ht="13" x14ac:dyDescent="0.35">
      <c r="A34" s="13">
        <f>F8</f>
        <v>4</v>
      </c>
      <c r="B34" s="15">
        <v>235</v>
      </c>
      <c r="C34" s="77">
        <f t="shared" si="6"/>
        <v>108.288</v>
      </c>
      <c r="D34" s="77">
        <f t="shared" si="7"/>
        <v>50.306694399999991</v>
      </c>
      <c r="E34" s="77">
        <f t="shared" si="8"/>
        <v>3.0356360000000002</v>
      </c>
      <c r="F34" s="77">
        <f t="shared" si="9"/>
        <v>6.3587616000000002</v>
      </c>
      <c r="G34" s="77">
        <f t="shared" si="5"/>
        <v>0.55723199999999995</v>
      </c>
      <c r="H34" s="77">
        <f t="shared" si="5"/>
        <v>1.8348800000000001</v>
      </c>
      <c r="I34" s="77">
        <f t="shared" si="5"/>
        <v>4.6624000000000006E-2</v>
      </c>
      <c r="J34" s="77">
        <f t="shared" si="5"/>
        <v>4.5119999999999995E-3</v>
      </c>
      <c r="K34" s="77">
        <f t="shared" si="5"/>
        <v>8.1968000000000006E-3</v>
      </c>
      <c r="L34" s="77">
        <f t="shared" si="5"/>
        <v>0.109792</v>
      </c>
      <c r="M34" s="77">
        <f t="shared" si="5"/>
        <v>3.7600000000000001E-2</v>
      </c>
      <c r="N34" s="77">
        <f t="shared" si="5"/>
        <v>1323.52</v>
      </c>
      <c r="O34" s="77">
        <f t="shared" si="5"/>
        <v>52.264000000000003</v>
      </c>
      <c r="P34" s="77">
        <f t="shared" si="5"/>
        <v>0</v>
      </c>
      <c r="Q34" s="77">
        <f t="shared" si="10"/>
        <v>116.372</v>
      </c>
      <c r="R34" s="77">
        <f t="shared" si="11"/>
        <v>0</v>
      </c>
      <c r="S34" s="77">
        <f t="shared" si="11"/>
        <v>0.17371200000000001</v>
      </c>
      <c r="T34" s="77">
        <f t="shared" si="11"/>
        <v>0</v>
      </c>
      <c r="U34" s="77">
        <f t="shared" si="11"/>
        <v>0</v>
      </c>
      <c r="AB34" s="59"/>
      <c r="AC34" s="59"/>
      <c r="AD34" s="59"/>
      <c r="AE34" s="59"/>
      <c r="AF34" s="59"/>
      <c r="AG34" s="59"/>
      <c r="AH34" s="59"/>
      <c r="AI34" s="59"/>
    </row>
    <row r="35" spans="1:35" s="72" customFormat="1" ht="13" x14ac:dyDescent="0.35">
      <c r="A35" s="13">
        <f>G8</f>
        <v>5</v>
      </c>
      <c r="B35" s="15">
        <v>0</v>
      </c>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93</v>
      </c>
      <c r="C36" s="77">
        <f t="shared" si="6"/>
        <v>42.854399999999998</v>
      </c>
      <c r="D36" s="77">
        <f t="shared" si="7"/>
        <v>19.908606719999998</v>
      </c>
      <c r="E36" s="77">
        <f t="shared" si="8"/>
        <v>1.2013368000000002</v>
      </c>
      <c r="F36" s="77">
        <f t="shared" si="9"/>
        <v>2.5164460799999997</v>
      </c>
      <c r="G36" s="77">
        <f t="shared" si="5"/>
        <v>0.22052159999999998</v>
      </c>
      <c r="H36" s="77">
        <f t="shared" si="5"/>
        <v>0.72614400000000001</v>
      </c>
      <c r="I36" s="77">
        <f t="shared" si="5"/>
        <v>1.8451200000000001E-2</v>
      </c>
      <c r="J36" s="77">
        <f t="shared" si="5"/>
        <v>1.7855999999999998E-3</v>
      </c>
      <c r="K36" s="77">
        <f t="shared" si="5"/>
        <v>3.2438400000000004E-3</v>
      </c>
      <c r="L36" s="77">
        <f t="shared" si="5"/>
        <v>4.3449600000000005E-2</v>
      </c>
      <c r="M36" s="77">
        <f t="shared" si="5"/>
        <v>1.4880000000000001E-2</v>
      </c>
      <c r="N36" s="77">
        <f t="shared" si="5"/>
        <v>523.77599999999995</v>
      </c>
      <c r="O36" s="77">
        <f t="shared" si="5"/>
        <v>20.683200000000003</v>
      </c>
      <c r="P36" s="77">
        <f t="shared" si="5"/>
        <v>0</v>
      </c>
      <c r="Q36" s="77">
        <f t="shared" si="10"/>
        <v>46.053600000000003</v>
      </c>
      <c r="R36" s="77">
        <f t="shared" si="11"/>
        <v>0</v>
      </c>
      <c r="S36" s="77">
        <f t="shared" si="11"/>
        <v>6.8745600000000004E-2</v>
      </c>
      <c r="T36" s="77">
        <f t="shared" si="11"/>
        <v>0</v>
      </c>
      <c r="U36" s="77">
        <f t="shared" si="11"/>
        <v>0</v>
      </c>
      <c r="AB36" s="59"/>
      <c r="AC36" s="59"/>
      <c r="AD36" s="59"/>
      <c r="AE36" s="59"/>
      <c r="AF36" s="59"/>
      <c r="AG36" s="59"/>
      <c r="AH36" s="59"/>
      <c r="AI36" s="59"/>
    </row>
    <row r="37" spans="1:35" s="72" customFormat="1" ht="13" x14ac:dyDescent="0.35">
      <c r="A37" s="13" t="str">
        <f>I8</f>
        <v>A</v>
      </c>
      <c r="B37" s="15">
        <v>0</v>
      </c>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B</v>
      </c>
      <c r="B38" s="15">
        <v>0</v>
      </c>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t="str">
        <f t="shared" si="13"/>
        <v>A</v>
      </c>
      <c r="I57" s="8" t="str">
        <f t="shared" si="13"/>
        <v>B</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Arable</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e">
        <f>K16&amp;" I "&amp;(VLOOKUP(K14,Table24581114[],6,FALSE))</f>
        <v>#N/A</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6.7</v>
      </c>
      <c r="F59" s="76">
        <f>VLOOKUP(G$14,Table24581114[],5,FALSE)</f>
        <v>6.2</v>
      </c>
      <c r="G59" s="76">
        <f>VLOOKUP(H$14,Table24581114[],5,FALSE)</f>
        <v>6.2</v>
      </c>
      <c r="H59" s="76">
        <f>VLOOKUP(I$14,Table24581114[],5,FALSE)</f>
        <v>6.2</v>
      </c>
      <c r="I59" s="76">
        <f>VLOOKUP(J$14,Table24581114[],5,FALSE)</f>
        <v>6.2</v>
      </c>
      <c r="J59" s="76" t="e">
        <f>VLOOKUP(K$14,Table24581114[],5,FALSE)</f>
        <v>#N/A</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6.4</v>
      </c>
      <c r="C60" s="76">
        <f t="shared" ref="C60:U60" si="14">D10</f>
        <v>5.8</v>
      </c>
      <c r="D60" s="76">
        <f t="shared" si="14"/>
        <v>6</v>
      </c>
      <c r="E60" s="76">
        <f t="shared" si="14"/>
        <v>6</v>
      </c>
      <c r="F60" s="76">
        <f t="shared" si="14"/>
        <v>5.9</v>
      </c>
      <c r="G60" s="76">
        <f t="shared" si="14"/>
        <v>6.1</v>
      </c>
      <c r="H60" s="76">
        <f t="shared" si="14"/>
        <v>5.8</v>
      </c>
      <c r="I60" s="76">
        <f t="shared" si="14"/>
        <v>5.7</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8</v>
      </c>
      <c r="F61" s="76">
        <f t="shared" si="15"/>
        <v>6</v>
      </c>
      <c r="G61" s="76">
        <f t="shared" si="15"/>
        <v>6</v>
      </c>
      <c r="H61" s="76">
        <f t="shared" si="15"/>
        <v>6</v>
      </c>
      <c r="I61" s="76">
        <f t="shared" si="15"/>
        <v>6</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0</v>
      </c>
      <c r="D62" s="77">
        <f>B33</f>
        <v>93</v>
      </c>
      <c r="E62" s="77">
        <f>B34</f>
        <v>235</v>
      </c>
      <c r="F62" s="77">
        <f>B35</f>
        <v>0</v>
      </c>
      <c r="G62" s="77">
        <f>B36</f>
        <v>93</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-1.2000000000000011</v>
      </c>
      <c r="C64" s="77">
        <f t="shared" ref="C64:U64" si="17">(C59-C60)*C61</f>
        <v>2.4000000000000021</v>
      </c>
      <c r="D64" s="77">
        <f t="shared" si="17"/>
        <v>1.2000000000000011</v>
      </c>
      <c r="E64" s="77">
        <f t="shared" si="17"/>
        <v>5.6000000000000014</v>
      </c>
      <c r="F64" s="77">
        <f t="shared" si="17"/>
        <v>1.7999999999999989</v>
      </c>
      <c r="G64" s="77">
        <f t="shared" si="17"/>
        <v>0.6000000000000032</v>
      </c>
      <c r="H64" s="77">
        <f t="shared" si="17"/>
        <v>2.4000000000000021</v>
      </c>
      <c r="I64" s="77">
        <f t="shared" si="17"/>
        <v>3</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1.2000000000000011</v>
      </c>
      <c r="C65" s="77">
        <f t="shared" ref="C65:U65" si="18">C63-C64</f>
        <v>-2.4000000000000021</v>
      </c>
      <c r="D65" s="77">
        <f t="shared" si="18"/>
        <v>-1.2000000000000011</v>
      </c>
      <c r="E65" s="77">
        <f t="shared" si="18"/>
        <v>-5.6000000000000014</v>
      </c>
      <c r="F65" s="77">
        <f t="shared" si="18"/>
        <v>-1.7999999999999989</v>
      </c>
      <c r="G65" s="77">
        <f t="shared" si="18"/>
        <v>-0.6000000000000032</v>
      </c>
      <c r="H65" s="77">
        <f t="shared" si="18"/>
        <v>-2.4000000000000021</v>
      </c>
      <c r="I65" s="77">
        <f t="shared" si="18"/>
        <v>-3</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opLeftCell="A16"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PAN-024177</v>
      </c>
      <c r="D1" s="141"/>
      <c r="E1" s="93" t="s">
        <v>45</v>
      </c>
      <c r="F1" s="39">
        <f>'Field data and Waste 1'!F1</f>
        <v>44.3</v>
      </c>
      <c r="G1" s="120" t="s">
        <v>43</v>
      </c>
      <c r="H1" s="121"/>
      <c r="I1" s="118">
        <v>7.3</v>
      </c>
      <c r="J1" s="119" t="s">
        <v>153</v>
      </c>
      <c r="K1" s="119"/>
      <c r="L1" s="97">
        <v>238</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GP3792SK</v>
      </c>
      <c r="D2" s="143"/>
      <c r="E2" s="93" t="s">
        <v>109</v>
      </c>
      <c r="F2" s="96" t="s">
        <v>167</v>
      </c>
      <c r="G2" s="138" t="s">
        <v>110</v>
      </c>
      <c r="H2" s="139"/>
      <c r="I2" s="118"/>
      <c r="J2" s="119" t="s">
        <v>158</v>
      </c>
      <c r="K2" s="119"/>
      <c r="L2" s="97">
        <v>1.0900000000000001</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Byproduct Recovery ltd</v>
      </c>
      <c r="D3" s="143"/>
      <c r="E3" s="93" t="s">
        <v>108</v>
      </c>
      <c r="F3" s="31" t="s">
        <v>78</v>
      </c>
      <c r="G3" s="119" t="s">
        <v>159</v>
      </c>
      <c r="H3" s="119"/>
      <c r="I3" s="118"/>
      <c r="J3" s="120" t="s">
        <v>154</v>
      </c>
      <c r="K3" s="121"/>
      <c r="L3" s="97">
        <f>(L1/(L2*10000))*100</f>
        <v>2.1834862385321103</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Plas Bach, Cerrigceinwen, Bodorgan LL62 5NS</v>
      </c>
      <c r="D4" s="141"/>
      <c r="E4" s="94" t="s">
        <v>1</v>
      </c>
      <c r="F4" s="96" t="s">
        <v>174</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 xml:space="preserve">Ethan Banfield </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1</v>
      </c>
      <c r="D8" s="60">
        <f>'Field data and Waste 1'!D8</f>
        <v>2</v>
      </c>
      <c r="E8" s="60">
        <f>'Field data and Waste 1'!E8</f>
        <v>3</v>
      </c>
      <c r="F8" s="60">
        <f>'Field data and Waste 1'!F8</f>
        <v>4</v>
      </c>
      <c r="G8" s="60">
        <f>'Field data and Waste 1'!G8</f>
        <v>5</v>
      </c>
      <c r="H8" s="60">
        <f>'Field data and Waste 1'!H8</f>
        <v>6</v>
      </c>
      <c r="I8" s="60" t="str">
        <f>'Field data and Waste 1'!I8</f>
        <v>A</v>
      </c>
      <c r="J8" s="60" t="str">
        <f>'Field data and Waste 1'!J8</f>
        <v>B</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6.4</v>
      </c>
      <c r="D10" s="60">
        <f>'Field data and Waste 1'!D10</f>
        <v>5.8</v>
      </c>
      <c r="E10" s="60">
        <f>'Field data and Waste 1'!E10</f>
        <v>6</v>
      </c>
      <c r="F10" s="60">
        <f>'Field data and Waste 1'!F10</f>
        <v>6</v>
      </c>
      <c r="G10" s="60">
        <f>'Field data and Waste 1'!G10</f>
        <v>5.9</v>
      </c>
      <c r="H10" s="60">
        <f>'Field data and Waste 1'!H10</f>
        <v>6.1</v>
      </c>
      <c r="I10" s="60">
        <f>'Field data and Waste 1'!I10</f>
        <v>5.8</v>
      </c>
      <c r="J10" s="60">
        <f>'Field data and Waste 1'!J10</f>
        <v>5.7</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3</v>
      </c>
      <c r="F11" s="60">
        <f>'Field data and Waste 1'!F11</f>
        <v>1</v>
      </c>
      <c r="G11" s="60">
        <f>'Field data and Waste 1'!G11</f>
        <v>0</v>
      </c>
      <c r="H11" s="60">
        <f>'Field data and Waste 1'!H11</f>
        <v>3</v>
      </c>
      <c r="I11" s="60">
        <f>'Field data and Waste 1'!I11</f>
        <v>2</v>
      </c>
      <c r="J11" s="60">
        <f>'Field data and Waste 1'!J11</f>
        <v>2</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3</v>
      </c>
      <c r="D12" s="60">
        <f>'Field data and Waste 1'!D12</f>
        <v>4</v>
      </c>
      <c r="E12" s="60">
        <f>'Field data and Waste 1'!E12</f>
        <v>4</v>
      </c>
      <c r="F12" s="60">
        <f>'Field data and Waste 1'!F12</f>
        <v>1</v>
      </c>
      <c r="G12" s="60">
        <f>'Field data and Waste 1'!G12</f>
        <v>1</v>
      </c>
      <c r="H12" s="60">
        <f>'Field data and Waste 1'!H12</f>
        <v>2</v>
      </c>
      <c r="I12" s="60">
        <f>'Field data and Waste 1'!I12</f>
        <v>2</v>
      </c>
      <c r="J12" s="60">
        <f>'Field data and Waste 1'!J12</f>
        <v>2</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4</v>
      </c>
      <c r="D13" s="60">
        <f>'Field data and Waste 1'!D13</f>
        <v>3</v>
      </c>
      <c r="E13" s="60">
        <f>'Field data and Waste 1'!E13</f>
        <v>3</v>
      </c>
      <c r="F13" s="60">
        <f>'Field data and Waste 1'!F13</f>
        <v>3</v>
      </c>
      <c r="G13" s="60">
        <f>'Field data and Waste 1'!G13</f>
        <v>3</v>
      </c>
      <c r="H13" s="60">
        <f>'Field data and Waste 1'!H13</f>
        <v>3</v>
      </c>
      <c r="I13" s="60">
        <f>'Field data and Waste 1'!I13</f>
        <v>3</v>
      </c>
      <c r="J13" s="60">
        <f>'Field data and Waste 1'!J13</f>
        <v>3</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Spring wheat/barley</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5.5</v>
      </c>
      <c r="G15" s="60">
        <f>'Field data and Waste 1'!G15</f>
        <v>38</v>
      </c>
      <c r="H15" s="60">
        <f>'Field data and Waste 1'!H15</f>
        <v>38</v>
      </c>
      <c r="I15" s="60">
        <f>'Field data and Waste 1'!I15</f>
        <v>38</v>
      </c>
      <c r="J15" s="60">
        <f>'Field data and Waste 1'!J15</f>
        <v>38</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46.75</v>
      </c>
      <c r="G17" s="28">
        <f t="shared" si="0"/>
        <v>64.599999999999994</v>
      </c>
      <c r="H17" s="28">
        <f t="shared" si="0"/>
        <v>64.599999999999994</v>
      </c>
      <c r="I17" s="28">
        <f t="shared" si="0"/>
        <v>64.599999999999994</v>
      </c>
      <c r="J17" s="28">
        <f t="shared" si="0"/>
        <v>64.599999999999994</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21.649949999999997</v>
      </c>
      <c r="D18" s="16">
        <f>$D32</f>
        <v>0</v>
      </c>
      <c r="E18" s="16">
        <f>$D33</f>
        <v>21.649949999999997</v>
      </c>
      <c r="F18" s="16">
        <f>$D34</f>
        <v>21.649949999999997</v>
      </c>
      <c r="G18" s="16">
        <f>$D35</f>
        <v>0</v>
      </c>
      <c r="H18" s="16">
        <f>$D36</f>
        <v>21.649949999999997</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-42.950049999999997</v>
      </c>
      <c r="D19" s="16">
        <f t="shared" ref="D19:V19" si="1">D18-D17</f>
        <v>-64.599999999999994</v>
      </c>
      <c r="E19" s="16">
        <f t="shared" si="1"/>
        <v>-42.950049999999997</v>
      </c>
      <c r="F19" s="16">
        <f t="shared" si="1"/>
        <v>-25.100050000000003</v>
      </c>
      <c r="G19" s="16">
        <f t="shared" si="1"/>
        <v>-64.599999999999994</v>
      </c>
      <c r="H19" s="16">
        <f t="shared" si="1"/>
        <v>-42.950049999999997</v>
      </c>
      <c r="I19" s="16">
        <f t="shared" si="1"/>
        <v>-64.599999999999994</v>
      </c>
      <c r="J19" s="16">
        <f t="shared" si="1"/>
        <v>-64.599999999999994</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66</v>
      </c>
      <c r="G21" s="28">
        <f t="shared" si="2"/>
        <v>228</v>
      </c>
      <c r="H21" s="28">
        <f t="shared" si="2"/>
        <v>228</v>
      </c>
      <c r="I21" s="28">
        <f t="shared" si="2"/>
        <v>228</v>
      </c>
      <c r="J21" s="28">
        <f t="shared" si="2"/>
        <v>228</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2.5642399999999999</v>
      </c>
      <c r="D22" s="16">
        <f>$E32</f>
        <v>0</v>
      </c>
      <c r="E22" s="16">
        <f>$E33</f>
        <v>2.5642399999999999</v>
      </c>
      <c r="F22" s="16">
        <f>$E34</f>
        <v>2.5642399999999999</v>
      </c>
      <c r="G22" s="16">
        <f>$E35</f>
        <v>0</v>
      </c>
      <c r="H22" s="16">
        <f>$E36</f>
        <v>2.5642399999999999</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-225.43575999999999</v>
      </c>
      <c r="D23" s="16">
        <f t="shared" ref="D23:V23" si="3">D22-D21</f>
        <v>-228</v>
      </c>
      <c r="E23" s="16">
        <f t="shared" si="3"/>
        <v>-225.43575999999999</v>
      </c>
      <c r="F23" s="16">
        <f t="shared" si="3"/>
        <v>-63.435760000000002</v>
      </c>
      <c r="G23" s="16">
        <f t="shared" si="3"/>
        <v>-228</v>
      </c>
      <c r="H23" s="16">
        <f t="shared" si="3"/>
        <v>-225.43575999999999</v>
      </c>
      <c r="I23" s="16">
        <f t="shared" si="3"/>
        <v>-228</v>
      </c>
      <c r="J23" s="16">
        <f t="shared" si="3"/>
        <v>-228</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2.8</v>
      </c>
      <c r="C28" s="15">
        <v>1.0900000000000001</v>
      </c>
      <c r="D28" s="15">
        <v>0.13500000000000001</v>
      </c>
      <c r="E28" s="15">
        <v>3.04E-2</v>
      </c>
      <c r="F28" s="15">
        <v>411</v>
      </c>
      <c r="G28" s="15">
        <v>41.7</v>
      </c>
      <c r="H28" s="15">
        <v>294</v>
      </c>
      <c r="I28" s="15">
        <v>6.2</v>
      </c>
      <c r="J28" s="15">
        <v>1.96</v>
      </c>
      <c r="K28" s="23">
        <v>1.43</v>
      </c>
      <c r="L28" s="15">
        <v>11.4</v>
      </c>
      <c r="M28" s="15">
        <v>4.63</v>
      </c>
      <c r="N28" s="15">
        <v>259000</v>
      </c>
      <c r="O28" s="15">
        <v>7170</v>
      </c>
      <c r="P28" s="15"/>
      <c r="Q28" s="15">
        <v>10300</v>
      </c>
      <c r="R28" s="15"/>
      <c r="S28" s="15">
        <v>24.2</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250</v>
      </c>
      <c r="C31" s="77">
        <f>IF(C$27="%w/w SAR",((C$28*10)*$B31),IF(C$27="%w/w DM",(((C$28*10)*($B$28/100))*$B31),IF(C$27="kg/t SAR",(C$28*$B31),IF(C$27="kg/t DM",((C$28*($B$28/100))*$B31),IF(C$27="mg/kg SAR",((C$28*0.001)*$B31),IF(C$27="mg/kg DM",(((C$28*0.001)*($B$28/100))*$B31),0))))))</f>
        <v>76.3</v>
      </c>
      <c r="D31" s="77">
        <f>(IF(D$27="%w/w SAR",((D$28*10)*$B31),IF(D$27="%w/w DM",(((D$28*10)*($B$28/100))*$B31),IF(D$27="kg/t SAR",(D$28*$B31),IF(D$27="kg/t DM",((D$28*($B$28/100))*$B31),IF(D$27="mg/kg SAR",((D$28*0.001)*$B31),IF(D$27="mg/kg DM",(((D$28*0.001)*($B$28/100))*$B31),"0")))))))*2.291</f>
        <v>21.649949999999997</v>
      </c>
      <c r="E31" s="77">
        <f>(IF(E$27="%w/w SAR",((E$28*10)*$B31),IF(E$27="%w/w DM",(((E$28*10)*($B$28/100))*$B31),IF(E$27="kg/t SAR",(E$28*$B31),IF(E$27="kg/t DM",((E$28*($B$28/100))*$B31),IF(E$27="mg/kg SAR",((E$28*0.001)*$B31),IF(E$27="mg/kg DM",(((E$28*0.001)*($B$28/100))*$B31),"0")))))))*1.205</f>
        <v>2.5642399999999999</v>
      </c>
      <c r="F31" s="77">
        <f>(IF(F$27="%w/w SAR",((F$28*10)*$B31),IF(F$27="%w/w DM",(((F$28*10)*($B$28/100))*$B31),IF(F$27="kg/t SAR",(F$28*$B31),IF(F$27="kg/t DM",((F$28*($B$28/100))*$B31),IF(F$27="mg/kg SAR",((F$28*0.001)*$B31),IF(F$27="mg/kg DM",(((F$28*0.001)*($B$28/100))*$B31),"0")))))))*1.658</f>
        <v>4.770065999999999</v>
      </c>
      <c r="G31" s="77">
        <f t="shared" ref="G31:P46" si="5">IF(G$27="%w/w SAR",((G$28*10)*$B31),IF(G$27="%w/w DM",(((G$28*10)*($B$28/100))*$B31),IF(G$27="kg/t SAR",(G$28*$B31),IF(G$27="kg/t DM",((G$28*($B$28/100))*$B31),IF(G$27="mg/kg SAR",((G$28*0.001)*$B31),IF(G$27="mg/kg DM",(((G$28*0.001)*($B$28/100))*$B31),0))))))</f>
        <v>0.29189999999999999</v>
      </c>
      <c r="H31" s="77">
        <f t="shared" si="5"/>
        <v>2.0579999999999994</v>
      </c>
      <c r="I31" s="77">
        <f t="shared" si="5"/>
        <v>4.3400000000000001E-2</v>
      </c>
      <c r="J31" s="77">
        <f t="shared" si="5"/>
        <v>1.3719999999999998E-2</v>
      </c>
      <c r="K31" s="77">
        <f t="shared" si="5"/>
        <v>1.001E-2</v>
      </c>
      <c r="L31" s="77">
        <f t="shared" si="5"/>
        <v>7.9799999999999982E-2</v>
      </c>
      <c r="M31" s="77">
        <f t="shared" si="5"/>
        <v>3.2409999999999994E-2</v>
      </c>
      <c r="N31" s="77">
        <f t="shared" si="5"/>
        <v>1812.9999999999998</v>
      </c>
      <c r="O31" s="77">
        <f t="shared" si="5"/>
        <v>50.189999999999991</v>
      </c>
      <c r="P31" s="77">
        <f t="shared" si="5"/>
        <v>0</v>
      </c>
      <c r="Q31" s="77">
        <f>(IF(Q$27="%w/w SAR",((Q$28*10)*$B31),IF(Q$27="%w/w DM",(((Q$28*10)*($B$28/100))*$B31),IF(Q$27="kg/t SAR",(Q$28*$B31),IF(Q$27="kg/t DM",((Q$28*($B$28/100))*$B31),IF(Q$27="mg/kg SAR",((Q$28*0.001)*$B31),IF(Q$27="mg/kg DM",(((Q$28*0.001)*($B$28/100))*$B31),0)))))))*2.5</f>
        <v>180.25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0.16939999999999997</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250</v>
      </c>
      <c r="C33" s="77">
        <f t="shared" si="6"/>
        <v>76.3</v>
      </c>
      <c r="D33" s="77">
        <f t="shared" si="7"/>
        <v>21.649949999999997</v>
      </c>
      <c r="E33" s="77">
        <f t="shared" si="8"/>
        <v>2.5642399999999999</v>
      </c>
      <c r="F33" s="77">
        <f t="shared" si="9"/>
        <v>4.770065999999999</v>
      </c>
      <c r="G33" s="77">
        <f t="shared" si="5"/>
        <v>0.29189999999999999</v>
      </c>
      <c r="H33" s="77">
        <f t="shared" si="5"/>
        <v>2.0579999999999994</v>
      </c>
      <c r="I33" s="77">
        <f t="shared" si="5"/>
        <v>4.3400000000000001E-2</v>
      </c>
      <c r="J33" s="77">
        <f t="shared" si="5"/>
        <v>1.3719999999999998E-2</v>
      </c>
      <c r="K33" s="77">
        <f t="shared" si="5"/>
        <v>1.001E-2</v>
      </c>
      <c r="L33" s="77">
        <f t="shared" si="5"/>
        <v>7.9799999999999982E-2</v>
      </c>
      <c r="M33" s="77">
        <f t="shared" si="5"/>
        <v>3.2409999999999994E-2</v>
      </c>
      <c r="N33" s="77">
        <f t="shared" si="5"/>
        <v>1812.9999999999998</v>
      </c>
      <c r="O33" s="77">
        <f t="shared" si="5"/>
        <v>50.189999999999991</v>
      </c>
      <c r="P33" s="77">
        <f t="shared" si="5"/>
        <v>0</v>
      </c>
      <c r="Q33" s="77">
        <f t="shared" si="10"/>
        <v>180.25</v>
      </c>
      <c r="R33" s="77">
        <f t="shared" si="11"/>
        <v>0</v>
      </c>
      <c r="S33" s="77">
        <f t="shared" si="11"/>
        <v>0.16939999999999997</v>
      </c>
      <c r="T33" s="77">
        <f t="shared" si="11"/>
        <v>0</v>
      </c>
      <c r="U33" s="77">
        <f t="shared" si="11"/>
        <v>0</v>
      </c>
      <c r="AB33" s="59"/>
      <c r="AC33" s="59"/>
      <c r="AD33" s="59"/>
      <c r="AE33" s="59"/>
      <c r="AF33" s="59"/>
      <c r="AG33" s="59"/>
      <c r="AH33" s="59"/>
      <c r="AI33" s="59"/>
    </row>
    <row r="34" spans="1:35" s="72" customFormat="1" ht="13" x14ac:dyDescent="0.35">
      <c r="A34" s="13">
        <f>F8</f>
        <v>4</v>
      </c>
      <c r="B34" s="15">
        <v>250</v>
      </c>
      <c r="C34" s="77">
        <f t="shared" si="6"/>
        <v>76.3</v>
      </c>
      <c r="D34" s="77">
        <f t="shared" si="7"/>
        <v>21.649949999999997</v>
      </c>
      <c r="E34" s="77">
        <f t="shared" si="8"/>
        <v>2.5642399999999999</v>
      </c>
      <c r="F34" s="77">
        <f t="shared" si="9"/>
        <v>4.770065999999999</v>
      </c>
      <c r="G34" s="77">
        <f t="shared" si="5"/>
        <v>0.29189999999999999</v>
      </c>
      <c r="H34" s="77">
        <f t="shared" si="5"/>
        <v>2.0579999999999994</v>
      </c>
      <c r="I34" s="77">
        <f t="shared" si="5"/>
        <v>4.3400000000000001E-2</v>
      </c>
      <c r="J34" s="77">
        <f t="shared" si="5"/>
        <v>1.3719999999999998E-2</v>
      </c>
      <c r="K34" s="77">
        <f t="shared" si="5"/>
        <v>1.001E-2</v>
      </c>
      <c r="L34" s="77">
        <f t="shared" si="5"/>
        <v>7.9799999999999982E-2</v>
      </c>
      <c r="M34" s="77">
        <f t="shared" si="5"/>
        <v>3.2409999999999994E-2</v>
      </c>
      <c r="N34" s="77">
        <f t="shared" si="5"/>
        <v>1812.9999999999998</v>
      </c>
      <c r="O34" s="77">
        <f t="shared" si="5"/>
        <v>50.189999999999991</v>
      </c>
      <c r="P34" s="77">
        <f t="shared" si="5"/>
        <v>0</v>
      </c>
      <c r="Q34" s="77">
        <f t="shared" si="10"/>
        <v>180.25</v>
      </c>
      <c r="R34" s="77">
        <f t="shared" si="11"/>
        <v>0</v>
      </c>
      <c r="S34" s="77">
        <f t="shared" si="11"/>
        <v>0.16939999999999997</v>
      </c>
      <c r="T34" s="77">
        <f t="shared" si="11"/>
        <v>0</v>
      </c>
      <c r="U34" s="77">
        <f t="shared" si="11"/>
        <v>0</v>
      </c>
      <c r="AB34" s="59"/>
      <c r="AC34" s="59"/>
      <c r="AD34" s="59"/>
      <c r="AE34" s="59"/>
      <c r="AF34" s="59"/>
      <c r="AG34" s="59"/>
      <c r="AH34" s="59"/>
      <c r="AI34" s="59"/>
    </row>
    <row r="35" spans="1:35" s="72" customFormat="1" ht="13" x14ac:dyDescent="0.35">
      <c r="A35" s="13">
        <f>G8</f>
        <v>5</v>
      </c>
      <c r="B35" s="15">
        <v>0</v>
      </c>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250</v>
      </c>
      <c r="C36" s="77">
        <f t="shared" si="6"/>
        <v>76.3</v>
      </c>
      <c r="D36" s="77">
        <f t="shared" si="7"/>
        <v>21.649949999999997</v>
      </c>
      <c r="E36" s="77">
        <f t="shared" si="8"/>
        <v>2.5642399999999999</v>
      </c>
      <c r="F36" s="77">
        <f t="shared" si="9"/>
        <v>4.770065999999999</v>
      </c>
      <c r="G36" s="77">
        <f t="shared" si="5"/>
        <v>0.29189999999999999</v>
      </c>
      <c r="H36" s="77">
        <f t="shared" si="5"/>
        <v>2.0579999999999994</v>
      </c>
      <c r="I36" s="77">
        <f t="shared" si="5"/>
        <v>4.3400000000000001E-2</v>
      </c>
      <c r="J36" s="77">
        <f t="shared" si="5"/>
        <v>1.3719999999999998E-2</v>
      </c>
      <c r="K36" s="77">
        <f t="shared" si="5"/>
        <v>1.001E-2</v>
      </c>
      <c r="L36" s="77">
        <f t="shared" si="5"/>
        <v>7.9799999999999982E-2</v>
      </c>
      <c r="M36" s="77">
        <f t="shared" si="5"/>
        <v>3.2409999999999994E-2</v>
      </c>
      <c r="N36" s="77">
        <f t="shared" si="5"/>
        <v>1812.9999999999998</v>
      </c>
      <c r="O36" s="77">
        <f t="shared" si="5"/>
        <v>50.189999999999991</v>
      </c>
      <c r="P36" s="77">
        <f t="shared" si="5"/>
        <v>0</v>
      </c>
      <c r="Q36" s="77">
        <f t="shared" si="10"/>
        <v>180.25</v>
      </c>
      <c r="R36" s="77">
        <f t="shared" si="11"/>
        <v>0</v>
      </c>
      <c r="S36" s="77">
        <f t="shared" si="11"/>
        <v>0.16939999999999997</v>
      </c>
      <c r="T36" s="77">
        <f t="shared" si="11"/>
        <v>0</v>
      </c>
      <c r="U36" s="77">
        <f t="shared" si="11"/>
        <v>0</v>
      </c>
      <c r="AB36" s="59"/>
      <c r="AC36" s="59"/>
      <c r="AD36" s="59"/>
      <c r="AE36" s="59"/>
      <c r="AF36" s="59"/>
      <c r="AG36" s="59"/>
      <c r="AH36" s="59"/>
      <c r="AI36" s="59"/>
    </row>
    <row r="37" spans="1:35" s="72" customFormat="1" ht="13" x14ac:dyDescent="0.35">
      <c r="A37" s="13" t="str">
        <f>I8</f>
        <v>A</v>
      </c>
      <c r="B37" s="15">
        <v>0</v>
      </c>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B</v>
      </c>
      <c r="B38" s="15">
        <v>0</v>
      </c>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t="str">
        <f t="shared" si="13"/>
        <v>A</v>
      </c>
      <c r="I57" s="8" t="str">
        <f t="shared" si="13"/>
        <v>B</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Arable</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e">
        <f>K16&amp;" I "&amp;(VLOOKUP(K14,Table245810[],6,FALSE))</f>
        <v>#N/A</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6.2</v>
      </c>
      <c r="D59" s="76">
        <f>VLOOKUP(E$14,Table245810[],5,FALSE)</f>
        <v>6.2</v>
      </c>
      <c r="E59" s="76">
        <f>VLOOKUP(F$14,Table245810[],5,FALSE)</f>
        <v>6.7</v>
      </c>
      <c r="F59" s="76">
        <f>VLOOKUP(G$14,Table245810[],5,FALSE)</f>
        <v>6.2</v>
      </c>
      <c r="G59" s="76">
        <f>VLOOKUP(H$14,Table245810[],5,FALSE)</f>
        <v>6.2</v>
      </c>
      <c r="H59" s="76">
        <f>VLOOKUP(I$14,Table245810[],5,FALSE)</f>
        <v>6.2</v>
      </c>
      <c r="I59" s="76">
        <f>VLOOKUP(J$14,Table245810[],5,FALSE)</f>
        <v>6.2</v>
      </c>
      <c r="J59" s="76" t="e">
        <f>VLOOKUP(K$14,Table245810[],5,FALSE)</f>
        <v>#N/A</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6.4</v>
      </c>
      <c r="C60" s="76">
        <f t="shared" ref="C60:U60" si="14">D10</f>
        <v>5.8</v>
      </c>
      <c r="D60" s="76">
        <f t="shared" si="14"/>
        <v>6</v>
      </c>
      <c r="E60" s="76">
        <f t="shared" si="14"/>
        <v>6</v>
      </c>
      <c r="F60" s="76">
        <f t="shared" si="14"/>
        <v>5.9</v>
      </c>
      <c r="G60" s="76">
        <f t="shared" si="14"/>
        <v>6.1</v>
      </c>
      <c r="H60" s="76">
        <f t="shared" si="14"/>
        <v>5.8</v>
      </c>
      <c r="I60" s="76">
        <f t="shared" si="14"/>
        <v>5.7</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8</v>
      </c>
      <c r="F61" s="76">
        <f t="shared" si="15"/>
        <v>6</v>
      </c>
      <c r="G61" s="76">
        <f t="shared" si="15"/>
        <v>6</v>
      </c>
      <c r="H61" s="76">
        <f t="shared" si="15"/>
        <v>6</v>
      </c>
      <c r="I61" s="76">
        <f t="shared" si="15"/>
        <v>6</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0</v>
      </c>
      <c r="D62" s="77">
        <f>B33</f>
        <v>250</v>
      </c>
      <c r="E62" s="77">
        <f>B34</f>
        <v>250</v>
      </c>
      <c r="F62" s="77">
        <f>B35</f>
        <v>0</v>
      </c>
      <c r="G62" s="77">
        <f>B36</f>
        <v>250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-1.2000000000000011</v>
      </c>
      <c r="C64" s="77">
        <f t="shared" ref="C64:U64" si="17">(C59-C60)*C61</f>
        <v>2.4000000000000021</v>
      </c>
      <c r="D64" s="77">
        <f t="shared" si="17"/>
        <v>1.2000000000000011</v>
      </c>
      <c r="E64" s="77">
        <f t="shared" si="17"/>
        <v>5.6000000000000014</v>
      </c>
      <c r="F64" s="77">
        <f t="shared" si="17"/>
        <v>1.7999999999999989</v>
      </c>
      <c r="G64" s="77">
        <f t="shared" si="17"/>
        <v>0.6000000000000032</v>
      </c>
      <c r="H64" s="77">
        <f t="shared" si="17"/>
        <v>2.4000000000000021</v>
      </c>
      <c r="I64" s="77">
        <f t="shared" si="17"/>
        <v>3</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1.2000000000000011</v>
      </c>
      <c r="C65" s="77">
        <f t="shared" ref="C65:U65" si="18">C63-C64</f>
        <v>-2.4000000000000021</v>
      </c>
      <c r="D65" s="77">
        <f t="shared" si="18"/>
        <v>-1.2000000000000011</v>
      </c>
      <c r="E65" s="77">
        <f t="shared" si="18"/>
        <v>-5.6000000000000014</v>
      </c>
      <c r="F65" s="77">
        <f t="shared" si="18"/>
        <v>-1.7999999999999989</v>
      </c>
      <c r="G65" s="77">
        <f t="shared" si="18"/>
        <v>-0.6000000000000032</v>
      </c>
      <c r="H65" s="77">
        <f t="shared" si="18"/>
        <v>-2.4000000000000021</v>
      </c>
      <c r="I65" s="77">
        <f t="shared" si="18"/>
        <v>-3</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opLeftCell="A22"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PAN-024177</v>
      </c>
      <c r="D1" s="141"/>
      <c r="E1" s="93" t="s">
        <v>45</v>
      </c>
      <c r="F1" s="39">
        <f>'Field data and Waste 1'!F1</f>
        <v>44.3</v>
      </c>
      <c r="G1" s="120" t="s">
        <v>43</v>
      </c>
      <c r="H1" s="121"/>
      <c r="I1" s="118">
        <v>6.3</v>
      </c>
      <c r="J1" s="119" t="s">
        <v>153</v>
      </c>
      <c r="K1" s="119"/>
      <c r="L1" s="97">
        <v>45.8</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GP3792SK</v>
      </c>
      <c r="D2" s="143"/>
      <c r="E2" s="93" t="s">
        <v>109</v>
      </c>
      <c r="F2" s="96" t="s">
        <v>167</v>
      </c>
      <c r="G2" s="138" t="s">
        <v>110</v>
      </c>
      <c r="H2" s="139"/>
      <c r="I2" s="118"/>
      <c r="J2" s="119" t="s">
        <v>158</v>
      </c>
      <c r="K2" s="119"/>
      <c r="L2" s="97">
        <v>0.80700000000000005</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Byproduct Recovery ltd</v>
      </c>
      <c r="D3" s="143"/>
      <c r="E3" s="93" t="s">
        <v>108</v>
      </c>
      <c r="F3" s="31" t="s">
        <v>78</v>
      </c>
      <c r="G3" s="119" t="s">
        <v>159</v>
      </c>
      <c r="H3" s="119"/>
      <c r="I3" s="118"/>
      <c r="J3" s="120" t="s">
        <v>154</v>
      </c>
      <c r="K3" s="121"/>
      <c r="L3" s="97">
        <f>(L1/(L2*10000))*100</f>
        <v>0.56753407682775703</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Plas Bach, Cerrigceinwen, Bodorgan LL62 5NS</v>
      </c>
      <c r="D4" s="141"/>
      <c r="E4" s="94" t="s">
        <v>1</v>
      </c>
      <c r="F4" s="96" t="s">
        <v>175</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 xml:space="preserve">Ethan Banfield </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1</v>
      </c>
      <c r="D8" s="60">
        <f>'Field data and Waste 1'!D8</f>
        <v>2</v>
      </c>
      <c r="E8" s="60">
        <f>'Field data and Waste 1'!E8</f>
        <v>3</v>
      </c>
      <c r="F8" s="60">
        <f>'Field data and Waste 1'!F8</f>
        <v>4</v>
      </c>
      <c r="G8" s="60">
        <f>'Field data and Waste 1'!G8</f>
        <v>5</v>
      </c>
      <c r="H8" s="60">
        <f>'Field data and Waste 1'!H8</f>
        <v>6</v>
      </c>
      <c r="I8" s="60" t="str">
        <f>'Field data and Waste 1'!I8</f>
        <v>A</v>
      </c>
      <c r="J8" s="60" t="str">
        <f>'Field data and Waste 1'!J8</f>
        <v>B</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6.4</v>
      </c>
      <c r="D10" s="60">
        <f>'Field data and Waste 1'!D10</f>
        <v>5.8</v>
      </c>
      <c r="E10" s="60">
        <f>'Field data and Waste 1'!E10</f>
        <v>6</v>
      </c>
      <c r="F10" s="60">
        <f>'Field data and Waste 1'!F10</f>
        <v>6</v>
      </c>
      <c r="G10" s="60">
        <f>'Field data and Waste 1'!G10</f>
        <v>5.9</v>
      </c>
      <c r="H10" s="60">
        <f>'Field data and Waste 1'!H10</f>
        <v>6.1</v>
      </c>
      <c r="I10" s="60">
        <f>'Field data and Waste 1'!I10</f>
        <v>5.8</v>
      </c>
      <c r="J10" s="60">
        <f>'Field data and Waste 1'!J10</f>
        <v>5.7</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3</v>
      </c>
      <c r="F11" s="60">
        <f>'Field data and Waste 1'!F11</f>
        <v>1</v>
      </c>
      <c r="G11" s="60">
        <f>'Field data and Waste 1'!G11</f>
        <v>0</v>
      </c>
      <c r="H11" s="60">
        <f>'Field data and Waste 1'!H11</f>
        <v>3</v>
      </c>
      <c r="I11" s="60">
        <f>'Field data and Waste 1'!I11</f>
        <v>2</v>
      </c>
      <c r="J11" s="60">
        <f>'Field data and Waste 1'!J11</f>
        <v>2</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3</v>
      </c>
      <c r="D12" s="60">
        <f>'Field data and Waste 1'!D12</f>
        <v>4</v>
      </c>
      <c r="E12" s="60">
        <f>'Field data and Waste 1'!E12</f>
        <v>4</v>
      </c>
      <c r="F12" s="60">
        <f>'Field data and Waste 1'!F12</f>
        <v>1</v>
      </c>
      <c r="G12" s="60">
        <f>'Field data and Waste 1'!G12</f>
        <v>1</v>
      </c>
      <c r="H12" s="60">
        <f>'Field data and Waste 1'!H12</f>
        <v>2</v>
      </c>
      <c r="I12" s="60">
        <f>'Field data and Waste 1'!I12</f>
        <v>2</v>
      </c>
      <c r="J12" s="60">
        <f>'Field data and Waste 1'!J12</f>
        <v>2</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4</v>
      </c>
      <c r="D13" s="60">
        <f>'Field data and Waste 1'!D13</f>
        <v>3</v>
      </c>
      <c r="E13" s="60">
        <f>'Field data and Waste 1'!E13</f>
        <v>3</v>
      </c>
      <c r="F13" s="60">
        <f>'Field data and Waste 1'!F13</f>
        <v>3</v>
      </c>
      <c r="G13" s="60">
        <f>'Field data and Waste 1'!G13</f>
        <v>3</v>
      </c>
      <c r="H13" s="60">
        <f>'Field data and Waste 1'!H13</f>
        <v>3</v>
      </c>
      <c r="I13" s="60">
        <f>'Field data and Waste 1'!I13</f>
        <v>3</v>
      </c>
      <c r="J13" s="60">
        <f>'Field data and Waste 1'!J13</f>
        <v>3</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Spring wheat/barley</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5.5</v>
      </c>
      <c r="G15" s="60">
        <f>'Field data and Waste 1'!G15</f>
        <v>38</v>
      </c>
      <c r="H15" s="60">
        <f>'Field data and Waste 1'!H15</f>
        <v>38</v>
      </c>
      <c r="I15" s="60">
        <f>'Field data and Waste 1'!I15</f>
        <v>38</v>
      </c>
      <c r="J15" s="60">
        <f>'Field data and Waste 1'!J15</f>
        <v>38</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46.75</v>
      </c>
      <c r="G17" s="28">
        <f t="shared" si="0"/>
        <v>64.599999999999994</v>
      </c>
      <c r="H17" s="28">
        <f t="shared" si="0"/>
        <v>64.599999999999994</v>
      </c>
      <c r="I17" s="28">
        <f t="shared" si="0"/>
        <v>64.599999999999994</v>
      </c>
      <c r="J17" s="28">
        <f t="shared" si="0"/>
        <v>64.599999999999994</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5.9783645000000005</v>
      </c>
      <c r="D18" s="16">
        <f>$D32</f>
        <v>5.9783645000000005</v>
      </c>
      <c r="E18" s="16">
        <f>$D33</f>
        <v>5.9783645000000005</v>
      </c>
      <c r="F18" s="16">
        <f>$D34</f>
        <v>5.9783645000000005</v>
      </c>
      <c r="G18" s="16">
        <f>$D35</f>
        <v>5.9783645000000005</v>
      </c>
      <c r="H18" s="16">
        <f>$D36</f>
        <v>5.9783645000000005</v>
      </c>
      <c r="I18" s="16">
        <f>$D37</f>
        <v>5.9783645000000005</v>
      </c>
      <c r="J18" s="16">
        <f>$D38</f>
        <v>5.9783645000000005</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-58.621635499999996</v>
      </c>
      <c r="D19" s="16">
        <f t="shared" ref="D19:V19" si="1">D18-D17</f>
        <v>-58.621635499999996</v>
      </c>
      <c r="E19" s="16">
        <f t="shared" si="1"/>
        <v>-58.621635499999996</v>
      </c>
      <c r="F19" s="16">
        <f t="shared" si="1"/>
        <v>-40.771635500000002</v>
      </c>
      <c r="G19" s="16">
        <f t="shared" si="1"/>
        <v>-58.621635499999996</v>
      </c>
      <c r="H19" s="16">
        <f t="shared" si="1"/>
        <v>-58.621635499999996</v>
      </c>
      <c r="I19" s="16">
        <f t="shared" si="1"/>
        <v>-58.621635499999996</v>
      </c>
      <c r="J19" s="16">
        <f t="shared" si="1"/>
        <v>-58.621635499999996</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66</v>
      </c>
      <c r="G21" s="28">
        <f t="shared" si="2"/>
        <v>228</v>
      </c>
      <c r="H21" s="28">
        <f t="shared" si="2"/>
        <v>228</v>
      </c>
      <c r="I21" s="28">
        <f t="shared" si="2"/>
        <v>228</v>
      </c>
      <c r="J21" s="28">
        <f t="shared" si="2"/>
        <v>228</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2.0382575000000003</v>
      </c>
      <c r="D22" s="16">
        <f>$E32</f>
        <v>2.0382575000000003</v>
      </c>
      <c r="E22" s="16">
        <f>$E33</f>
        <v>2.0382575000000003</v>
      </c>
      <c r="F22" s="16">
        <f>$E34</f>
        <v>2.0382575000000003</v>
      </c>
      <c r="G22" s="16">
        <f>$E35</f>
        <v>2.0382575000000003</v>
      </c>
      <c r="H22" s="16">
        <f>$E36</f>
        <v>2.0382575000000003</v>
      </c>
      <c r="I22" s="16">
        <f>$E37</f>
        <v>2.0382575000000003</v>
      </c>
      <c r="J22" s="16">
        <f>$E38</f>
        <v>2.0382575000000003</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-225.96174250000001</v>
      </c>
      <c r="D23" s="16">
        <f t="shared" ref="D23:V23" si="3">D22-D21</f>
        <v>-225.96174250000001</v>
      </c>
      <c r="E23" s="16">
        <f t="shared" si="3"/>
        <v>-225.96174250000001</v>
      </c>
      <c r="F23" s="16">
        <f t="shared" si="3"/>
        <v>-63.9617425</v>
      </c>
      <c r="G23" s="16">
        <f t="shared" si="3"/>
        <v>-225.96174250000001</v>
      </c>
      <c r="H23" s="16">
        <f t="shared" si="3"/>
        <v>-225.96174250000001</v>
      </c>
      <c r="I23" s="16">
        <f t="shared" si="3"/>
        <v>-225.96174250000001</v>
      </c>
      <c r="J23" s="16">
        <f t="shared" si="3"/>
        <v>-225.96174250000001</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3.4</v>
      </c>
      <c r="C28" s="15">
        <v>0.80700000000000005</v>
      </c>
      <c r="D28" s="15">
        <v>3.0700000000000002E-2</v>
      </c>
      <c r="E28" s="15">
        <v>1.9900000000000001E-2</v>
      </c>
      <c r="F28" s="15">
        <v>649</v>
      </c>
      <c r="G28" s="15">
        <v>44</v>
      </c>
      <c r="H28" s="15">
        <v>456</v>
      </c>
      <c r="I28" s="15">
        <v>29.1</v>
      </c>
      <c r="J28" s="15">
        <v>1.02</v>
      </c>
      <c r="K28" s="23">
        <v>1.1100000000000001</v>
      </c>
      <c r="L28" s="15">
        <v>33.299999999999997</v>
      </c>
      <c r="M28" s="15">
        <v>12.3</v>
      </c>
      <c r="N28" s="15">
        <v>4650</v>
      </c>
      <c r="O28" s="15">
        <v>372000</v>
      </c>
      <c r="P28" s="15"/>
      <c r="Q28" s="15">
        <v>2760</v>
      </c>
      <c r="R28" s="15"/>
      <c r="S28" s="15">
        <v>17</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250</v>
      </c>
      <c r="C31" s="77">
        <f>IF(C$27="%w/w SAR",((C$28*10)*$B31),IF(C$27="%w/w DM",(((C$28*10)*($B$28/100))*$B31),IF(C$27="kg/t SAR",(C$28*$B31),IF(C$27="kg/t DM",((C$28*($B$28/100))*$B31),IF(C$27="mg/kg SAR",((C$28*0.001)*$B31),IF(C$27="mg/kg DM",(((C$28*0.001)*($B$28/100))*$B31),0))))))</f>
        <v>68.594999999999999</v>
      </c>
      <c r="D31" s="77">
        <f>(IF(D$27="%w/w SAR",((D$28*10)*$B31),IF(D$27="%w/w DM",(((D$28*10)*($B$28/100))*$B31),IF(D$27="kg/t SAR",(D$28*$B31),IF(D$27="kg/t DM",((D$28*($B$28/100))*$B31),IF(D$27="mg/kg SAR",((D$28*0.001)*$B31),IF(D$27="mg/kg DM",(((D$28*0.001)*($B$28/100))*$B31),"0")))))))*2.291</f>
        <v>5.9783645000000005</v>
      </c>
      <c r="E31" s="77">
        <f>(IF(E$27="%w/w SAR",((E$28*10)*$B31),IF(E$27="%w/w DM",(((E$28*10)*($B$28/100))*$B31),IF(E$27="kg/t SAR",(E$28*$B31),IF(E$27="kg/t DM",((E$28*($B$28/100))*$B31),IF(E$27="mg/kg SAR",((E$28*0.001)*$B31),IF(E$27="mg/kg DM",(((E$28*0.001)*($B$28/100))*$B31),"0")))))))*1.205</f>
        <v>2.0382575000000003</v>
      </c>
      <c r="F31" s="77">
        <f>(IF(F$27="%w/w SAR",((F$28*10)*$B31),IF(F$27="%w/w DM",(((F$28*10)*($B$28/100))*$B31),IF(F$27="kg/t SAR",(F$28*$B31),IF(F$27="kg/t DM",((F$28*($B$28/100))*$B31),IF(F$27="mg/kg SAR",((F$28*0.001)*$B31),IF(F$27="mg/kg DM",(((F$28*0.001)*($B$28/100))*$B31),"0")))))))*1.658</f>
        <v>9.1463570000000001</v>
      </c>
      <c r="G31" s="77">
        <f t="shared" ref="G31:P46" si="5">IF(G$27="%w/w SAR",((G$28*10)*$B31),IF(G$27="%w/w DM",(((G$28*10)*($B$28/100))*$B31),IF(G$27="kg/t SAR",(G$28*$B31),IF(G$27="kg/t DM",((G$28*($B$28/100))*$B31),IF(G$27="mg/kg SAR",((G$28*0.001)*$B31),IF(G$27="mg/kg DM",(((G$28*0.001)*($B$28/100))*$B31),0))))))</f>
        <v>0.374</v>
      </c>
      <c r="H31" s="77">
        <f t="shared" si="5"/>
        <v>3.8760000000000003</v>
      </c>
      <c r="I31" s="77">
        <f t="shared" si="5"/>
        <v>0.24735000000000001</v>
      </c>
      <c r="J31" s="77">
        <f t="shared" si="5"/>
        <v>8.6700000000000024E-3</v>
      </c>
      <c r="K31" s="77">
        <f t="shared" si="5"/>
        <v>9.4350000000000024E-3</v>
      </c>
      <c r="L31" s="77">
        <f t="shared" si="5"/>
        <v>0.28304999999999997</v>
      </c>
      <c r="M31" s="77">
        <f t="shared" si="5"/>
        <v>0.10455</v>
      </c>
      <c r="N31" s="77">
        <f t="shared" si="5"/>
        <v>39.525000000000006</v>
      </c>
      <c r="O31" s="77">
        <f t="shared" si="5"/>
        <v>3162.0000000000005</v>
      </c>
      <c r="P31" s="77">
        <f t="shared" si="5"/>
        <v>0</v>
      </c>
      <c r="Q31" s="77">
        <f>(IF(Q$27="%w/w SAR",((Q$28*10)*$B31),IF(Q$27="%w/w DM",(((Q$28*10)*($B$28/100))*$B31),IF(Q$27="kg/t SAR",(Q$28*$B31),IF(Q$27="kg/t DM",((Q$28*($B$28/100))*$B31),IF(Q$27="mg/kg SAR",((Q$28*0.001)*$B31),IF(Q$27="mg/kg DM",(((Q$28*0.001)*($B$28/100))*$B31),0)))))))*2.5</f>
        <v>58.650000000000013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0.14450000000000002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250</v>
      </c>
      <c r="C32" s="77">
        <f t="shared" ref="C32:C50" si="6">IF(C$27="%w/w SAR",((C$28*10)*$B32),IF(C$27="%w/w DM",(((C$28*10)*($B$28/100))*$B32),IF(C$27="kg/t SAR",(C$28*$B32),IF(C$27="kg/t DM",((C$28*($B$28/100))*$B32),IF(C$27="mg/kg SAR",((C$28*0.001)*$B32),IF(C$27="mg/kg DM",(((C$28*0.001)*($B$28/100))*$B32),0))))))</f>
        <v>68.594999999999999</v>
      </c>
      <c r="D32" s="77">
        <f t="shared" ref="D32:D50" si="7">(IF(D$27="%w/w SAR",((D$28*10)*$B32),IF(D$27="%w/w DM",(((D$28*10)*($B$28/100))*$B32),IF(D$27="kg/t SAR",(D$28*$B32),IF(D$27="kg/t DM",((D$28*($B$28/100))*$B32),IF(D$27="mg/kg SAR",((D$28*0.001)*$B32),IF(D$27="mg/kg DM",(((D$28*0.001)*($B$28/100))*$B32),"0")))))))*2.291</f>
        <v>5.9783645000000005</v>
      </c>
      <c r="E32" s="77">
        <f t="shared" ref="E32:E50" si="8">(IF(E$27="%w/w SAR",((E$28*10)*$B32),IF(E$27="%w/w DM",(((E$28*10)*($B$28/100))*$B32),IF(E$27="kg/t SAR",(E$28*$B32),IF(E$27="kg/t DM",((E$28*($B$28/100))*$B32),IF(E$27="mg/kg SAR",((E$28*0.001)*$B32),IF(E$27="mg/kg DM",(((E$28*0.001)*($B$28/100))*$B32),"0")))))))*1.205</f>
        <v>2.0382575000000003</v>
      </c>
      <c r="F32" s="77">
        <f t="shared" ref="F32:F50" si="9">(IF(F$27="%w/w SAR",((F$28*10)*$B32),IF(F$27="%w/w DM",(((F$28*10)*($B$28/100))*$B32),IF(F$27="kg/t SAR",(F$28*$B32),IF(F$27="kg/t DM",((F$28*($B$28/100))*$B32),IF(F$27="mg/kg SAR",((F$28*0.001)*$B32),IF(F$27="mg/kg DM",(((F$28*0.001)*($B$28/100))*$B32),"0")))))))*1.658</f>
        <v>9.1463570000000001</v>
      </c>
      <c r="G32" s="77">
        <f t="shared" si="5"/>
        <v>0.374</v>
      </c>
      <c r="H32" s="77">
        <f t="shared" si="5"/>
        <v>3.8760000000000003</v>
      </c>
      <c r="I32" s="77">
        <f t="shared" si="5"/>
        <v>0.24735000000000001</v>
      </c>
      <c r="J32" s="77">
        <f t="shared" si="5"/>
        <v>8.6700000000000024E-3</v>
      </c>
      <c r="K32" s="77">
        <f t="shared" si="5"/>
        <v>9.4350000000000024E-3</v>
      </c>
      <c r="L32" s="77">
        <f t="shared" si="5"/>
        <v>0.28304999999999997</v>
      </c>
      <c r="M32" s="77">
        <f t="shared" si="5"/>
        <v>0.10455</v>
      </c>
      <c r="N32" s="77">
        <f t="shared" si="5"/>
        <v>39.525000000000006</v>
      </c>
      <c r="O32" s="77">
        <f t="shared" si="5"/>
        <v>3162.0000000000005</v>
      </c>
      <c r="P32" s="77">
        <f t="shared" si="5"/>
        <v>0</v>
      </c>
      <c r="Q32" s="77">
        <f t="shared" ref="Q32:Q50" si="10">(IF(Q$27="%w/w SAR",((Q$28*10)*$B32),IF(Q$27="%w/w DM",(((Q$28*10)*($B$28/100))*$B32),IF(Q$27="kg/t SAR",(Q$28*$B32),IF(Q$27="kg/t DM",((Q$28*($B$28/100))*$B32),IF(Q$27="mg/kg SAR",((Q$28*0.001)*$B32),IF(Q$27="mg/kg DM",(((Q$28*0.001)*($B$28/100))*$B32),0)))))))*2.5</f>
        <v>58.650000000000013</v>
      </c>
      <c r="R32" s="77">
        <f t="shared" ref="R32:U50" si="11">IF(R$27="%w/w SAR",((R$28*10)*$B32),IF(R$27="%w/w DM",(((R$28*10)*($B$28/100))*$B32),IF(R$27="kg/t SAR",(R$28*$B32),IF(R$27="kg/t DM",((R$28*($B$28/100))*$B32),IF(R$27="mg/kg SAR",((R$28*0.001)*$B32),IF(R$27="mg/kg DM",(((R$28*0.001)*($B$28/100))*$B32),0))))))</f>
        <v>0</v>
      </c>
      <c r="S32" s="77">
        <f t="shared" si="11"/>
        <v>0.14450000000000002</v>
      </c>
      <c r="T32" s="77">
        <f t="shared" si="11"/>
        <v>0</v>
      </c>
      <c r="U32" s="77">
        <f t="shared" si="11"/>
        <v>0</v>
      </c>
      <c r="AB32" s="59"/>
      <c r="AC32" s="59"/>
      <c r="AD32" s="59"/>
      <c r="AE32" s="59"/>
      <c r="AF32" s="59"/>
      <c r="AG32" s="59"/>
      <c r="AH32" s="59"/>
      <c r="AI32" s="59"/>
    </row>
    <row r="33" spans="1:35" s="72" customFormat="1" ht="13" x14ac:dyDescent="0.35">
      <c r="A33" s="13">
        <f>E8</f>
        <v>3</v>
      </c>
      <c r="B33" s="15">
        <v>250</v>
      </c>
      <c r="C33" s="77">
        <f t="shared" si="6"/>
        <v>68.594999999999999</v>
      </c>
      <c r="D33" s="77">
        <f t="shared" si="7"/>
        <v>5.9783645000000005</v>
      </c>
      <c r="E33" s="77">
        <f t="shared" si="8"/>
        <v>2.0382575000000003</v>
      </c>
      <c r="F33" s="77">
        <f t="shared" si="9"/>
        <v>9.1463570000000001</v>
      </c>
      <c r="G33" s="77">
        <f t="shared" si="5"/>
        <v>0.374</v>
      </c>
      <c r="H33" s="77">
        <f t="shared" si="5"/>
        <v>3.8760000000000003</v>
      </c>
      <c r="I33" s="77">
        <f t="shared" si="5"/>
        <v>0.24735000000000001</v>
      </c>
      <c r="J33" s="77">
        <f t="shared" si="5"/>
        <v>8.6700000000000024E-3</v>
      </c>
      <c r="K33" s="77">
        <f t="shared" si="5"/>
        <v>9.4350000000000024E-3</v>
      </c>
      <c r="L33" s="77">
        <f t="shared" si="5"/>
        <v>0.28304999999999997</v>
      </c>
      <c r="M33" s="77">
        <f t="shared" si="5"/>
        <v>0.10455</v>
      </c>
      <c r="N33" s="77">
        <f t="shared" si="5"/>
        <v>39.525000000000006</v>
      </c>
      <c r="O33" s="77">
        <f t="shared" si="5"/>
        <v>3162.0000000000005</v>
      </c>
      <c r="P33" s="77">
        <f t="shared" si="5"/>
        <v>0</v>
      </c>
      <c r="Q33" s="77">
        <f t="shared" si="10"/>
        <v>58.650000000000013</v>
      </c>
      <c r="R33" s="77">
        <f t="shared" si="11"/>
        <v>0</v>
      </c>
      <c r="S33" s="77">
        <f t="shared" si="11"/>
        <v>0.14450000000000002</v>
      </c>
      <c r="T33" s="77">
        <f t="shared" si="11"/>
        <v>0</v>
      </c>
      <c r="U33" s="77">
        <f t="shared" si="11"/>
        <v>0</v>
      </c>
      <c r="AB33" s="59"/>
      <c r="AC33" s="59"/>
      <c r="AD33" s="59"/>
      <c r="AE33" s="59"/>
      <c r="AF33" s="59"/>
      <c r="AG33" s="59"/>
      <c r="AH33" s="59"/>
      <c r="AI33" s="59"/>
    </row>
    <row r="34" spans="1:35" s="72" customFormat="1" ht="13" x14ac:dyDescent="0.35">
      <c r="A34" s="13">
        <f>F8</f>
        <v>4</v>
      </c>
      <c r="B34" s="15">
        <v>250</v>
      </c>
      <c r="C34" s="77">
        <f t="shared" si="6"/>
        <v>68.594999999999999</v>
      </c>
      <c r="D34" s="77">
        <f t="shared" si="7"/>
        <v>5.9783645000000005</v>
      </c>
      <c r="E34" s="77">
        <f t="shared" si="8"/>
        <v>2.0382575000000003</v>
      </c>
      <c r="F34" s="77">
        <f t="shared" si="9"/>
        <v>9.1463570000000001</v>
      </c>
      <c r="G34" s="77">
        <f t="shared" si="5"/>
        <v>0.374</v>
      </c>
      <c r="H34" s="77">
        <f t="shared" si="5"/>
        <v>3.8760000000000003</v>
      </c>
      <c r="I34" s="77">
        <f t="shared" si="5"/>
        <v>0.24735000000000001</v>
      </c>
      <c r="J34" s="77">
        <f t="shared" si="5"/>
        <v>8.6700000000000024E-3</v>
      </c>
      <c r="K34" s="77">
        <f t="shared" si="5"/>
        <v>9.4350000000000024E-3</v>
      </c>
      <c r="L34" s="77">
        <f t="shared" si="5"/>
        <v>0.28304999999999997</v>
      </c>
      <c r="M34" s="77">
        <f t="shared" si="5"/>
        <v>0.10455</v>
      </c>
      <c r="N34" s="77">
        <f t="shared" si="5"/>
        <v>39.525000000000006</v>
      </c>
      <c r="O34" s="77">
        <f t="shared" si="5"/>
        <v>3162.0000000000005</v>
      </c>
      <c r="P34" s="77">
        <f t="shared" si="5"/>
        <v>0</v>
      </c>
      <c r="Q34" s="77">
        <f t="shared" si="10"/>
        <v>58.650000000000013</v>
      </c>
      <c r="R34" s="77">
        <f t="shared" si="11"/>
        <v>0</v>
      </c>
      <c r="S34" s="77">
        <f t="shared" si="11"/>
        <v>0.14450000000000002</v>
      </c>
      <c r="T34" s="77">
        <f t="shared" si="11"/>
        <v>0</v>
      </c>
      <c r="U34" s="77">
        <f t="shared" si="11"/>
        <v>0</v>
      </c>
      <c r="AB34" s="59"/>
      <c r="AC34" s="59"/>
      <c r="AD34" s="59"/>
      <c r="AE34" s="59"/>
      <c r="AF34" s="59"/>
      <c r="AG34" s="59"/>
      <c r="AH34" s="59"/>
      <c r="AI34" s="59"/>
    </row>
    <row r="35" spans="1:35" s="72" customFormat="1" ht="13" x14ac:dyDescent="0.35">
      <c r="A35" s="13">
        <f>G8</f>
        <v>5</v>
      </c>
      <c r="B35" s="15">
        <v>250</v>
      </c>
      <c r="C35" s="77">
        <f t="shared" si="6"/>
        <v>68.594999999999999</v>
      </c>
      <c r="D35" s="77">
        <f t="shared" si="7"/>
        <v>5.9783645000000005</v>
      </c>
      <c r="E35" s="77">
        <f t="shared" si="8"/>
        <v>2.0382575000000003</v>
      </c>
      <c r="F35" s="77">
        <f t="shared" si="9"/>
        <v>9.1463570000000001</v>
      </c>
      <c r="G35" s="77">
        <f t="shared" si="5"/>
        <v>0.374</v>
      </c>
      <c r="H35" s="77">
        <f t="shared" si="5"/>
        <v>3.8760000000000003</v>
      </c>
      <c r="I35" s="77">
        <f t="shared" si="5"/>
        <v>0.24735000000000001</v>
      </c>
      <c r="J35" s="77">
        <f t="shared" si="5"/>
        <v>8.6700000000000024E-3</v>
      </c>
      <c r="K35" s="77">
        <f t="shared" si="5"/>
        <v>9.4350000000000024E-3</v>
      </c>
      <c r="L35" s="77">
        <f t="shared" si="5"/>
        <v>0.28304999999999997</v>
      </c>
      <c r="M35" s="77">
        <f t="shared" si="5"/>
        <v>0.10455</v>
      </c>
      <c r="N35" s="77">
        <f t="shared" si="5"/>
        <v>39.525000000000006</v>
      </c>
      <c r="O35" s="77">
        <f t="shared" si="5"/>
        <v>3162.0000000000005</v>
      </c>
      <c r="P35" s="77">
        <f t="shared" si="5"/>
        <v>0</v>
      </c>
      <c r="Q35" s="77">
        <f t="shared" si="10"/>
        <v>58.650000000000013</v>
      </c>
      <c r="R35" s="77">
        <f t="shared" si="11"/>
        <v>0</v>
      </c>
      <c r="S35" s="77">
        <f t="shared" si="11"/>
        <v>0.14450000000000002</v>
      </c>
      <c r="T35" s="77">
        <f t="shared" si="11"/>
        <v>0</v>
      </c>
      <c r="U35" s="77">
        <f t="shared" si="11"/>
        <v>0</v>
      </c>
      <c r="AB35" s="59"/>
      <c r="AC35" s="59"/>
      <c r="AD35" s="59"/>
      <c r="AE35" s="59"/>
      <c r="AF35" s="59"/>
      <c r="AG35" s="59"/>
      <c r="AH35" s="59"/>
      <c r="AI35" s="59"/>
    </row>
    <row r="36" spans="1:35" s="72" customFormat="1" ht="13" x14ac:dyDescent="0.35">
      <c r="A36" s="13">
        <f>H8</f>
        <v>6</v>
      </c>
      <c r="B36" s="15">
        <v>250</v>
      </c>
      <c r="C36" s="77">
        <f t="shared" si="6"/>
        <v>68.594999999999999</v>
      </c>
      <c r="D36" s="77">
        <f t="shared" si="7"/>
        <v>5.9783645000000005</v>
      </c>
      <c r="E36" s="77">
        <f t="shared" si="8"/>
        <v>2.0382575000000003</v>
      </c>
      <c r="F36" s="77">
        <f t="shared" si="9"/>
        <v>9.1463570000000001</v>
      </c>
      <c r="G36" s="77">
        <f t="shared" si="5"/>
        <v>0.374</v>
      </c>
      <c r="H36" s="77">
        <f t="shared" si="5"/>
        <v>3.8760000000000003</v>
      </c>
      <c r="I36" s="77">
        <f t="shared" si="5"/>
        <v>0.24735000000000001</v>
      </c>
      <c r="J36" s="77">
        <f t="shared" si="5"/>
        <v>8.6700000000000024E-3</v>
      </c>
      <c r="K36" s="77">
        <f t="shared" si="5"/>
        <v>9.4350000000000024E-3</v>
      </c>
      <c r="L36" s="77">
        <f t="shared" si="5"/>
        <v>0.28304999999999997</v>
      </c>
      <c r="M36" s="77">
        <f t="shared" si="5"/>
        <v>0.10455</v>
      </c>
      <c r="N36" s="77">
        <f t="shared" si="5"/>
        <v>39.525000000000006</v>
      </c>
      <c r="O36" s="77">
        <f t="shared" si="5"/>
        <v>3162.0000000000005</v>
      </c>
      <c r="P36" s="77">
        <f t="shared" si="5"/>
        <v>0</v>
      </c>
      <c r="Q36" s="77">
        <f t="shared" si="10"/>
        <v>58.650000000000013</v>
      </c>
      <c r="R36" s="77">
        <f t="shared" si="11"/>
        <v>0</v>
      </c>
      <c r="S36" s="77">
        <f t="shared" si="11"/>
        <v>0.14450000000000002</v>
      </c>
      <c r="T36" s="77">
        <f t="shared" si="11"/>
        <v>0</v>
      </c>
      <c r="U36" s="77">
        <f t="shared" si="11"/>
        <v>0</v>
      </c>
      <c r="AB36" s="59"/>
      <c r="AC36" s="59"/>
      <c r="AD36" s="59"/>
      <c r="AE36" s="59"/>
      <c r="AF36" s="59"/>
      <c r="AG36" s="59"/>
      <c r="AH36" s="59"/>
      <c r="AI36" s="59"/>
    </row>
    <row r="37" spans="1:35" s="72" customFormat="1" ht="13" x14ac:dyDescent="0.35">
      <c r="A37" s="13" t="str">
        <f>I8</f>
        <v>A</v>
      </c>
      <c r="B37" s="15">
        <v>250</v>
      </c>
      <c r="C37" s="77">
        <f t="shared" si="6"/>
        <v>68.594999999999999</v>
      </c>
      <c r="D37" s="77">
        <f t="shared" si="7"/>
        <v>5.9783645000000005</v>
      </c>
      <c r="E37" s="77">
        <f t="shared" si="8"/>
        <v>2.0382575000000003</v>
      </c>
      <c r="F37" s="77">
        <f t="shared" si="9"/>
        <v>9.1463570000000001</v>
      </c>
      <c r="G37" s="77">
        <f t="shared" si="5"/>
        <v>0.374</v>
      </c>
      <c r="H37" s="77">
        <f t="shared" si="5"/>
        <v>3.8760000000000003</v>
      </c>
      <c r="I37" s="77">
        <f t="shared" si="5"/>
        <v>0.24735000000000001</v>
      </c>
      <c r="J37" s="77">
        <f t="shared" si="5"/>
        <v>8.6700000000000024E-3</v>
      </c>
      <c r="K37" s="77">
        <f t="shared" si="5"/>
        <v>9.4350000000000024E-3</v>
      </c>
      <c r="L37" s="77">
        <f t="shared" si="5"/>
        <v>0.28304999999999997</v>
      </c>
      <c r="M37" s="77">
        <f t="shared" si="5"/>
        <v>0.10455</v>
      </c>
      <c r="N37" s="77">
        <f t="shared" si="5"/>
        <v>39.525000000000006</v>
      </c>
      <c r="O37" s="77">
        <f t="shared" si="5"/>
        <v>3162.0000000000005</v>
      </c>
      <c r="P37" s="77">
        <f t="shared" si="5"/>
        <v>0</v>
      </c>
      <c r="Q37" s="77">
        <f t="shared" si="10"/>
        <v>58.650000000000013</v>
      </c>
      <c r="R37" s="77">
        <f t="shared" si="11"/>
        <v>0</v>
      </c>
      <c r="S37" s="77">
        <f t="shared" si="11"/>
        <v>0.14450000000000002</v>
      </c>
      <c r="T37" s="77">
        <f t="shared" si="11"/>
        <v>0</v>
      </c>
      <c r="U37" s="77">
        <f t="shared" si="11"/>
        <v>0</v>
      </c>
      <c r="AB37" s="59"/>
      <c r="AC37" s="59"/>
      <c r="AD37" s="59"/>
      <c r="AE37" s="59"/>
      <c r="AF37" s="59"/>
      <c r="AG37" s="59"/>
      <c r="AH37" s="59"/>
      <c r="AI37" s="59"/>
    </row>
    <row r="38" spans="1:35" s="72" customFormat="1" ht="13" x14ac:dyDescent="0.35">
      <c r="A38" s="13" t="str">
        <f>J8</f>
        <v>B</v>
      </c>
      <c r="B38" s="15">
        <v>250</v>
      </c>
      <c r="C38" s="77">
        <f t="shared" si="6"/>
        <v>68.594999999999999</v>
      </c>
      <c r="D38" s="77">
        <f t="shared" si="7"/>
        <v>5.9783645000000005</v>
      </c>
      <c r="E38" s="77">
        <f t="shared" si="8"/>
        <v>2.0382575000000003</v>
      </c>
      <c r="F38" s="77">
        <f t="shared" si="9"/>
        <v>9.1463570000000001</v>
      </c>
      <c r="G38" s="77">
        <f t="shared" si="5"/>
        <v>0.374</v>
      </c>
      <c r="H38" s="77">
        <f t="shared" si="5"/>
        <v>3.8760000000000003</v>
      </c>
      <c r="I38" s="77">
        <f t="shared" si="5"/>
        <v>0.24735000000000001</v>
      </c>
      <c r="J38" s="77">
        <f t="shared" si="5"/>
        <v>8.6700000000000024E-3</v>
      </c>
      <c r="K38" s="77">
        <f t="shared" si="5"/>
        <v>9.4350000000000024E-3</v>
      </c>
      <c r="L38" s="77">
        <f t="shared" si="5"/>
        <v>0.28304999999999997</v>
      </c>
      <c r="M38" s="77">
        <f t="shared" si="5"/>
        <v>0.10455</v>
      </c>
      <c r="N38" s="77">
        <f t="shared" si="5"/>
        <v>39.525000000000006</v>
      </c>
      <c r="O38" s="77">
        <f t="shared" si="5"/>
        <v>3162.0000000000005</v>
      </c>
      <c r="P38" s="77">
        <f t="shared" si="5"/>
        <v>0</v>
      </c>
      <c r="Q38" s="77">
        <f t="shared" si="10"/>
        <v>58.650000000000013</v>
      </c>
      <c r="R38" s="77">
        <f t="shared" si="11"/>
        <v>0</v>
      </c>
      <c r="S38" s="77">
        <f t="shared" si="11"/>
        <v>0.14450000000000002</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t="str">
        <f t="shared" si="13"/>
        <v>A</v>
      </c>
      <c r="I57" s="8" t="str">
        <f t="shared" si="13"/>
        <v>B</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Arable</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e">
        <f>K16&amp;" I "&amp;(VLOOKUP(K14,Table2458[],6,FALSE))</f>
        <v>#N/A</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6.2</v>
      </c>
      <c r="C59" s="76">
        <f>VLOOKUP(D$14,Table2458[],5,FALSE)</f>
        <v>6.2</v>
      </c>
      <c r="D59" s="76">
        <f>VLOOKUP(E$14,Table2458[],5,FALSE)</f>
        <v>6.2</v>
      </c>
      <c r="E59" s="76">
        <f>VLOOKUP(F$14,Table2458[],5,FALSE)</f>
        <v>6.7</v>
      </c>
      <c r="F59" s="76">
        <f>VLOOKUP(G$14,Table2458[],5,FALSE)</f>
        <v>6.2</v>
      </c>
      <c r="G59" s="76">
        <f>VLOOKUP(H$14,Table2458[],5,FALSE)</f>
        <v>6.2</v>
      </c>
      <c r="H59" s="76">
        <f>VLOOKUP(I$14,Table2458[],5,FALSE)</f>
        <v>6.2</v>
      </c>
      <c r="I59" s="76">
        <f>VLOOKUP(J$14,Table2458[],5,FALSE)</f>
        <v>6.2</v>
      </c>
      <c r="J59" s="76" t="e">
        <f>VLOOKUP(K$14,Table2458[],5,FALSE)</f>
        <v>#N/A</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6.4</v>
      </c>
      <c r="C60" s="76">
        <f t="shared" ref="C60:U60" si="14">D10</f>
        <v>5.8</v>
      </c>
      <c r="D60" s="76">
        <f t="shared" si="14"/>
        <v>6</v>
      </c>
      <c r="E60" s="76">
        <f t="shared" si="14"/>
        <v>6</v>
      </c>
      <c r="F60" s="76">
        <f t="shared" si="14"/>
        <v>5.9</v>
      </c>
      <c r="G60" s="76">
        <f t="shared" si="14"/>
        <v>6.1</v>
      </c>
      <c r="H60" s="76">
        <f t="shared" si="14"/>
        <v>5.8</v>
      </c>
      <c r="I60" s="76">
        <f t="shared" si="14"/>
        <v>5.7</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8</v>
      </c>
      <c r="F61" s="76">
        <f t="shared" si="15"/>
        <v>6</v>
      </c>
      <c r="G61" s="76">
        <f t="shared" si="15"/>
        <v>6</v>
      </c>
      <c r="H61" s="76">
        <f t="shared" si="15"/>
        <v>6</v>
      </c>
      <c r="I61" s="76">
        <f t="shared" si="15"/>
        <v>6</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-1.2000000000000011</v>
      </c>
      <c r="C64" s="77">
        <f t="shared" ref="C64:U64" si="17">(C59-C60)*C61</f>
        <v>2.4000000000000021</v>
      </c>
      <c r="D64" s="77">
        <f t="shared" si="17"/>
        <v>1.2000000000000011</v>
      </c>
      <c r="E64" s="77">
        <f t="shared" si="17"/>
        <v>5.6000000000000014</v>
      </c>
      <c r="F64" s="77">
        <f t="shared" si="17"/>
        <v>1.7999999999999989</v>
      </c>
      <c r="G64" s="77">
        <f t="shared" si="17"/>
        <v>0.6000000000000032</v>
      </c>
      <c r="H64" s="77">
        <f t="shared" si="17"/>
        <v>2.4000000000000021</v>
      </c>
      <c r="I64" s="77">
        <f t="shared" si="17"/>
        <v>3</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1.2000000000000011</v>
      </c>
      <c r="C65" s="77">
        <f t="shared" ref="C65:U65" si="18">C63-C64</f>
        <v>-2.4000000000000021</v>
      </c>
      <c r="D65" s="77">
        <f t="shared" si="18"/>
        <v>-1.2000000000000011</v>
      </c>
      <c r="E65" s="77">
        <f t="shared" si="18"/>
        <v>-5.6000000000000014</v>
      </c>
      <c r="F65" s="77">
        <f t="shared" si="18"/>
        <v>-1.7999999999999989</v>
      </c>
      <c r="G65" s="77">
        <f t="shared" si="18"/>
        <v>-0.6000000000000032</v>
      </c>
      <c r="H65" s="77">
        <f t="shared" si="18"/>
        <v>-2.4000000000000021</v>
      </c>
      <c r="I65" s="77">
        <f t="shared" si="18"/>
        <v>-3</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62:U66 B31:B50">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topLeftCell="A16"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PAN-024177</v>
      </c>
      <c r="D1" s="141"/>
      <c r="E1" s="93" t="s">
        <v>45</v>
      </c>
      <c r="F1" s="39">
        <f>'Field data and Waste 1'!F1</f>
        <v>44.3</v>
      </c>
      <c r="G1" s="120" t="s">
        <v>43</v>
      </c>
      <c r="H1" s="121"/>
      <c r="I1" s="118">
        <v>6.3</v>
      </c>
      <c r="J1" s="119" t="s">
        <v>153</v>
      </c>
      <c r="K1" s="119"/>
      <c r="L1" s="97">
        <v>65.900000000000006</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GP3792SK</v>
      </c>
      <c r="D2" s="143"/>
      <c r="E2" s="93" t="s">
        <v>109</v>
      </c>
      <c r="F2" s="96" t="s">
        <v>167</v>
      </c>
      <c r="G2" s="138" t="s">
        <v>110</v>
      </c>
      <c r="H2" s="139"/>
      <c r="I2" s="118"/>
      <c r="J2" s="119" t="s">
        <v>158</v>
      </c>
      <c r="K2" s="119"/>
      <c r="L2" s="97">
        <v>0.61199999999999999</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Byproduct Recovery ltd</v>
      </c>
      <c r="D3" s="143"/>
      <c r="E3" s="93" t="s">
        <v>108</v>
      </c>
      <c r="F3" s="31" t="s">
        <v>78</v>
      </c>
      <c r="G3" s="119" t="s">
        <v>159</v>
      </c>
      <c r="H3" s="119"/>
      <c r="I3" s="118"/>
      <c r="J3" s="120" t="s">
        <v>154</v>
      </c>
      <c r="K3" s="121"/>
      <c r="L3" s="97">
        <f>(L1/(L2*10000))*100</f>
        <v>1.076797385620915</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Plas Bach, Cerrigceinwen, Bodorgan LL62 5NS</v>
      </c>
      <c r="D4" s="141"/>
      <c r="E4" s="94" t="s">
        <v>1</v>
      </c>
      <c r="F4" s="96" t="s">
        <v>176</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 xml:space="preserve">Ethan Banfield </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1</v>
      </c>
      <c r="D8" s="60">
        <f>'Field data and Waste 1'!D8</f>
        <v>2</v>
      </c>
      <c r="E8" s="60">
        <f>'Field data and Waste 1'!E8</f>
        <v>3</v>
      </c>
      <c r="F8" s="60">
        <f>'Field data and Waste 1'!F8</f>
        <v>4</v>
      </c>
      <c r="G8" s="60">
        <f>'Field data and Waste 1'!G8</f>
        <v>5</v>
      </c>
      <c r="H8" s="60">
        <f>'Field data and Waste 1'!H8</f>
        <v>6</v>
      </c>
      <c r="I8" s="60" t="str">
        <f>'Field data and Waste 1'!I8</f>
        <v>A</v>
      </c>
      <c r="J8" s="60" t="str">
        <f>'Field data and Waste 1'!J8</f>
        <v>B</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6.4</v>
      </c>
      <c r="D10" s="60">
        <f>'Field data and Waste 1'!D10</f>
        <v>5.8</v>
      </c>
      <c r="E10" s="60">
        <f>'Field data and Waste 1'!E10</f>
        <v>6</v>
      </c>
      <c r="F10" s="60">
        <f>'Field data and Waste 1'!F10</f>
        <v>6</v>
      </c>
      <c r="G10" s="60">
        <f>'Field data and Waste 1'!G10</f>
        <v>5.9</v>
      </c>
      <c r="H10" s="60">
        <f>'Field data and Waste 1'!H10</f>
        <v>6.1</v>
      </c>
      <c r="I10" s="60">
        <f>'Field data and Waste 1'!I10</f>
        <v>5.8</v>
      </c>
      <c r="J10" s="60">
        <f>'Field data and Waste 1'!J10</f>
        <v>5.7</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3</v>
      </c>
      <c r="F11" s="60">
        <f>'Field data and Waste 1'!F11</f>
        <v>1</v>
      </c>
      <c r="G11" s="60">
        <f>'Field data and Waste 1'!G11</f>
        <v>0</v>
      </c>
      <c r="H11" s="60">
        <f>'Field data and Waste 1'!H11</f>
        <v>3</v>
      </c>
      <c r="I11" s="60">
        <f>'Field data and Waste 1'!I11</f>
        <v>2</v>
      </c>
      <c r="J11" s="60">
        <f>'Field data and Waste 1'!J11</f>
        <v>2</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3</v>
      </c>
      <c r="D12" s="60">
        <f>'Field data and Waste 1'!D12</f>
        <v>4</v>
      </c>
      <c r="E12" s="60">
        <f>'Field data and Waste 1'!E12</f>
        <v>4</v>
      </c>
      <c r="F12" s="60">
        <f>'Field data and Waste 1'!F12</f>
        <v>1</v>
      </c>
      <c r="G12" s="60">
        <f>'Field data and Waste 1'!G12</f>
        <v>1</v>
      </c>
      <c r="H12" s="60">
        <f>'Field data and Waste 1'!H12</f>
        <v>2</v>
      </c>
      <c r="I12" s="60">
        <f>'Field data and Waste 1'!I12</f>
        <v>2</v>
      </c>
      <c r="J12" s="60">
        <f>'Field data and Waste 1'!J12</f>
        <v>2</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4</v>
      </c>
      <c r="D13" s="60">
        <f>'Field data and Waste 1'!D13</f>
        <v>3</v>
      </c>
      <c r="E13" s="60">
        <f>'Field data and Waste 1'!E13</f>
        <v>3</v>
      </c>
      <c r="F13" s="60">
        <f>'Field data and Waste 1'!F13</f>
        <v>3</v>
      </c>
      <c r="G13" s="60">
        <f>'Field data and Waste 1'!G13</f>
        <v>3</v>
      </c>
      <c r="H13" s="60">
        <f>'Field data and Waste 1'!H13</f>
        <v>3</v>
      </c>
      <c r="I13" s="60">
        <f>'Field data and Waste 1'!I13</f>
        <v>3</v>
      </c>
      <c r="J13" s="60">
        <f>'Field data and Waste 1'!J13</f>
        <v>3</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Spring wheat/barley</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5.5</v>
      </c>
      <c r="G15" s="60">
        <f>'Field data and Waste 1'!G15</f>
        <v>38</v>
      </c>
      <c r="H15" s="60">
        <f>'Field data and Waste 1'!H15</f>
        <v>38</v>
      </c>
      <c r="I15" s="60">
        <f>'Field data and Waste 1'!I15</f>
        <v>38</v>
      </c>
      <c r="J15" s="60">
        <f>'Field data and Waste 1'!J15</f>
        <v>38</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46.75</v>
      </c>
      <c r="G17" s="28">
        <f t="shared" si="0"/>
        <v>64.599999999999994</v>
      </c>
      <c r="H17" s="28">
        <f t="shared" si="0"/>
        <v>64.599999999999994</v>
      </c>
      <c r="I17" s="28">
        <f t="shared" si="0"/>
        <v>64.599999999999994</v>
      </c>
      <c r="J17" s="28">
        <f t="shared" si="0"/>
        <v>64.599999999999994</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26.833910250000006</v>
      </c>
      <c r="D18" s="16">
        <f>$D32</f>
        <v>26.833910250000006</v>
      </c>
      <c r="E18" s="16">
        <f>$D33</f>
        <v>20.393771790000002</v>
      </c>
      <c r="F18" s="16">
        <f>$D34</f>
        <v>26.833910250000006</v>
      </c>
      <c r="G18" s="16">
        <f>$D35</f>
        <v>26.833910250000006</v>
      </c>
      <c r="H18" s="16">
        <f>$D36</f>
        <v>20.393771790000002</v>
      </c>
      <c r="I18" s="16">
        <f>$D37</f>
        <v>26.833910250000006</v>
      </c>
      <c r="J18" s="16">
        <f>$D38</f>
        <v>26.833910250000006</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-37.766089749999992</v>
      </c>
      <c r="D19" s="16">
        <f t="shared" ref="D19:V19" si="1">D18-D17</f>
        <v>-37.766089749999992</v>
      </c>
      <c r="E19" s="16">
        <f t="shared" si="1"/>
        <v>-44.206228209999992</v>
      </c>
      <c r="F19" s="16">
        <f t="shared" si="1"/>
        <v>-19.916089749999994</v>
      </c>
      <c r="G19" s="16">
        <f t="shared" si="1"/>
        <v>-37.766089749999992</v>
      </c>
      <c r="H19" s="16">
        <f t="shared" si="1"/>
        <v>-44.206228209999992</v>
      </c>
      <c r="I19" s="16">
        <f t="shared" si="1"/>
        <v>-37.766089749999992</v>
      </c>
      <c r="J19" s="16">
        <f t="shared" si="1"/>
        <v>-37.766089749999992</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66</v>
      </c>
      <c r="G21" s="28">
        <f t="shared" si="2"/>
        <v>228</v>
      </c>
      <c r="H21" s="28">
        <f t="shared" si="2"/>
        <v>228</v>
      </c>
      <c r="I21" s="28">
        <f t="shared" si="2"/>
        <v>228</v>
      </c>
      <c r="J21" s="28">
        <f t="shared" si="2"/>
        <v>228</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1.8499762500000003</v>
      </c>
      <c r="D22" s="16">
        <f>$E32</f>
        <v>1.8499762500000003</v>
      </c>
      <c r="E22" s="16">
        <f>$E33</f>
        <v>1.4059819500000004</v>
      </c>
      <c r="F22" s="16">
        <f>$E34</f>
        <v>1.8499762500000003</v>
      </c>
      <c r="G22" s="16">
        <f>$E35</f>
        <v>1.8499762500000003</v>
      </c>
      <c r="H22" s="16">
        <f>$E36</f>
        <v>1.4059819500000004</v>
      </c>
      <c r="I22" s="16">
        <f>$E37</f>
        <v>1.8499762500000003</v>
      </c>
      <c r="J22" s="16">
        <f>$E38</f>
        <v>1.8499762500000003</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-226.15002375</v>
      </c>
      <c r="D23" s="16">
        <f t="shared" ref="D23:V23" si="3">D22-D21</f>
        <v>-226.15002375</v>
      </c>
      <c r="E23" s="16">
        <f t="shared" si="3"/>
        <v>-226.59401804999999</v>
      </c>
      <c r="F23" s="16">
        <f t="shared" si="3"/>
        <v>-64.150023750000003</v>
      </c>
      <c r="G23" s="16">
        <f t="shared" si="3"/>
        <v>-226.15002375</v>
      </c>
      <c r="H23" s="16">
        <f t="shared" si="3"/>
        <v>-226.59401804999999</v>
      </c>
      <c r="I23" s="16">
        <f t="shared" si="3"/>
        <v>-226.15002375</v>
      </c>
      <c r="J23" s="16">
        <f t="shared" si="3"/>
        <v>-226.15002375</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6.9</v>
      </c>
      <c r="C28" s="15">
        <v>0.61199999999999999</v>
      </c>
      <c r="D28" s="15">
        <v>6.7900000000000002E-2</v>
      </c>
      <c r="E28" s="15">
        <v>8.8999999999999999E-3</v>
      </c>
      <c r="F28" s="15">
        <v>300</v>
      </c>
      <c r="G28" s="15">
        <v>7.8</v>
      </c>
      <c r="H28" s="15">
        <v>259</v>
      </c>
      <c r="I28" s="15">
        <v>31.1</v>
      </c>
      <c r="J28" s="15">
        <v>0.15</v>
      </c>
      <c r="K28" s="23">
        <v>0.57999999999999996</v>
      </c>
      <c r="L28" s="15">
        <v>28.2</v>
      </c>
      <c r="M28" s="15">
        <v>20.5</v>
      </c>
      <c r="N28" s="15">
        <v>2910</v>
      </c>
      <c r="O28" s="15">
        <v>418000</v>
      </c>
      <c r="P28" s="15"/>
      <c r="Q28" s="15">
        <v>4550</v>
      </c>
      <c r="R28" s="15"/>
      <c r="S28" s="15">
        <v>31.2</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250</v>
      </c>
      <c r="C31" s="77">
        <f>IF(C$27="%w/w SAR",((C$28*10)*$B31),IF(C$27="%w/w DM",(((C$28*10)*($B$28/100))*$B31),IF(C$27="kg/t SAR",(C$28*$B31),IF(C$27="kg/t DM",((C$28*($B$28/100))*$B31),IF(C$27="mg/kg SAR",((C$28*0.001)*$B31),IF(C$27="mg/kg DM",(((C$28*0.001)*($B$28/100))*$B31),0))))))</f>
        <v>105.57000000000001</v>
      </c>
      <c r="D31" s="77">
        <f>(IF(D$27="%w/w SAR",((D$28*10)*$B31),IF(D$27="%w/w DM",(((D$28*10)*($B$28/100))*$B31),IF(D$27="kg/t SAR",(D$28*$B31),IF(D$27="kg/t DM",((D$28*($B$28/100))*$B31),IF(D$27="mg/kg SAR",((D$28*0.001)*$B31),IF(D$27="mg/kg DM",(((D$28*0.001)*($B$28/100))*$B31),"0")))))))*2.291</f>
        <v>26.833910250000006</v>
      </c>
      <c r="E31" s="77">
        <f>(IF(E$27="%w/w SAR",((E$28*10)*$B31),IF(E$27="%w/w DM",(((E$28*10)*($B$28/100))*$B31),IF(E$27="kg/t SAR",(E$28*$B31),IF(E$27="kg/t DM",((E$28*($B$28/100))*$B31),IF(E$27="mg/kg SAR",((E$28*0.001)*$B31),IF(E$27="mg/kg DM",(((E$28*0.001)*($B$28/100))*$B31),"0")))))))*1.205</f>
        <v>1.8499762500000003</v>
      </c>
      <c r="F31" s="77">
        <f>(IF(F$27="%w/w SAR",((F$28*10)*$B31),IF(F$27="%w/w DM",(((F$28*10)*($B$28/100))*$B31),IF(F$27="kg/t SAR",(F$28*$B31),IF(F$27="kg/t DM",((F$28*($B$28/100))*$B31),IF(F$27="mg/kg SAR",((F$28*0.001)*$B31),IF(F$27="mg/kg DM",(((F$28*0.001)*($B$28/100))*$B31),"0")))))))*1.658</f>
        <v>8.5801499999999997</v>
      </c>
      <c r="G31" s="77">
        <f t="shared" ref="G31:P46" si="5">IF(G$27="%w/w SAR",((G$28*10)*$B31),IF(G$27="%w/w DM",(((G$28*10)*($B$28/100))*$B31),IF(G$27="kg/t SAR",(G$28*$B31),IF(G$27="kg/t DM",((G$28*($B$28/100))*$B31),IF(G$27="mg/kg SAR",((G$28*0.001)*$B31),IF(G$27="mg/kg DM",(((G$28*0.001)*($B$28/100))*$B31),0))))))</f>
        <v>0.13455000000000003</v>
      </c>
      <c r="H31" s="77">
        <f t="shared" si="5"/>
        <v>4.4677500000000006</v>
      </c>
      <c r="I31" s="77">
        <f t="shared" si="5"/>
        <v>0.53647500000000015</v>
      </c>
      <c r="J31" s="77">
        <f t="shared" si="5"/>
        <v>2.5875E-3</v>
      </c>
      <c r="K31" s="77">
        <f t="shared" si="5"/>
        <v>1.0005000000000002E-2</v>
      </c>
      <c r="L31" s="77">
        <f t="shared" si="5"/>
        <v>0.48645000000000005</v>
      </c>
      <c r="M31" s="77">
        <f t="shared" si="5"/>
        <v>0.35362500000000002</v>
      </c>
      <c r="N31" s="77">
        <f t="shared" si="5"/>
        <v>50.197500000000005</v>
      </c>
      <c r="O31" s="77">
        <f t="shared" si="5"/>
        <v>7210.5000000000009</v>
      </c>
      <c r="P31" s="77">
        <f t="shared" si="5"/>
        <v>0</v>
      </c>
      <c r="Q31" s="77">
        <f>(IF(Q$27="%w/w SAR",((Q$28*10)*$B31),IF(Q$27="%w/w DM",(((Q$28*10)*($B$28/100))*$B31),IF(Q$27="kg/t SAR",(Q$28*$B31),IF(Q$27="kg/t DM",((Q$28*($B$28/100))*$B31),IF(Q$27="mg/kg SAR",((Q$28*0.001)*$B31),IF(Q$27="mg/kg DM",(((Q$28*0.001)*($B$28/100))*$B31),0)))))))*2.5</f>
        <v>196.21875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0.53820000000000012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250</v>
      </c>
      <c r="C32" s="77">
        <f t="shared" ref="C32:C50" si="6">IF(C$27="%w/w SAR",((C$28*10)*$B32),IF(C$27="%w/w DM",(((C$28*10)*($B$28/100))*$B32),IF(C$27="kg/t SAR",(C$28*$B32),IF(C$27="kg/t DM",((C$28*($B$28/100))*$B32),IF(C$27="mg/kg SAR",((C$28*0.001)*$B32),IF(C$27="mg/kg DM",(((C$28*0.001)*($B$28/100))*$B32),0))))))</f>
        <v>105.57000000000001</v>
      </c>
      <c r="D32" s="77">
        <f t="shared" ref="D32:D50" si="7">(IF(D$27="%w/w SAR",((D$28*10)*$B32),IF(D$27="%w/w DM",(((D$28*10)*($B$28/100))*$B32),IF(D$27="kg/t SAR",(D$28*$B32),IF(D$27="kg/t DM",((D$28*($B$28/100))*$B32),IF(D$27="mg/kg SAR",((D$28*0.001)*$B32),IF(D$27="mg/kg DM",(((D$28*0.001)*($B$28/100))*$B32),"0")))))))*2.291</f>
        <v>26.833910250000006</v>
      </c>
      <c r="E32" s="77">
        <f t="shared" ref="E32:E50" si="8">(IF(E$27="%w/w SAR",((E$28*10)*$B32),IF(E$27="%w/w DM",(((E$28*10)*($B$28/100))*$B32),IF(E$27="kg/t SAR",(E$28*$B32),IF(E$27="kg/t DM",((E$28*($B$28/100))*$B32),IF(E$27="mg/kg SAR",((E$28*0.001)*$B32),IF(E$27="mg/kg DM",(((E$28*0.001)*($B$28/100))*$B32),"0")))))))*1.205</f>
        <v>1.8499762500000003</v>
      </c>
      <c r="F32" s="77">
        <f t="shared" ref="F32:F50" si="9">(IF(F$27="%w/w SAR",((F$28*10)*$B32),IF(F$27="%w/w DM",(((F$28*10)*($B$28/100))*$B32),IF(F$27="kg/t SAR",(F$28*$B32),IF(F$27="kg/t DM",((F$28*($B$28/100))*$B32),IF(F$27="mg/kg SAR",((F$28*0.001)*$B32),IF(F$27="mg/kg DM",(((F$28*0.001)*($B$28/100))*$B32),"0")))))))*1.658</f>
        <v>8.5801499999999997</v>
      </c>
      <c r="G32" s="77">
        <f t="shared" si="5"/>
        <v>0.13455000000000003</v>
      </c>
      <c r="H32" s="77">
        <f t="shared" si="5"/>
        <v>4.4677500000000006</v>
      </c>
      <c r="I32" s="77">
        <f t="shared" si="5"/>
        <v>0.53647500000000015</v>
      </c>
      <c r="J32" s="77">
        <f t="shared" si="5"/>
        <v>2.5875E-3</v>
      </c>
      <c r="K32" s="77">
        <f t="shared" si="5"/>
        <v>1.0005000000000002E-2</v>
      </c>
      <c r="L32" s="77">
        <f t="shared" si="5"/>
        <v>0.48645000000000005</v>
      </c>
      <c r="M32" s="77">
        <f t="shared" si="5"/>
        <v>0.35362500000000002</v>
      </c>
      <c r="N32" s="77">
        <f t="shared" si="5"/>
        <v>50.197500000000005</v>
      </c>
      <c r="O32" s="77">
        <f t="shared" si="5"/>
        <v>7210.5000000000009</v>
      </c>
      <c r="P32" s="77">
        <f t="shared" si="5"/>
        <v>0</v>
      </c>
      <c r="Q32" s="77">
        <f t="shared" ref="Q32:Q50" si="10">(IF(Q$27="%w/w SAR",((Q$28*10)*$B32),IF(Q$27="%w/w DM",(((Q$28*10)*($B$28/100))*$B32),IF(Q$27="kg/t SAR",(Q$28*$B32),IF(Q$27="kg/t DM",((Q$28*($B$28/100))*$B32),IF(Q$27="mg/kg SAR",((Q$28*0.001)*$B32),IF(Q$27="mg/kg DM",(((Q$28*0.001)*($B$28/100))*$B32),0)))))))*2.5</f>
        <v>196.21875</v>
      </c>
      <c r="R32" s="77">
        <f t="shared" ref="R32:U50" si="11">IF(R$27="%w/w SAR",((R$28*10)*$B32),IF(R$27="%w/w DM",(((R$28*10)*($B$28/100))*$B32),IF(R$27="kg/t SAR",(R$28*$B32),IF(R$27="kg/t DM",((R$28*($B$28/100))*$B32),IF(R$27="mg/kg SAR",((R$28*0.001)*$B32),IF(R$27="mg/kg DM",(((R$28*0.001)*($B$28/100))*$B32),0))))))</f>
        <v>0</v>
      </c>
      <c r="S32" s="77">
        <f t="shared" si="11"/>
        <v>0.53820000000000012</v>
      </c>
      <c r="T32" s="77">
        <f t="shared" si="11"/>
        <v>0</v>
      </c>
      <c r="U32" s="77">
        <f t="shared" si="11"/>
        <v>0</v>
      </c>
      <c r="AB32" s="59"/>
      <c r="AC32" s="59"/>
      <c r="AD32" s="59"/>
      <c r="AE32" s="59"/>
      <c r="AF32" s="59"/>
      <c r="AG32" s="59"/>
      <c r="AH32" s="59"/>
      <c r="AI32" s="59"/>
    </row>
    <row r="33" spans="1:35" s="72" customFormat="1" ht="13" x14ac:dyDescent="0.35">
      <c r="A33" s="13">
        <f>E8</f>
        <v>3</v>
      </c>
      <c r="B33" s="15">
        <v>190</v>
      </c>
      <c r="C33" s="77">
        <f t="shared" si="6"/>
        <v>80.233200000000011</v>
      </c>
      <c r="D33" s="77">
        <f t="shared" si="7"/>
        <v>20.393771790000002</v>
      </c>
      <c r="E33" s="77">
        <f t="shared" si="8"/>
        <v>1.4059819500000004</v>
      </c>
      <c r="F33" s="77">
        <f t="shared" si="9"/>
        <v>6.5209139999999994</v>
      </c>
      <c r="G33" s="77">
        <f t="shared" si="5"/>
        <v>0.10225800000000002</v>
      </c>
      <c r="H33" s="77">
        <f t="shared" si="5"/>
        <v>3.3954900000000001</v>
      </c>
      <c r="I33" s="77">
        <f t="shared" si="5"/>
        <v>0.40772100000000011</v>
      </c>
      <c r="J33" s="77">
        <f t="shared" si="5"/>
        <v>1.9664999999999999E-3</v>
      </c>
      <c r="K33" s="77">
        <f t="shared" si="5"/>
        <v>7.6038000000000008E-3</v>
      </c>
      <c r="L33" s="77">
        <f t="shared" si="5"/>
        <v>0.36970200000000003</v>
      </c>
      <c r="M33" s="77">
        <f t="shared" si="5"/>
        <v>0.26875500000000002</v>
      </c>
      <c r="N33" s="77">
        <f t="shared" si="5"/>
        <v>38.150100000000002</v>
      </c>
      <c r="O33" s="77">
        <f t="shared" si="5"/>
        <v>5479.9800000000005</v>
      </c>
      <c r="P33" s="77">
        <f t="shared" si="5"/>
        <v>0</v>
      </c>
      <c r="Q33" s="77">
        <f t="shared" si="10"/>
        <v>149.12625</v>
      </c>
      <c r="R33" s="77">
        <f t="shared" si="11"/>
        <v>0</v>
      </c>
      <c r="S33" s="77">
        <f t="shared" si="11"/>
        <v>0.40903200000000006</v>
      </c>
      <c r="T33" s="77">
        <f t="shared" si="11"/>
        <v>0</v>
      </c>
      <c r="U33" s="77">
        <f t="shared" si="11"/>
        <v>0</v>
      </c>
      <c r="AB33" s="59"/>
      <c r="AC33" s="59"/>
      <c r="AD33" s="59"/>
      <c r="AE33" s="59"/>
      <c r="AF33" s="59"/>
      <c r="AG33" s="59"/>
      <c r="AH33" s="59"/>
      <c r="AI33" s="59"/>
    </row>
    <row r="34" spans="1:35" s="72" customFormat="1" ht="13" x14ac:dyDescent="0.35">
      <c r="A34" s="13">
        <f>F8</f>
        <v>4</v>
      </c>
      <c r="B34" s="15">
        <v>250</v>
      </c>
      <c r="C34" s="77">
        <f t="shared" si="6"/>
        <v>105.57000000000001</v>
      </c>
      <c r="D34" s="77">
        <f t="shared" si="7"/>
        <v>26.833910250000006</v>
      </c>
      <c r="E34" s="77">
        <f t="shared" si="8"/>
        <v>1.8499762500000003</v>
      </c>
      <c r="F34" s="77">
        <f t="shared" si="9"/>
        <v>8.5801499999999997</v>
      </c>
      <c r="G34" s="77">
        <f t="shared" si="5"/>
        <v>0.13455000000000003</v>
      </c>
      <c r="H34" s="77">
        <f t="shared" si="5"/>
        <v>4.4677500000000006</v>
      </c>
      <c r="I34" s="77">
        <f t="shared" si="5"/>
        <v>0.53647500000000015</v>
      </c>
      <c r="J34" s="77">
        <f t="shared" si="5"/>
        <v>2.5875E-3</v>
      </c>
      <c r="K34" s="77">
        <f t="shared" si="5"/>
        <v>1.0005000000000002E-2</v>
      </c>
      <c r="L34" s="77">
        <f t="shared" si="5"/>
        <v>0.48645000000000005</v>
      </c>
      <c r="M34" s="77">
        <f t="shared" si="5"/>
        <v>0.35362500000000002</v>
      </c>
      <c r="N34" s="77">
        <f t="shared" si="5"/>
        <v>50.197500000000005</v>
      </c>
      <c r="O34" s="77">
        <f t="shared" si="5"/>
        <v>7210.5000000000009</v>
      </c>
      <c r="P34" s="77">
        <f t="shared" si="5"/>
        <v>0</v>
      </c>
      <c r="Q34" s="77">
        <f t="shared" si="10"/>
        <v>196.21875</v>
      </c>
      <c r="R34" s="77">
        <f t="shared" si="11"/>
        <v>0</v>
      </c>
      <c r="S34" s="77">
        <f t="shared" si="11"/>
        <v>0.53820000000000012</v>
      </c>
      <c r="T34" s="77">
        <f t="shared" si="11"/>
        <v>0</v>
      </c>
      <c r="U34" s="77">
        <f t="shared" si="11"/>
        <v>0</v>
      </c>
      <c r="AB34" s="59"/>
      <c r="AC34" s="59"/>
      <c r="AD34" s="59"/>
      <c r="AE34" s="59"/>
      <c r="AF34" s="59"/>
      <c r="AG34" s="59"/>
      <c r="AH34" s="59"/>
      <c r="AI34" s="59"/>
    </row>
    <row r="35" spans="1:35" s="72" customFormat="1" ht="13" x14ac:dyDescent="0.35">
      <c r="A35" s="13">
        <f>G8</f>
        <v>5</v>
      </c>
      <c r="B35" s="15">
        <v>250</v>
      </c>
      <c r="C35" s="77">
        <f t="shared" si="6"/>
        <v>105.57000000000001</v>
      </c>
      <c r="D35" s="77">
        <f t="shared" si="7"/>
        <v>26.833910250000006</v>
      </c>
      <c r="E35" s="77">
        <f t="shared" si="8"/>
        <v>1.8499762500000003</v>
      </c>
      <c r="F35" s="77">
        <f t="shared" si="9"/>
        <v>8.5801499999999997</v>
      </c>
      <c r="G35" s="77">
        <f t="shared" si="5"/>
        <v>0.13455000000000003</v>
      </c>
      <c r="H35" s="77">
        <f t="shared" si="5"/>
        <v>4.4677500000000006</v>
      </c>
      <c r="I35" s="77">
        <f t="shared" si="5"/>
        <v>0.53647500000000015</v>
      </c>
      <c r="J35" s="77">
        <f t="shared" si="5"/>
        <v>2.5875E-3</v>
      </c>
      <c r="K35" s="77">
        <f t="shared" si="5"/>
        <v>1.0005000000000002E-2</v>
      </c>
      <c r="L35" s="77">
        <f t="shared" si="5"/>
        <v>0.48645000000000005</v>
      </c>
      <c r="M35" s="77">
        <f t="shared" si="5"/>
        <v>0.35362500000000002</v>
      </c>
      <c r="N35" s="77">
        <f t="shared" si="5"/>
        <v>50.197500000000005</v>
      </c>
      <c r="O35" s="77">
        <f t="shared" si="5"/>
        <v>7210.5000000000009</v>
      </c>
      <c r="P35" s="77">
        <f t="shared" si="5"/>
        <v>0</v>
      </c>
      <c r="Q35" s="77">
        <f t="shared" si="10"/>
        <v>196.21875</v>
      </c>
      <c r="R35" s="77">
        <f t="shared" si="11"/>
        <v>0</v>
      </c>
      <c r="S35" s="77">
        <f t="shared" si="11"/>
        <v>0.53820000000000012</v>
      </c>
      <c r="T35" s="77">
        <f t="shared" si="11"/>
        <v>0</v>
      </c>
      <c r="U35" s="77">
        <f t="shared" si="11"/>
        <v>0</v>
      </c>
      <c r="AB35" s="59"/>
      <c r="AC35" s="59"/>
      <c r="AD35" s="59"/>
      <c r="AE35" s="59"/>
      <c r="AF35" s="59"/>
      <c r="AG35" s="59"/>
      <c r="AH35" s="59"/>
      <c r="AI35" s="59"/>
    </row>
    <row r="36" spans="1:35" s="72" customFormat="1" ht="13" x14ac:dyDescent="0.35">
      <c r="A36" s="13">
        <f>H8</f>
        <v>6</v>
      </c>
      <c r="B36" s="15">
        <v>190</v>
      </c>
      <c r="C36" s="77">
        <f t="shared" si="6"/>
        <v>80.233200000000011</v>
      </c>
      <c r="D36" s="77">
        <f t="shared" si="7"/>
        <v>20.393771790000002</v>
      </c>
      <c r="E36" s="77">
        <f t="shared" si="8"/>
        <v>1.4059819500000004</v>
      </c>
      <c r="F36" s="77">
        <f t="shared" si="9"/>
        <v>6.5209139999999994</v>
      </c>
      <c r="G36" s="77">
        <f t="shared" si="5"/>
        <v>0.10225800000000002</v>
      </c>
      <c r="H36" s="77">
        <f t="shared" si="5"/>
        <v>3.3954900000000001</v>
      </c>
      <c r="I36" s="77">
        <f t="shared" si="5"/>
        <v>0.40772100000000011</v>
      </c>
      <c r="J36" s="77">
        <f t="shared" si="5"/>
        <v>1.9664999999999999E-3</v>
      </c>
      <c r="K36" s="77">
        <f t="shared" si="5"/>
        <v>7.6038000000000008E-3</v>
      </c>
      <c r="L36" s="77">
        <f t="shared" si="5"/>
        <v>0.36970200000000003</v>
      </c>
      <c r="M36" s="77">
        <f t="shared" si="5"/>
        <v>0.26875500000000002</v>
      </c>
      <c r="N36" s="77">
        <f t="shared" si="5"/>
        <v>38.150100000000002</v>
      </c>
      <c r="O36" s="77">
        <f t="shared" si="5"/>
        <v>5479.9800000000005</v>
      </c>
      <c r="P36" s="77">
        <f t="shared" si="5"/>
        <v>0</v>
      </c>
      <c r="Q36" s="77">
        <f t="shared" si="10"/>
        <v>149.12625</v>
      </c>
      <c r="R36" s="77">
        <f t="shared" si="11"/>
        <v>0</v>
      </c>
      <c r="S36" s="77">
        <f t="shared" si="11"/>
        <v>0.40903200000000006</v>
      </c>
      <c r="T36" s="77">
        <f t="shared" si="11"/>
        <v>0</v>
      </c>
      <c r="U36" s="77">
        <f t="shared" si="11"/>
        <v>0</v>
      </c>
      <c r="AB36" s="59"/>
      <c r="AC36" s="59"/>
      <c r="AD36" s="59"/>
      <c r="AE36" s="59"/>
      <c r="AF36" s="59"/>
      <c r="AG36" s="59"/>
      <c r="AH36" s="59"/>
      <c r="AI36" s="59"/>
    </row>
    <row r="37" spans="1:35" s="72" customFormat="1" ht="13" x14ac:dyDescent="0.35">
      <c r="A37" s="13" t="str">
        <f>I8</f>
        <v>A</v>
      </c>
      <c r="B37" s="15">
        <v>250</v>
      </c>
      <c r="C37" s="77">
        <f t="shared" si="6"/>
        <v>105.57000000000001</v>
      </c>
      <c r="D37" s="77">
        <f t="shared" si="7"/>
        <v>26.833910250000006</v>
      </c>
      <c r="E37" s="77">
        <f t="shared" si="8"/>
        <v>1.8499762500000003</v>
      </c>
      <c r="F37" s="77">
        <f t="shared" si="9"/>
        <v>8.5801499999999997</v>
      </c>
      <c r="G37" s="77">
        <f t="shared" si="5"/>
        <v>0.13455000000000003</v>
      </c>
      <c r="H37" s="77">
        <f t="shared" si="5"/>
        <v>4.4677500000000006</v>
      </c>
      <c r="I37" s="77">
        <f t="shared" si="5"/>
        <v>0.53647500000000015</v>
      </c>
      <c r="J37" s="77">
        <f t="shared" si="5"/>
        <v>2.5875E-3</v>
      </c>
      <c r="K37" s="77">
        <f t="shared" si="5"/>
        <v>1.0005000000000002E-2</v>
      </c>
      <c r="L37" s="77">
        <f t="shared" si="5"/>
        <v>0.48645000000000005</v>
      </c>
      <c r="M37" s="77">
        <f t="shared" si="5"/>
        <v>0.35362500000000002</v>
      </c>
      <c r="N37" s="77">
        <f t="shared" si="5"/>
        <v>50.197500000000005</v>
      </c>
      <c r="O37" s="77">
        <f t="shared" si="5"/>
        <v>7210.5000000000009</v>
      </c>
      <c r="P37" s="77">
        <f t="shared" si="5"/>
        <v>0</v>
      </c>
      <c r="Q37" s="77">
        <f t="shared" si="10"/>
        <v>196.21875</v>
      </c>
      <c r="R37" s="77">
        <f t="shared" si="11"/>
        <v>0</v>
      </c>
      <c r="S37" s="77">
        <f t="shared" si="11"/>
        <v>0.53820000000000012</v>
      </c>
      <c r="T37" s="77">
        <f t="shared" si="11"/>
        <v>0</v>
      </c>
      <c r="U37" s="77">
        <f t="shared" si="11"/>
        <v>0</v>
      </c>
      <c r="AB37" s="59"/>
      <c r="AC37" s="59"/>
      <c r="AD37" s="59"/>
      <c r="AE37" s="59"/>
      <c r="AF37" s="59"/>
      <c r="AG37" s="59"/>
      <c r="AH37" s="59"/>
      <c r="AI37" s="59"/>
    </row>
    <row r="38" spans="1:35" s="72" customFormat="1" ht="13" x14ac:dyDescent="0.35">
      <c r="A38" s="13" t="str">
        <f>J8</f>
        <v>B</v>
      </c>
      <c r="B38" s="15">
        <v>250</v>
      </c>
      <c r="C38" s="77">
        <f t="shared" si="6"/>
        <v>105.57000000000001</v>
      </c>
      <c r="D38" s="77">
        <f t="shared" si="7"/>
        <v>26.833910250000006</v>
      </c>
      <c r="E38" s="77">
        <f t="shared" si="8"/>
        <v>1.8499762500000003</v>
      </c>
      <c r="F38" s="77">
        <f t="shared" si="9"/>
        <v>8.5801499999999997</v>
      </c>
      <c r="G38" s="77">
        <f t="shared" si="5"/>
        <v>0.13455000000000003</v>
      </c>
      <c r="H38" s="77">
        <f t="shared" si="5"/>
        <v>4.4677500000000006</v>
      </c>
      <c r="I38" s="77">
        <f t="shared" si="5"/>
        <v>0.53647500000000015</v>
      </c>
      <c r="J38" s="77">
        <f t="shared" si="5"/>
        <v>2.5875E-3</v>
      </c>
      <c r="K38" s="77">
        <f t="shared" si="5"/>
        <v>1.0005000000000002E-2</v>
      </c>
      <c r="L38" s="77">
        <f t="shared" si="5"/>
        <v>0.48645000000000005</v>
      </c>
      <c r="M38" s="77">
        <f t="shared" si="5"/>
        <v>0.35362500000000002</v>
      </c>
      <c r="N38" s="77">
        <f t="shared" si="5"/>
        <v>50.197500000000005</v>
      </c>
      <c r="O38" s="77">
        <f t="shared" si="5"/>
        <v>7210.5000000000009</v>
      </c>
      <c r="P38" s="77">
        <f t="shared" si="5"/>
        <v>0</v>
      </c>
      <c r="Q38" s="77">
        <f t="shared" si="10"/>
        <v>196.21875</v>
      </c>
      <c r="R38" s="77">
        <f t="shared" si="11"/>
        <v>0</v>
      </c>
      <c r="S38" s="77">
        <f t="shared" si="11"/>
        <v>0.53820000000000012</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t="str">
        <f t="shared" si="13"/>
        <v>A</v>
      </c>
      <c r="I57" s="8" t="str">
        <f t="shared" si="13"/>
        <v>B</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Arable</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e">
        <f>K16&amp;" I "&amp;(VLOOKUP(K14,Table24581113[],6,FALSE))</f>
        <v>#N/A</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6.2</v>
      </c>
      <c r="C59" s="76">
        <f>VLOOKUP(D$14,Table24581113[],5,FALSE)</f>
        <v>6.2</v>
      </c>
      <c r="D59" s="76">
        <f>VLOOKUP(E$14,Table24581113[],5,FALSE)</f>
        <v>6.2</v>
      </c>
      <c r="E59" s="76">
        <f>VLOOKUP(F$14,Table24581113[],5,FALSE)</f>
        <v>6.7</v>
      </c>
      <c r="F59" s="76">
        <f>VLOOKUP(G$14,Table24581113[],5,FALSE)</f>
        <v>6.2</v>
      </c>
      <c r="G59" s="76">
        <f>VLOOKUP(H$14,Table24581113[],5,FALSE)</f>
        <v>6.2</v>
      </c>
      <c r="H59" s="76">
        <f>VLOOKUP(I$14,Table24581113[],5,FALSE)</f>
        <v>6.2</v>
      </c>
      <c r="I59" s="76">
        <f>VLOOKUP(J$14,Table24581113[],5,FALSE)</f>
        <v>6.2</v>
      </c>
      <c r="J59" s="76" t="e">
        <f>VLOOKUP(K$14,Table24581113[],5,FALSE)</f>
        <v>#N/A</v>
      </c>
      <c r="K59" s="76" t="e">
        <f>VLOOKUP(L$14,Table24581113[],5,FALSE)</f>
        <v>#N/A</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6.4</v>
      </c>
      <c r="C60" s="76">
        <f t="shared" ref="C60:U60" si="14">D10</f>
        <v>5.8</v>
      </c>
      <c r="D60" s="76">
        <f t="shared" si="14"/>
        <v>6</v>
      </c>
      <c r="E60" s="76">
        <f t="shared" si="14"/>
        <v>6</v>
      </c>
      <c r="F60" s="76">
        <f t="shared" si="14"/>
        <v>5.9</v>
      </c>
      <c r="G60" s="76">
        <f t="shared" si="14"/>
        <v>6.1</v>
      </c>
      <c r="H60" s="76">
        <f t="shared" si="14"/>
        <v>5.8</v>
      </c>
      <c r="I60" s="76">
        <f t="shared" si="14"/>
        <v>5.7</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8</v>
      </c>
      <c r="F61" s="76">
        <f t="shared" si="15"/>
        <v>6</v>
      </c>
      <c r="G61" s="76">
        <f t="shared" si="15"/>
        <v>6</v>
      </c>
      <c r="H61" s="76">
        <f t="shared" si="15"/>
        <v>6</v>
      </c>
      <c r="I61" s="76">
        <f t="shared" si="15"/>
        <v>6</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190</v>
      </c>
      <c r="E62" s="77">
        <f>B34</f>
        <v>250</v>
      </c>
      <c r="F62" s="77">
        <f>B35</f>
        <v>250</v>
      </c>
      <c r="G62" s="77">
        <f>B36</f>
        <v>190</v>
      </c>
      <c r="H62" s="77">
        <f>B37</f>
        <v>250</v>
      </c>
      <c r="I62" s="77">
        <f>B38</f>
        <v>250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-1.2000000000000011</v>
      </c>
      <c r="C64" s="77">
        <f t="shared" ref="C64:U64" si="17">(C59-C60)*C61</f>
        <v>2.4000000000000021</v>
      </c>
      <c r="D64" s="77">
        <f t="shared" si="17"/>
        <v>1.2000000000000011</v>
      </c>
      <c r="E64" s="77">
        <f t="shared" si="17"/>
        <v>5.6000000000000014</v>
      </c>
      <c r="F64" s="77">
        <f t="shared" si="17"/>
        <v>1.7999999999999989</v>
      </c>
      <c r="G64" s="77">
        <f t="shared" si="17"/>
        <v>0.6000000000000032</v>
      </c>
      <c r="H64" s="77">
        <f t="shared" si="17"/>
        <v>2.4000000000000021</v>
      </c>
      <c r="I64" s="77">
        <f t="shared" si="17"/>
        <v>3</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1.2000000000000011</v>
      </c>
      <c r="C65" s="77">
        <f t="shared" ref="C65:U65" si="18">C63-C64</f>
        <v>-2.4000000000000021</v>
      </c>
      <c r="D65" s="77">
        <f t="shared" si="18"/>
        <v>-1.2000000000000011</v>
      </c>
      <c r="E65" s="77">
        <f t="shared" si="18"/>
        <v>-5.6000000000000014</v>
      </c>
      <c r="F65" s="77">
        <f t="shared" si="18"/>
        <v>-1.7999999999999989</v>
      </c>
      <c r="G65" s="77">
        <f t="shared" si="18"/>
        <v>-0.6000000000000032</v>
      </c>
      <c r="H65" s="77">
        <f t="shared" si="18"/>
        <v>-2.4000000000000021</v>
      </c>
      <c r="I65" s="77">
        <f t="shared" si="18"/>
        <v>-3</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topLeftCell="A25"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PAN-024177</v>
      </c>
      <c r="D1" s="141"/>
      <c r="E1" s="93" t="s">
        <v>45</v>
      </c>
      <c r="F1" s="39">
        <f>'Field data and Waste 1'!F1</f>
        <v>44.3</v>
      </c>
      <c r="G1" s="120" t="s">
        <v>43</v>
      </c>
      <c r="H1" s="121"/>
      <c r="I1" s="118">
        <v>6.9</v>
      </c>
      <c r="J1" s="119" t="s">
        <v>153</v>
      </c>
      <c r="K1" s="119"/>
      <c r="L1" s="97">
        <v>139</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GP3792SK</v>
      </c>
      <c r="D2" s="143"/>
      <c r="E2" s="93" t="s">
        <v>109</v>
      </c>
      <c r="F2" s="96" t="s">
        <v>167</v>
      </c>
      <c r="G2" s="138" t="s">
        <v>110</v>
      </c>
      <c r="H2" s="139"/>
      <c r="I2" s="118"/>
      <c r="J2" s="119" t="s">
        <v>158</v>
      </c>
      <c r="K2" s="119"/>
      <c r="L2" s="97">
        <v>1.1299999999999999</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Byproduct Recovery ltd</v>
      </c>
      <c r="D3" s="143"/>
      <c r="E3" s="93" t="s">
        <v>108</v>
      </c>
      <c r="F3" s="31" t="s">
        <v>78</v>
      </c>
      <c r="G3" s="119" t="s">
        <v>159</v>
      </c>
      <c r="H3" s="119"/>
      <c r="I3" s="118"/>
      <c r="J3" s="120" t="s">
        <v>154</v>
      </c>
      <c r="K3" s="121"/>
      <c r="L3" s="97">
        <f>(L1/(L2*10000))*100</f>
        <v>1.2300884955752216</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Plas Bach, Cerrigceinwen, Bodorgan LL62 5NS</v>
      </c>
      <c r="D4" s="141"/>
      <c r="E4" s="94" t="s">
        <v>1</v>
      </c>
      <c r="F4" s="96" t="s">
        <v>177</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 xml:space="preserve">Ethan Banfield </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1</v>
      </c>
      <c r="D8" s="60">
        <f>'Field data and Waste 1'!D8</f>
        <v>2</v>
      </c>
      <c r="E8" s="60">
        <f>'Field data and Waste 1'!E8</f>
        <v>3</v>
      </c>
      <c r="F8" s="60">
        <f>'Field data and Waste 1'!F8</f>
        <v>4</v>
      </c>
      <c r="G8" s="60">
        <f>'Field data and Waste 1'!G8</f>
        <v>5</v>
      </c>
      <c r="H8" s="60">
        <f>'Field data and Waste 1'!H8</f>
        <v>6</v>
      </c>
      <c r="I8" s="60" t="str">
        <f>'Field data and Waste 1'!I8</f>
        <v>A</v>
      </c>
      <c r="J8" s="60" t="str">
        <f>'Field data and Waste 1'!J8</f>
        <v>B</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6.4</v>
      </c>
      <c r="D10" s="60">
        <f>'Field data and Waste 1'!D10</f>
        <v>5.8</v>
      </c>
      <c r="E10" s="60">
        <f>'Field data and Waste 1'!E10</f>
        <v>6</v>
      </c>
      <c r="F10" s="60">
        <f>'Field data and Waste 1'!F10</f>
        <v>6</v>
      </c>
      <c r="G10" s="60">
        <f>'Field data and Waste 1'!G10</f>
        <v>5.9</v>
      </c>
      <c r="H10" s="60">
        <f>'Field data and Waste 1'!H10</f>
        <v>6.1</v>
      </c>
      <c r="I10" s="60">
        <f>'Field data and Waste 1'!I10</f>
        <v>5.8</v>
      </c>
      <c r="J10" s="60">
        <f>'Field data and Waste 1'!J10</f>
        <v>5.7</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3</v>
      </c>
      <c r="F11" s="60">
        <f>'Field data and Waste 1'!F11</f>
        <v>1</v>
      </c>
      <c r="G11" s="60">
        <f>'Field data and Waste 1'!G11</f>
        <v>0</v>
      </c>
      <c r="H11" s="60">
        <f>'Field data and Waste 1'!H11</f>
        <v>3</v>
      </c>
      <c r="I11" s="60">
        <f>'Field data and Waste 1'!I11</f>
        <v>2</v>
      </c>
      <c r="J11" s="60">
        <f>'Field data and Waste 1'!J11</f>
        <v>2</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3</v>
      </c>
      <c r="D12" s="60">
        <f>'Field data and Waste 1'!D12</f>
        <v>4</v>
      </c>
      <c r="E12" s="60">
        <f>'Field data and Waste 1'!E12</f>
        <v>4</v>
      </c>
      <c r="F12" s="60">
        <f>'Field data and Waste 1'!F12</f>
        <v>1</v>
      </c>
      <c r="G12" s="60">
        <f>'Field data and Waste 1'!G12</f>
        <v>1</v>
      </c>
      <c r="H12" s="60">
        <f>'Field data and Waste 1'!H12</f>
        <v>2</v>
      </c>
      <c r="I12" s="60">
        <f>'Field data and Waste 1'!I12</f>
        <v>2</v>
      </c>
      <c r="J12" s="60">
        <f>'Field data and Waste 1'!J12</f>
        <v>2</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4</v>
      </c>
      <c r="D13" s="60">
        <f>'Field data and Waste 1'!D13</f>
        <v>3</v>
      </c>
      <c r="E13" s="60">
        <f>'Field data and Waste 1'!E13</f>
        <v>3</v>
      </c>
      <c r="F13" s="60">
        <f>'Field data and Waste 1'!F13</f>
        <v>3</v>
      </c>
      <c r="G13" s="60">
        <f>'Field data and Waste 1'!G13</f>
        <v>3</v>
      </c>
      <c r="H13" s="60">
        <f>'Field data and Waste 1'!H13</f>
        <v>3</v>
      </c>
      <c r="I13" s="60">
        <f>'Field data and Waste 1'!I13</f>
        <v>3</v>
      </c>
      <c r="J13" s="60">
        <f>'Field data and Waste 1'!J13</f>
        <v>3</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Spring wheat/barley</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5.5</v>
      </c>
      <c r="G15" s="60">
        <f>'Field data and Waste 1'!G15</f>
        <v>38</v>
      </c>
      <c r="H15" s="60">
        <f>'Field data and Waste 1'!H15</f>
        <v>38</v>
      </c>
      <c r="I15" s="60">
        <f>'Field data and Waste 1'!I15</f>
        <v>38</v>
      </c>
      <c r="J15" s="60">
        <f>'Field data and Waste 1'!J15</f>
        <v>38</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46.75</v>
      </c>
      <c r="G17" s="28">
        <f t="shared" si="0"/>
        <v>64.599999999999994</v>
      </c>
      <c r="H17" s="28">
        <f t="shared" si="0"/>
        <v>64.599999999999994</v>
      </c>
      <c r="I17" s="28">
        <f t="shared" si="0"/>
        <v>64.599999999999994</v>
      </c>
      <c r="J17" s="28">
        <f t="shared" si="0"/>
        <v>64.599999999999994</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54.124874999999996</v>
      </c>
      <c r="D18" s="16">
        <f>$D32</f>
        <v>0</v>
      </c>
      <c r="E18" s="16">
        <f>$D33</f>
        <v>21.649949999999997</v>
      </c>
      <c r="F18" s="16">
        <f>$D34</f>
        <v>54.124874999999996</v>
      </c>
      <c r="G18" s="16">
        <f>$D35</f>
        <v>0</v>
      </c>
      <c r="H18" s="16">
        <f>$D36</f>
        <v>21.649949999999997</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-10.475124999999998</v>
      </c>
      <c r="D19" s="16">
        <f t="shared" ref="D19:V19" si="1">D18-D17</f>
        <v>-64.599999999999994</v>
      </c>
      <c r="E19" s="16">
        <f t="shared" si="1"/>
        <v>-42.950049999999997</v>
      </c>
      <c r="F19" s="16">
        <f t="shared" si="1"/>
        <v>7.3748749999999959</v>
      </c>
      <c r="G19" s="16">
        <f t="shared" si="1"/>
        <v>-64.599999999999994</v>
      </c>
      <c r="H19" s="16">
        <f t="shared" si="1"/>
        <v>-42.950049999999997</v>
      </c>
      <c r="I19" s="16">
        <f t="shared" si="1"/>
        <v>-64.599999999999994</v>
      </c>
      <c r="J19" s="16">
        <f t="shared" si="1"/>
        <v>-64.599999999999994</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INCREASE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66</v>
      </c>
      <c r="G21" s="28">
        <f t="shared" si="2"/>
        <v>228</v>
      </c>
      <c r="H21" s="28">
        <f t="shared" si="2"/>
        <v>228</v>
      </c>
      <c r="I21" s="28">
        <f t="shared" si="2"/>
        <v>228</v>
      </c>
      <c r="J21" s="28">
        <f t="shared" si="2"/>
        <v>228</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2.8648875</v>
      </c>
      <c r="D22" s="16">
        <f>$E32</f>
        <v>0</v>
      </c>
      <c r="E22" s="16">
        <f>$E33</f>
        <v>1.1459550000000001</v>
      </c>
      <c r="F22" s="16">
        <f>$E34</f>
        <v>2.8648875</v>
      </c>
      <c r="G22" s="16">
        <f>$E35</f>
        <v>0</v>
      </c>
      <c r="H22" s="16">
        <f>$E36</f>
        <v>1.1459550000000001</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-225.13511249999999</v>
      </c>
      <c r="D23" s="16">
        <f t="shared" ref="D23:V23" si="3">D22-D21</f>
        <v>-228</v>
      </c>
      <c r="E23" s="16">
        <f t="shared" si="3"/>
        <v>-226.85404500000001</v>
      </c>
      <c r="F23" s="16">
        <f t="shared" si="3"/>
        <v>-63.135112499999998</v>
      </c>
      <c r="G23" s="16">
        <f t="shared" si="3"/>
        <v>-228</v>
      </c>
      <c r="H23" s="16">
        <f t="shared" si="3"/>
        <v>-226.85404500000001</v>
      </c>
      <c r="I23" s="16">
        <f t="shared" si="3"/>
        <v>-228</v>
      </c>
      <c r="J23" s="16">
        <f t="shared" si="3"/>
        <v>-228</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3</v>
      </c>
      <c r="C28" s="15">
        <v>1.1299999999999999</v>
      </c>
      <c r="D28" s="15">
        <v>0.315</v>
      </c>
      <c r="E28" s="15">
        <v>3.1699999999999999E-2</v>
      </c>
      <c r="F28" s="15">
        <v>712</v>
      </c>
      <c r="G28" s="15">
        <v>71.2</v>
      </c>
      <c r="H28" s="15">
        <v>120</v>
      </c>
      <c r="I28" s="15">
        <v>6.2</v>
      </c>
      <c r="J28" s="15">
        <v>0.48</v>
      </c>
      <c r="K28" s="23">
        <v>1.21</v>
      </c>
      <c r="L28" s="15">
        <v>5.0999999999999996</v>
      </c>
      <c r="M28" s="15">
        <v>5.16</v>
      </c>
      <c r="N28" s="15">
        <v>158000</v>
      </c>
      <c r="O28" s="15">
        <v>5910</v>
      </c>
      <c r="P28" s="15"/>
      <c r="Q28" s="15">
        <v>5240</v>
      </c>
      <c r="R28" s="15"/>
      <c r="S28" s="15">
        <v>17.5</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250</v>
      </c>
      <c r="C31" s="77">
        <f>IF(C$27="%w/w SAR",((C$28*10)*$B31),IF(C$27="%w/w DM",(((C$28*10)*($B$28/100))*$B31),IF(C$27="kg/t SAR",(C$28*$B31),IF(C$27="kg/t DM",((C$28*($B$28/100))*$B31),IF(C$27="mg/kg SAR",((C$28*0.001)*$B31),IF(C$27="mg/kg DM",(((C$28*0.001)*($B$28/100))*$B31),0))))))</f>
        <v>84.749999999999986</v>
      </c>
      <c r="D31" s="77">
        <f>(IF(D$27="%w/w SAR",((D$28*10)*$B31),IF(D$27="%w/w DM",(((D$28*10)*($B$28/100))*$B31),IF(D$27="kg/t SAR",(D$28*$B31),IF(D$27="kg/t DM",((D$28*($B$28/100))*$B31),IF(D$27="mg/kg SAR",((D$28*0.001)*$B31),IF(D$27="mg/kg DM",(((D$28*0.001)*($B$28/100))*$B31),"0")))))))*2.291</f>
        <v>54.124874999999996</v>
      </c>
      <c r="E31" s="77">
        <f>(IF(E$27="%w/w SAR",((E$28*10)*$B31),IF(E$27="%w/w DM",(((E$28*10)*($B$28/100))*$B31),IF(E$27="kg/t SAR",(E$28*$B31),IF(E$27="kg/t DM",((E$28*($B$28/100))*$B31),IF(E$27="mg/kg SAR",((E$28*0.001)*$B31),IF(E$27="mg/kg DM",(((E$28*0.001)*($B$28/100))*$B31),"0")))))))*1.205</f>
        <v>2.8648875</v>
      </c>
      <c r="F31" s="77">
        <f>(IF(F$27="%w/w SAR",((F$28*10)*$B31),IF(F$27="%w/w DM",(((F$28*10)*($B$28/100))*$B31),IF(F$27="kg/t SAR",(F$28*$B31),IF(F$27="kg/t DM",((F$28*($B$28/100))*$B31),IF(F$27="mg/kg SAR",((F$28*0.001)*$B31),IF(F$27="mg/kg DM",(((F$28*0.001)*($B$28/100))*$B31),"0")))))))*1.658</f>
        <v>8.8537199999999974</v>
      </c>
      <c r="G31" s="77">
        <f t="shared" ref="G31:P46" si="5">IF(G$27="%w/w SAR",((G$28*10)*$B31),IF(G$27="%w/w DM",(((G$28*10)*($B$28/100))*$B31),IF(G$27="kg/t SAR",(G$28*$B31),IF(G$27="kg/t DM",((G$28*($B$28/100))*$B31),IF(G$27="mg/kg SAR",((G$28*0.001)*$B31),IF(G$27="mg/kg DM",(((G$28*0.001)*($B$28/100))*$B31),0))))))</f>
        <v>0.53399999999999992</v>
      </c>
      <c r="H31" s="77">
        <f t="shared" si="5"/>
        <v>0.9</v>
      </c>
      <c r="I31" s="77">
        <f t="shared" si="5"/>
        <v>4.6500000000000007E-2</v>
      </c>
      <c r="J31" s="77">
        <f t="shared" si="5"/>
        <v>3.5999999999999999E-3</v>
      </c>
      <c r="K31" s="77">
        <f t="shared" si="5"/>
        <v>9.074999999999998E-3</v>
      </c>
      <c r="L31" s="77">
        <f t="shared" si="5"/>
        <v>3.8249999999999992E-2</v>
      </c>
      <c r="M31" s="77">
        <f t="shared" si="5"/>
        <v>3.8700000000000005E-2</v>
      </c>
      <c r="N31" s="77">
        <f t="shared" si="5"/>
        <v>1185</v>
      </c>
      <c r="O31" s="77">
        <f t="shared" si="5"/>
        <v>44.324999999999996</v>
      </c>
      <c r="P31" s="77">
        <f t="shared" si="5"/>
        <v>0</v>
      </c>
      <c r="Q31" s="77">
        <f>(IF(Q$27="%w/w SAR",((Q$28*10)*$B31),IF(Q$27="%w/w DM",(((Q$28*10)*($B$28/100))*$B31),IF(Q$27="kg/t SAR",(Q$28*$B31),IF(Q$27="kg/t DM",((Q$28*($B$28/100))*$B31),IF(Q$27="mg/kg SAR",((Q$28*0.001)*$B31),IF(Q$27="mg/kg DM",(((Q$28*0.001)*($B$28/100))*$B31),0)))))))*2.5</f>
        <v>98.250000000000014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0.13125000000000001</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100</v>
      </c>
      <c r="C33" s="77">
        <f t="shared" si="6"/>
        <v>33.9</v>
      </c>
      <c r="D33" s="77">
        <f t="shared" si="7"/>
        <v>21.649949999999997</v>
      </c>
      <c r="E33" s="77">
        <f t="shared" si="8"/>
        <v>1.1459550000000001</v>
      </c>
      <c r="F33" s="77">
        <f t="shared" si="9"/>
        <v>3.5414879999999993</v>
      </c>
      <c r="G33" s="77">
        <f t="shared" si="5"/>
        <v>0.21359999999999998</v>
      </c>
      <c r="H33" s="77">
        <f t="shared" si="5"/>
        <v>0.36</v>
      </c>
      <c r="I33" s="77">
        <f t="shared" si="5"/>
        <v>1.8600000000000002E-2</v>
      </c>
      <c r="J33" s="77">
        <f t="shared" si="5"/>
        <v>1.4399999999999999E-3</v>
      </c>
      <c r="K33" s="77">
        <f t="shared" si="5"/>
        <v>3.6299999999999995E-3</v>
      </c>
      <c r="L33" s="77">
        <f t="shared" si="5"/>
        <v>1.5299999999999998E-2</v>
      </c>
      <c r="M33" s="77">
        <f t="shared" si="5"/>
        <v>1.5480000000000002E-2</v>
      </c>
      <c r="N33" s="77">
        <f t="shared" si="5"/>
        <v>474</v>
      </c>
      <c r="O33" s="77">
        <f t="shared" si="5"/>
        <v>17.729999999999997</v>
      </c>
      <c r="P33" s="77">
        <f t="shared" si="5"/>
        <v>0</v>
      </c>
      <c r="Q33" s="77">
        <f t="shared" si="10"/>
        <v>39.300000000000004</v>
      </c>
      <c r="R33" s="77">
        <f t="shared" si="11"/>
        <v>0</v>
      </c>
      <c r="S33" s="77">
        <f t="shared" si="11"/>
        <v>5.2500000000000005E-2</v>
      </c>
      <c r="T33" s="77">
        <f t="shared" si="11"/>
        <v>0</v>
      </c>
      <c r="U33" s="77">
        <f t="shared" si="11"/>
        <v>0</v>
      </c>
      <c r="AB33" s="59"/>
      <c r="AC33" s="59"/>
      <c r="AD33" s="59"/>
      <c r="AE33" s="59"/>
      <c r="AF33" s="59"/>
      <c r="AG33" s="59"/>
      <c r="AH33" s="59"/>
      <c r="AI33" s="59"/>
    </row>
    <row r="34" spans="1:35" s="72" customFormat="1" ht="13" x14ac:dyDescent="0.35">
      <c r="A34" s="13">
        <f>F8</f>
        <v>4</v>
      </c>
      <c r="B34" s="15">
        <v>250</v>
      </c>
      <c r="C34" s="77">
        <f t="shared" si="6"/>
        <v>84.749999999999986</v>
      </c>
      <c r="D34" s="77">
        <f t="shared" si="7"/>
        <v>54.124874999999996</v>
      </c>
      <c r="E34" s="77">
        <f t="shared" si="8"/>
        <v>2.8648875</v>
      </c>
      <c r="F34" s="77">
        <f t="shared" si="9"/>
        <v>8.8537199999999974</v>
      </c>
      <c r="G34" s="77">
        <f t="shared" si="5"/>
        <v>0.53399999999999992</v>
      </c>
      <c r="H34" s="77">
        <f t="shared" si="5"/>
        <v>0.9</v>
      </c>
      <c r="I34" s="77">
        <f t="shared" si="5"/>
        <v>4.6500000000000007E-2</v>
      </c>
      <c r="J34" s="77">
        <f t="shared" si="5"/>
        <v>3.5999999999999999E-3</v>
      </c>
      <c r="K34" s="77">
        <f t="shared" si="5"/>
        <v>9.074999999999998E-3</v>
      </c>
      <c r="L34" s="77">
        <f t="shared" si="5"/>
        <v>3.8249999999999992E-2</v>
      </c>
      <c r="M34" s="77">
        <f t="shared" si="5"/>
        <v>3.8700000000000005E-2</v>
      </c>
      <c r="N34" s="77">
        <f t="shared" si="5"/>
        <v>1185</v>
      </c>
      <c r="O34" s="77">
        <f t="shared" si="5"/>
        <v>44.324999999999996</v>
      </c>
      <c r="P34" s="77">
        <f t="shared" si="5"/>
        <v>0</v>
      </c>
      <c r="Q34" s="77">
        <f t="shared" si="10"/>
        <v>98.250000000000014</v>
      </c>
      <c r="R34" s="77">
        <f t="shared" si="11"/>
        <v>0</v>
      </c>
      <c r="S34" s="77">
        <f t="shared" si="11"/>
        <v>0.13125000000000001</v>
      </c>
      <c r="T34" s="77">
        <f t="shared" si="11"/>
        <v>0</v>
      </c>
      <c r="U34" s="77">
        <f t="shared" si="11"/>
        <v>0</v>
      </c>
      <c r="AB34" s="59"/>
      <c r="AC34" s="59"/>
      <c r="AD34" s="59"/>
      <c r="AE34" s="59"/>
      <c r="AF34" s="59"/>
      <c r="AG34" s="59"/>
      <c r="AH34" s="59"/>
      <c r="AI34" s="59"/>
    </row>
    <row r="35" spans="1:35" s="72" customFormat="1" ht="13" x14ac:dyDescent="0.35">
      <c r="A35" s="13">
        <f>G8</f>
        <v>5</v>
      </c>
      <c r="B35" s="15">
        <v>0</v>
      </c>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100</v>
      </c>
      <c r="C36" s="77">
        <f t="shared" si="6"/>
        <v>33.9</v>
      </c>
      <c r="D36" s="77">
        <f t="shared" si="7"/>
        <v>21.649949999999997</v>
      </c>
      <c r="E36" s="77">
        <f t="shared" si="8"/>
        <v>1.1459550000000001</v>
      </c>
      <c r="F36" s="77">
        <f t="shared" si="9"/>
        <v>3.5414879999999993</v>
      </c>
      <c r="G36" s="77">
        <f t="shared" si="5"/>
        <v>0.21359999999999998</v>
      </c>
      <c r="H36" s="77">
        <f t="shared" si="5"/>
        <v>0.36</v>
      </c>
      <c r="I36" s="77">
        <f t="shared" si="5"/>
        <v>1.8600000000000002E-2</v>
      </c>
      <c r="J36" s="77">
        <f t="shared" si="5"/>
        <v>1.4399999999999999E-3</v>
      </c>
      <c r="K36" s="77">
        <f t="shared" si="5"/>
        <v>3.6299999999999995E-3</v>
      </c>
      <c r="L36" s="77">
        <f t="shared" si="5"/>
        <v>1.5299999999999998E-2</v>
      </c>
      <c r="M36" s="77">
        <f t="shared" si="5"/>
        <v>1.5480000000000002E-2</v>
      </c>
      <c r="N36" s="77">
        <f t="shared" si="5"/>
        <v>474</v>
      </c>
      <c r="O36" s="77">
        <f t="shared" si="5"/>
        <v>17.729999999999997</v>
      </c>
      <c r="P36" s="77">
        <f t="shared" si="5"/>
        <v>0</v>
      </c>
      <c r="Q36" s="77">
        <f t="shared" si="10"/>
        <v>39.300000000000004</v>
      </c>
      <c r="R36" s="77">
        <f t="shared" si="11"/>
        <v>0</v>
      </c>
      <c r="S36" s="77">
        <f t="shared" si="11"/>
        <v>5.2500000000000005E-2</v>
      </c>
      <c r="T36" s="77">
        <f t="shared" si="11"/>
        <v>0</v>
      </c>
      <c r="U36" s="77">
        <f t="shared" si="11"/>
        <v>0</v>
      </c>
      <c r="AB36" s="59"/>
      <c r="AC36" s="59"/>
      <c r="AD36" s="59"/>
      <c r="AE36" s="59"/>
      <c r="AF36" s="59"/>
      <c r="AG36" s="59"/>
      <c r="AH36" s="59"/>
      <c r="AI36" s="59"/>
    </row>
    <row r="37" spans="1:35" s="72" customFormat="1" ht="13" x14ac:dyDescent="0.35">
      <c r="A37" s="13" t="str">
        <f>I8</f>
        <v>A</v>
      </c>
      <c r="B37" s="15">
        <v>0</v>
      </c>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B</v>
      </c>
      <c r="B38" s="15">
        <v>0</v>
      </c>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t="str">
        <f t="shared" si="13"/>
        <v>A</v>
      </c>
      <c r="I57" s="8" t="str">
        <f t="shared" si="13"/>
        <v>B</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Arable</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e">
        <f>K16&amp;" I "&amp;(VLOOKUP(K14,Table24567[],6,FALSE))</f>
        <v>#N/A</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6.2</v>
      </c>
      <c r="C59" s="76">
        <f>VLOOKUP(D$14,Table24567[],5,FALSE)</f>
        <v>6.2</v>
      </c>
      <c r="D59" s="76">
        <f>VLOOKUP(E$14,Table24567[],5,FALSE)</f>
        <v>6.2</v>
      </c>
      <c r="E59" s="76">
        <f>VLOOKUP(F$14,Table24567[],5,FALSE)</f>
        <v>6.7</v>
      </c>
      <c r="F59" s="76">
        <f>VLOOKUP(G$14,Table24567[],5,FALSE)</f>
        <v>6.2</v>
      </c>
      <c r="G59" s="76">
        <f>VLOOKUP(H$14,Table24567[],5,FALSE)</f>
        <v>6.2</v>
      </c>
      <c r="H59" s="76">
        <f>VLOOKUP(I$14,Table24567[],5,FALSE)</f>
        <v>6.2</v>
      </c>
      <c r="I59" s="76">
        <f>VLOOKUP(J$14,Table24567[],5,FALSE)</f>
        <v>6.2</v>
      </c>
      <c r="J59" s="76" t="e">
        <f>VLOOKUP(K$14,Table24567[],5,FALSE)</f>
        <v>#N/A</v>
      </c>
      <c r="K59" s="76" t="e">
        <f>VLOOKUP(L$14,Table24567[],5,FALSE)</f>
        <v>#N/A</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6.4</v>
      </c>
      <c r="C60" s="76">
        <f t="shared" ref="C60:U60" si="14">D10</f>
        <v>5.8</v>
      </c>
      <c r="D60" s="76">
        <f t="shared" si="14"/>
        <v>6</v>
      </c>
      <c r="E60" s="76">
        <f t="shared" si="14"/>
        <v>6</v>
      </c>
      <c r="F60" s="76">
        <f t="shared" si="14"/>
        <v>5.9</v>
      </c>
      <c r="G60" s="76">
        <f t="shared" si="14"/>
        <v>6.1</v>
      </c>
      <c r="H60" s="76">
        <f t="shared" si="14"/>
        <v>5.8</v>
      </c>
      <c r="I60" s="76">
        <f t="shared" si="14"/>
        <v>5.7</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8</v>
      </c>
      <c r="F61" s="76">
        <f t="shared" si="15"/>
        <v>6</v>
      </c>
      <c r="G61" s="76">
        <f t="shared" si="15"/>
        <v>6</v>
      </c>
      <c r="H61" s="76">
        <f t="shared" si="15"/>
        <v>6</v>
      </c>
      <c r="I61" s="76">
        <f t="shared" si="15"/>
        <v>6</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0</v>
      </c>
      <c r="D62" s="77">
        <f>B33</f>
        <v>100</v>
      </c>
      <c r="E62" s="77">
        <f>B34</f>
        <v>250</v>
      </c>
      <c r="F62" s="77">
        <f>B35</f>
        <v>0</v>
      </c>
      <c r="G62" s="77">
        <f>B36</f>
        <v>100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-1.2000000000000011</v>
      </c>
      <c r="C64" s="77">
        <f t="shared" ref="C64:U64" si="17">(C59-C60)*C61</f>
        <v>2.4000000000000021</v>
      </c>
      <c r="D64" s="77">
        <f t="shared" si="17"/>
        <v>1.2000000000000011</v>
      </c>
      <c r="E64" s="77">
        <f t="shared" si="17"/>
        <v>5.6000000000000014</v>
      </c>
      <c r="F64" s="77">
        <f t="shared" si="17"/>
        <v>1.7999999999999989</v>
      </c>
      <c r="G64" s="77">
        <f t="shared" si="17"/>
        <v>0.6000000000000032</v>
      </c>
      <c r="H64" s="77">
        <f t="shared" si="17"/>
        <v>2.4000000000000021</v>
      </c>
      <c r="I64" s="77">
        <f t="shared" si="17"/>
        <v>3</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1.2000000000000011</v>
      </c>
      <c r="C65" s="77">
        <f t="shared" ref="C65:U65" si="18">C63-C64</f>
        <v>-2.4000000000000021</v>
      </c>
      <c r="D65" s="77">
        <f t="shared" si="18"/>
        <v>-1.2000000000000011</v>
      </c>
      <c r="E65" s="77">
        <f t="shared" si="18"/>
        <v>-5.6000000000000014</v>
      </c>
      <c r="F65" s="77">
        <f t="shared" si="18"/>
        <v>-1.7999999999999989</v>
      </c>
      <c r="G65" s="77">
        <f t="shared" si="18"/>
        <v>-0.6000000000000032</v>
      </c>
      <c r="H65" s="77">
        <f t="shared" si="18"/>
        <v>-2.4000000000000021</v>
      </c>
      <c r="I65" s="77">
        <f t="shared" si="18"/>
        <v>-3</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tabSelected="1" topLeftCell="A4"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PAN-024177</v>
      </c>
      <c r="D1" s="141"/>
      <c r="E1" s="93" t="s">
        <v>45</v>
      </c>
      <c r="F1" s="39">
        <f>'Field data and Waste 1'!F1</f>
        <v>44.3</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GP3792SK</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Byproduct Recovery ltd</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Plas Bach, Cerrigceinwen, Bodorgan LL62 5NS</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 xml:space="preserve">Ethan Banfield </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1</v>
      </c>
      <c r="D8" s="60">
        <f>'Field data and Waste 1'!D8</f>
        <v>2</v>
      </c>
      <c r="E8" s="60">
        <f>'Field data and Waste 1'!E8</f>
        <v>3</v>
      </c>
      <c r="F8" s="60">
        <f>'Field data and Waste 1'!F8</f>
        <v>4</v>
      </c>
      <c r="G8" s="60">
        <f>'Field data and Waste 1'!G8</f>
        <v>5</v>
      </c>
      <c r="H8" s="60">
        <f>'Field data and Waste 1'!H8</f>
        <v>6</v>
      </c>
      <c r="I8" s="60" t="str">
        <f>'Field data and Waste 1'!I8</f>
        <v>A</v>
      </c>
      <c r="J8" s="60" t="str">
        <f>'Field data and Waste 1'!J8</f>
        <v>B</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6.4</v>
      </c>
      <c r="D10" s="60">
        <f>'Field data and Waste 1'!D10</f>
        <v>5.8</v>
      </c>
      <c r="E10" s="60">
        <f>'Field data and Waste 1'!E10</f>
        <v>6</v>
      </c>
      <c r="F10" s="60">
        <f>'Field data and Waste 1'!F10</f>
        <v>6</v>
      </c>
      <c r="G10" s="60">
        <f>'Field data and Waste 1'!G10</f>
        <v>5.9</v>
      </c>
      <c r="H10" s="60">
        <f>'Field data and Waste 1'!H10</f>
        <v>6.1</v>
      </c>
      <c r="I10" s="60">
        <f>'Field data and Waste 1'!I10</f>
        <v>5.8</v>
      </c>
      <c r="J10" s="60">
        <f>'Field data and Waste 1'!J10</f>
        <v>5.7</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3</v>
      </c>
      <c r="F11" s="60">
        <f>'Field data and Waste 1'!F11</f>
        <v>1</v>
      </c>
      <c r="G11" s="60">
        <f>'Field data and Waste 1'!G11</f>
        <v>0</v>
      </c>
      <c r="H11" s="60">
        <f>'Field data and Waste 1'!H11</f>
        <v>3</v>
      </c>
      <c r="I11" s="60">
        <f>'Field data and Waste 1'!I11</f>
        <v>2</v>
      </c>
      <c r="J11" s="60">
        <f>'Field data and Waste 1'!J11</f>
        <v>2</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3</v>
      </c>
      <c r="D12" s="60">
        <f>'Field data and Waste 1'!D12</f>
        <v>4</v>
      </c>
      <c r="E12" s="60">
        <f>'Field data and Waste 1'!E12</f>
        <v>4</v>
      </c>
      <c r="F12" s="60">
        <f>'Field data and Waste 1'!F12</f>
        <v>1</v>
      </c>
      <c r="G12" s="60">
        <f>'Field data and Waste 1'!G12</f>
        <v>1</v>
      </c>
      <c r="H12" s="60">
        <f>'Field data and Waste 1'!H12</f>
        <v>2</v>
      </c>
      <c r="I12" s="60">
        <f>'Field data and Waste 1'!I12</f>
        <v>2</v>
      </c>
      <c r="J12" s="60">
        <f>'Field data and Waste 1'!J12</f>
        <v>2</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4</v>
      </c>
      <c r="D13" s="60">
        <f>'Field data and Waste 1'!D13</f>
        <v>3</v>
      </c>
      <c r="E13" s="60">
        <f>'Field data and Waste 1'!E13</f>
        <v>3</v>
      </c>
      <c r="F13" s="60">
        <f>'Field data and Waste 1'!F13</f>
        <v>3</v>
      </c>
      <c r="G13" s="60">
        <f>'Field data and Waste 1'!G13</f>
        <v>3</v>
      </c>
      <c r="H13" s="60">
        <f>'Field data and Waste 1'!H13</f>
        <v>3</v>
      </c>
      <c r="I13" s="60">
        <f>'Field data and Waste 1'!I13</f>
        <v>3</v>
      </c>
      <c r="J13" s="60">
        <f>'Field data and Waste 1'!J13</f>
        <v>3</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Spring wheat/barley</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5.5</v>
      </c>
      <c r="G15" s="60">
        <f>'Field data and Waste 1'!G15</f>
        <v>38</v>
      </c>
      <c r="H15" s="60">
        <f>'Field data and Waste 1'!H15</f>
        <v>38</v>
      </c>
      <c r="I15" s="60">
        <f>'Field data and Waste 1'!I15</f>
        <v>38</v>
      </c>
      <c r="J15" s="60">
        <f>'Field data and Waste 1'!J15</f>
        <v>38</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46.75</v>
      </c>
      <c r="G17" s="28">
        <f t="shared" si="0"/>
        <v>64.599999999999994</v>
      </c>
      <c r="H17" s="28">
        <f t="shared" si="0"/>
        <v>64.599999999999994</v>
      </c>
      <c r="I17" s="28">
        <f t="shared" si="0"/>
        <v>64.599999999999994</v>
      </c>
      <c r="J17" s="28">
        <f t="shared" si="0"/>
        <v>64.599999999999994</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-64.599999999999994</v>
      </c>
      <c r="D19" s="16">
        <f t="shared" ref="D19:V19" si="1">D18-D17</f>
        <v>-64.599999999999994</v>
      </c>
      <c r="E19" s="16">
        <f t="shared" si="1"/>
        <v>-64.599999999999994</v>
      </c>
      <c r="F19" s="16">
        <f t="shared" si="1"/>
        <v>-46.75</v>
      </c>
      <c r="G19" s="16">
        <f t="shared" si="1"/>
        <v>-64.599999999999994</v>
      </c>
      <c r="H19" s="16">
        <f t="shared" si="1"/>
        <v>-64.599999999999994</v>
      </c>
      <c r="I19" s="16">
        <f t="shared" si="1"/>
        <v>-64.599999999999994</v>
      </c>
      <c r="J19" s="16">
        <f t="shared" si="1"/>
        <v>-64.599999999999994</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66</v>
      </c>
      <c r="G21" s="28">
        <f t="shared" si="2"/>
        <v>228</v>
      </c>
      <c r="H21" s="28">
        <f t="shared" si="2"/>
        <v>228</v>
      </c>
      <c r="I21" s="28">
        <f t="shared" si="2"/>
        <v>228</v>
      </c>
      <c r="J21" s="28">
        <f t="shared" si="2"/>
        <v>228</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-228</v>
      </c>
      <c r="D23" s="16">
        <f t="shared" ref="D23:V23" si="3">D22-D21</f>
        <v>-228</v>
      </c>
      <c r="E23" s="16">
        <f t="shared" si="3"/>
        <v>-228</v>
      </c>
      <c r="F23" s="16">
        <f t="shared" si="3"/>
        <v>-66</v>
      </c>
      <c r="G23" s="16">
        <f t="shared" si="3"/>
        <v>-228</v>
      </c>
      <c r="H23" s="16">
        <f t="shared" si="3"/>
        <v>-228</v>
      </c>
      <c r="I23" s="16">
        <f t="shared" si="3"/>
        <v>-228</v>
      </c>
      <c r="J23" s="16">
        <f t="shared" si="3"/>
        <v>-228</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A</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B</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t="str">
        <f t="shared" si="13"/>
        <v>A</v>
      </c>
      <c r="I57" s="8" t="str">
        <f t="shared" si="13"/>
        <v>B</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Arable</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Grass</v>
      </c>
      <c r="J58" s="13" t="e">
        <f>K16&amp;" I "&amp;(VLOOKUP(K14,Table2456[],6,FALSE))</f>
        <v>#N/A</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6.2</v>
      </c>
      <c r="C59" s="76">
        <f>VLOOKUP(D$14,Table2456[],5,FALSE)</f>
        <v>6.2</v>
      </c>
      <c r="D59" s="76">
        <f>VLOOKUP(E$14,Table2456[],5,FALSE)</f>
        <v>6.2</v>
      </c>
      <c r="E59" s="76">
        <f>VLOOKUP(F$14,Table2456[],5,FALSE)</f>
        <v>6.7</v>
      </c>
      <c r="F59" s="76">
        <f>VLOOKUP(G$14,Table2456[],5,FALSE)</f>
        <v>6.2</v>
      </c>
      <c r="G59" s="76">
        <f>VLOOKUP(H$14,Table2456[],5,FALSE)</f>
        <v>6.2</v>
      </c>
      <c r="H59" s="76">
        <f>VLOOKUP(I$14,Table2456[],5,FALSE)</f>
        <v>6.2</v>
      </c>
      <c r="I59" s="76">
        <f>VLOOKUP(J$14,Table2456[],5,FALSE)</f>
        <v>6.2</v>
      </c>
      <c r="J59" s="76" t="e">
        <f>VLOOKUP(K$14,Table2456[],5,FALSE)</f>
        <v>#N/A</v>
      </c>
      <c r="K59" s="76" t="e">
        <f>VLOOKUP(L$14,Table2456[],5,FALSE)</f>
        <v>#N/A</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6.4</v>
      </c>
      <c r="C60" s="76">
        <f t="shared" ref="C60:U60" si="14">D10</f>
        <v>5.8</v>
      </c>
      <c r="D60" s="76">
        <f t="shared" si="14"/>
        <v>6</v>
      </c>
      <c r="E60" s="76">
        <f t="shared" si="14"/>
        <v>6</v>
      </c>
      <c r="F60" s="76">
        <f t="shared" si="14"/>
        <v>5.9</v>
      </c>
      <c r="G60" s="76">
        <f t="shared" si="14"/>
        <v>6.1</v>
      </c>
      <c r="H60" s="76">
        <f t="shared" si="14"/>
        <v>5.8</v>
      </c>
      <c r="I60" s="76">
        <f t="shared" si="14"/>
        <v>5.7</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8</v>
      </c>
      <c r="F61" s="76">
        <f t="shared" si="15"/>
        <v>6</v>
      </c>
      <c r="G61" s="76">
        <f t="shared" si="15"/>
        <v>6</v>
      </c>
      <c r="H61" s="76">
        <f t="shared" si="15"/>
        <v>6</v>
      </c>
      <c r="I61" s="76">
        <f t="shared" si="15"/>
        <v>6</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-1.2000000000000011</v>
      </c>
      <c r="C64" s="77">
        <f t="shared" ref="C64:U64" si="17">(C59-C60)*C61</f>
        <v>2.4000000000000021</v>
      </c>
      <c r="D64" s="77">
        <f t="shared" si="17"/>
        <v>1.2000000000000011</v>
      </c>
      <c r="E64" s="77">
        <f t="shared" si="17"/>
        <v>5.6000000000000014</v>
      </c>
      <c r="F64" s="77">
        <f t="shared" si="17"/>
        <v>1.7999999999999989</v>
      </c>
      <c r="G64" s="77">
        <f t="shared" si="17"/>
        <v>0.6000000000000032</v>
      </c>
      <c r="H64" s="77">
        <f t="shared" si="17"/>
        <v>2.4000000000000021</v>
      </c>
      <c r="I64" s="77">
        <f t="shared" si="17"/>
        <v>3</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1.2000000000000011</v>
      </c>
      <c r="C65" s="77">
        <f t="shared" ref="C65:U65" si="18">C63-C64</f>
        <v>-2.4000000000000021</v>
      </c>
      <c r="D65" s="77">
        <f t="shared" si="18"/>
        <v>-1.2000000000000011</v>
      </c>
      <c r="E65" s="77">
        <f t="shared" si="18"/>
        <v>-5.6000000000000014</v>
      </c>
      <c r="F65" s="77">
        <f t="shared" si="18"/>
        <v>-1.7999999999999989</v>
      </c>
      <c r="G65" s="77">
        <f t="shared" si="18"/>
        <v>-0.6000000000000032</v>
      </c>
      <c r="H65" s="77">
        <f t="shared" si="18"/>
        <v>-2.4000000000000021</v>
      </c>
      <c r="I65" s="77">
        <f t="shared" si="18"/>
        <v>-3</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4"/>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157</v>
      </c>
      <c r="C3" s="33">
        <f>'Field data and Waste 1'!C31</f>
        <v>249.69279999999998</v>
      </c>
      <c r="D3" s="33">
        <f>'Field data and Waste 1'!D31</f>
        <v>46.730535039999999</v>
      </c>
      <c r="E3" s="33">
        <f>'Field data and Waste 1'!E31</f>
        <v>6.3142385599999997</v>
      </c>
      <c r="F3" s="33">
        <f>'Field data and Waste 1'!F31</f>
        <v>8.2215047040000009</v>
      </c>
      <c r="G3" s="33">
        <f>'Field data and Waste 1'!G31</f>
        <v>1.0058047999999999</v>
      </c>
      <c r="H3" s="33">
        <f>'Field data and Waste 1'!H31</f>
        <v>0.5081775999999999</v>
      </c>
      <c r="I3" s="33">
        <f>'Field data and Waste 1'!I31</f>
        <v>0.1090208</v>
      </c>
      <c r="J3" s="33">
        <f>'Field data and Waste 1'!J31</f>
        <v>2.2859199999999999E-3</v>
      </c>
      <c r="K3" s="33">
        <f>'Field data and Waste 1'!K31</f>
        <v>1.4770559999999999E-2</v>
      </c>
      <c r="L3" s="33">
        <f>'Field data and Waste 1'!L31</f>
        <v>8.9678399999999978E-2</v>
      </c>
      <c r="M3" s="33">
        <f>'Field data and Waste 1'!M31</f>
        <v>7.561119999999999E-2</v>
      </c>
      <c r="N3" s="33">
        <f>'Field data and Waste 1'!N31</f>
        <v>3569.5519999999997</v>
      </c>
      <c r="O3" s="33">
        <f>'Field data and Waste 1'!O31</f>
        <v>167.92719999999997</v>
      </c>
      <c r="P3" s="33">
        <f>'Field data and Waste 1'!P31</f>
        <v>0</v>
      </c>
      <c r="Q3" s="33">
        <f>'Field data and Waste 1'!Q31</f>
        <v>325.30399999999997</v>
      </c>
      <c r="R3" s="33">
        <f>'Field data and Waste 1'!R31</f>
        <v>0</v>
      </c>
      <c r="S3" s="33">
        <f>'Field data and Waste 1'!S31</f>
        <v>0.2918944</v>
      </c>
      <c r="T3" s="33">
        <f>'Field data and Waste 1'!T31</f>
        <v>0</v>
      </c>
      <c r="U3" s="33">
        <f>'Field data and Waste 1'!U31</f>
        <v>0</v>
      </c>
    </row>
    <row r="4" spans="1:21" x14ac:dyDescent="0.25">
      <c r="A4" s="36">
        <v>2</v>
      </c>
      <c r="B4" s="33">
        <f>'Waste 2'!B31</f>
        <v>250</v>
      </c>
      <c r="C4" s="33">
        <f>'Waste 2'!C31</f>
        <v>58.35</v>
      </c>
      <c r="D4" s="33">
        <f>'Waste 2'!D31</f>
        <v>14.708219999999999</v>
      </c>
      <c r="E4" s="33">
        <f>'Waste 2'!E31</f>
        <v>2.4853125</v>
      </c>
      <c r="F4" s="33">
        <f>'Waste 2'!F31</f>
        <v>8.1200549999999989</v>
      </c>
      <c r="G4" s="33">
        <f>'Waste 2'!G31</f>
        <v>0.13799999999999998</v>
      </c>
      <c r="H4" s="33">
        <f>'Waste 2'!H31</f>
        <v>0.79499999999999993</v>
      </c>
      <c r="I4" s="33">
        <f>'Waste 2'!I31</f>
        <v>4.6500000000000007E-2</v>
      </c>
      <c r="J4" s="33">
        <f>'Waste 2'!J31</f>
        <v>8.25E-4</v>
      </c>
      <c r="K4" s="33">
        <f>'Waste 2'!K31</f>
        <v>9.4500000000000001E-3</v>
      </c>
      <c r="L4" s="33">
        <f>'Waste 2'!L31</f>
        <v>8.9249999999999996E-2</v>
      </c>
      <c r="M4" s="33">
        <f>'Waste 2'!M31</f>
        <v>7.5749999999999998E-2</v>
      </c>
      <c r="N4" s="33">
        <f>'Waste 2'!N31</f>
        <v>16.574999999999999</v>
      </c>
      <c r="O4" s="33">
        <f>'Waste 2'!O31</f>
        <v>2842.5</v>
      </c>
      <c r="P4" s="33">
        <f>'Waste 2'!P31</f>
        <v>0</v>
      </c>
      <c r="Q4" s="33">
        <f>'Waste 2'!Q31</f>
        <v>83.062499999999986</v>
      </c>
      <c r="R4" s="33">
        <f>'Waste 2'!R31</f>
        <v>0</v>
      </c>
      <c r="S4" s="33">
        <f>'Waste 2'!S31</f>
        <v>0</v>
      </c>
      <c r="T4" s="33">
        <f>'Waste 2'!T31</f>
        <v>0</v>
      </c>
      <c r="U4" s="33">
        <f>'Waste 2'!U31</f>
        <v>0</v>
      </c>
    </row>
    <row r="5" spans="1:21" x14ac:dyDescent="0.25">
      <c r="A5" s="36">
        <v>3</v>
      </c>
      <c r="B5" s="33">
        <f>'Waste 3'!B31</f>
        <v>250</v>
      </c>
      <c r="C5" s="33">
        <f>'Waste 3'!C31</f>
        <v>80.600000000000009</v>
      </c>
      <c r="D5" s="33">
        <f>'Waste 3'!D31</f>
        <v>25.762295000000002</v>
      </c>
      <c r="E5" s="33">
        <f>'Waste 3'!E31</f>
        <v>3.2504875000000011</v>
      </c>
      <c r="F5" s="33">
        <f>'Waste 3'!F31</f>
        <v>7.8133249999999999</v>
      </c>
      <c r="G5" s="33">
        <f>'Waste 3'!G31</f>
        <v>0.29575000000000001</v>
      </c>
      <c r="H5" s="33">
        <f>'Waste 3'!H31</f>
        <v>0.20085000000000003</v>
      </c>
      <c r="I5" s="33">
        <f>'Waste 3'!I31</f>
        <v>4.0300000000000009E-2</v>
      </c>
      <c r="J5" s="33">
        <f>'Waste 3'!J31</f>
        <v>3.2500000000000003E-3</v>
      </c>
      <c r="K5" s="33">
        <f>'Waste 3'!K31</f>
        <v>8.7100000000000007E-3</v>
      </c>
      <c r="L5" s="33">
        <f>'Waste 3'!L31</f>
        <v>5.0050000000000004E-2</v>
      </c>
      <c r="M5" s="33">
        <f>'Waste 3'!M31</f>
        <v>2.7950000000000003E-2</v>
      </c>
      <c r="N5" s="33">
        <f>'Waste 3'!N31</f>
        <v>1430.0000000000002</v>
      </c>
      <c r="O5" s="33">
        <f>'Waste 3'!O31</f>
        <v>45.760000000000005</v>
      </c>
      <c r="P5" s="33">
        <f>'Waste 3'!P31</f>
        <v>0</v>
      </c>
      <c r="Q5" s="33">
        <f>'Waste 3'!Q31</f>
        <v>134.87500000000003</v>
      </c>
      <c r="R5" s="33">
        <f>'Waste 3'!R31</f>
        <v>0</v>
      </c>
      <c r="S5" s="33">
        <f>'Waste 3'!S31</f>
        <v>7.9300000000000009E-2</v>
      </c>
      <c r="T5" s="33">
        <f>'Waste 3'!T31</f>
        <v>0</v>
      </c>
      <c r="U5" s="33">
        <f>'Waste 3'!U31</f>
        <v>0</v>
      </c>
    </row>
    <row r="6" spans="1:21" x14ac:dyDescent="0.25">
      <c r="A6" s="36">
        <v>4</v>
      </c>
      <c r="B6" s="33">
        <f>'Waste 4'!B31</f>
        <v>250</v>
      </c>
      <c r="C6" s="33">
        <f>'Waste 4'!C31</f>
        <v>171.95000000000002</v>
      </c>
      <c r="D6" s="33">
        <f>'Waste 4'!D31</f>
        <v>31.123234999999998</v>
      </c>
      <c r="E6" s="33">
        <f>'Waste 4'!E31</f>
        <v>4.0524149999999999</v>
      </c>
      <c r="F6" s="33">
        <f>'Waste 4'!F31</f>
        <v>18.271159999999995</v>
      </c>
      <c r="G6" s="33">
        <f>'Waste 4'!G31</f>
        <v>0.45409999999999995</v>
      </c>
      <c r="H6" s="33">
        <f>'Waste 4'!H31</f>
        <v>1.1399999999999999</v>
      </c>
      <c r="I6" s="33">
        <f>'Waste 4'!I31</f>
        <v>5.8900000000000001E-2</v>
      </c>
      <c r="J6" s="33">
        <f>'Waste 4'!J31</f>
        <v>8.8350000000000008E-3</v>
      </c>
      <c r="K6" s="33">
        <f>'Waste 4'!K31</f>
        <v>2.1754999999999997E-2</v>
      </c>
      <c r="L6" s="33">
        <f>'Waste 4'!L31</f>
        <v>0.24034999999999998</v>
      </c>
      <c r="M6" s="33">
        <f>'Waste 4'!M31</f>
        <v>4.0849999999999997E-2</v>
      </c>
      <c r="N6" s="33">
        <f>'Waste 4'!N31</f>
        <v>1976</v>
      </c>
      <c r="O6" s="33">
        <f>'Waste 4'!O31</f>
        <v>39.709999999999994</v>
      </c>
      <c r="P6" s="33">
        <f>'Waste 4'!P31</f>
        <v>0</v>
      </c>
      <c r="Q6" s="33">
        <f>'Waste 4'!Q31</f>
        <v>339.625</v>
      </c>
      <c r="R6" s="33">
        <f>'Waste 4'!R31</f>
        <v>0</v>
      </c>
      <c r="S6" s="33">
        <f>'Waste 4'!S31</f>
        <v>0.16339999999999999</v>
      </c>
      <c r="T6" s="33">
        <f>'Waste 4'!T31</f>
        <v>0</v>
      </c>
      <c r="U6" s="33">
        <f>'Waste 4'!U31</f>
        <v>0</v>
      </c>
    </row>
    <row r="7" spans="1:21" x14ac:dyDescent="0.25">
      <c r="A7" s="36">
        <v>5</v>
      </c>
      <c r="B7" s="33">
        <f>'Waste 5'!B31</f>
        <v>250</v>
      </c>
      <c r="C7" s="33">
        <f>'Waste 5'!C31</f>
        <v>115.2</v>
      </c>
      <c r="D7" s="33">
        <f>'Waste 5'!D31</f>
        <v>53.517759999999996</v>
      </c>
      <c r="E7" s="33">
        <f>'Waste 5'!E31</f>
        <v>3.2294000000000005</v>
      </c>
      <c r="F7" s="33">
        <f>'Waste 5'!F31</f>
        <v>6.76464</v>
      </c>
      <c r="G7" s="33">
        <f>'Waste 5'!G31</f>
        <v>0.59279999999999999</v>
      </c>
      <c r="H7" s="33">
        <f>'Waste 5'!H31</f>
        <v>1.952</v>
      </c>
      <c r="I7" s="33">
        <f>'Waste 5'!I31</f>
        <v>4.9600000000000005E-2</v>
      </c>
      <c r="J7" s="33">
        <f>'Waste 5'!J31</f>
        <v>4.7999999999999996E-3</v>
      </c>
      <c r="K7" s="33">
        <f>'Waste 5'!K31</f>
        <v>8.7200000000000021E-3</v>
      </c>
      <c r="L7" s="33">
        <f>'Waste 5'!L31</f>
        <v>0.1168</v>
      </c>
      <c r="M7" s="33">
        <f>'Waste 5'!M31</f>
        <v>0.04</v>
      </c>
      <c r="N7" s="33">
        <f>'Waste 5'!N31</f>
        <v>1408</v>
      </c>
      <c r="O7" s="33">
        <f>'Waste 5'!O31</f>
        <v>55.6</v>
      </c>
      <c r="P7" s="33">
        <f>'Waste 5'!P31</f>
        <v>0</v>
      </c>
      <c r="Q7" s="33">
        <f>'Waste 5'!Q31</f>
        <v>123.80000000000001</v>
      </c>
      <c r="R7" s="33">
        <f>'Waste 5'!R31</f>
        <v>0</v>
      </c>
      <c r="S7" s="33">
        <f>'Waste 5'!S31</f>
        <v>0.18480000000000002</v>
      </c>
      <c r="T7" s="33">
        <f>'Waste 5'!T31</f>
        <v>0</v>
      </c>
      <c r="U7" s="33">
        <f>'Waste 5'!U31</f>
        <v>0</v>
      </c>
    </row>
    <row r="8" spans="1:21" x14ac:dyDescent="0.25">
      <c r="A8" s="36">
        <v>6</v>
      </c>
      <c r="B8" s="33">
        <f>'Waste 6'!B31</f>
        <v>250</v>
      </c>
      <c r="C8" s="33">
        <f>'Waste 6'!C31</f>
        <v>76.3</v>
      </c>
      <c r="D8" s="33">
        <f>'Waste 6'!D31</f>
        <v>21.649949999999997</v>
      </c>
      <c r="E8" s="33">
        <f>'Waste 6'!E31</f>
        <v>2.5642399999999999</v>
      </c>
      <c r="F8" s="33">
        <f>'Waste 6'!F31</f>
        <v>4.770065999999999</v>
      </c>
      <c r="G8" s="33">
        <f>'Waste 6'!G31</f>
        <v>0.29189999999999999</v>
      </c>
      <c r="H8" s="33">
        <f>'Waste 6'!H31</f>
        <v>2.0579999999999994</v>
      </c>
      <c r="I8" s="33">
        <f>'Waste 6'!I31</f>
        <v>4.3400000000000001E-2</v>
      </c>
      <c r="J8" s="33">
        <f>'Waste 6'!J31</f>
        <v>1.3719999999999998E-2</v>
      </c>
      <c r="K8" s="33">
        <f>'Waste 6'!K31</f>
        <v>1.001E-2</v>
      </c>
      <c r="L8" s="33">
        <f>'Waste 6'!L31</f>
        <v>7.9799999999999982E-2</v>
      </c>
      <c r="M8" s="33">
        <f>'Waste 6'!M31</f>
        <v>3.2409999999999994E-2</v>
      </c>
      <c r="N8" s="33">
        <f>'Waste 6'!N31</f>
        <v>1812.9999999999998</v>
      </c>
      <c r="O8" s="33">
        <f>'Waste 6'!O31</f>
        <v>50.189999999999991</v>
      </c>
      <c r="P8" s="33">
        <f>'Waste 6'!P31</f>
        <v>0</v>
      </c>
      <c r="Q8" s="33">
        <f>'Waste 6'!Q31</f>
        <v>180.25</v>
      </c>
      <c r="R8" s="33">
        <f>'Waste 6'!R31</f>
        <v>0</v>
      </c>
      <c r="S8" s="33">
        <f>'Waste 6'!S31</f>
        <v>0.16939999999999997</v>
      </c>
      <c r="T8" s="33">
        <f>'Waste 6'!T31</f>
        <v>0</v>
      </c>
      <c r="U8" s="33">
        <f>'Waste 6'!U31</f>
        <v>0</v>
      </c>
    </row>
    <row r="9" spans="1:21" x14ac:dyDescent="0.25">
      <c r="A9" s="36">
        <v>7</v>
      </c>
      <c r="B9" s="33">
        <f>'Waste 7'!B31</f>
        <v>250</v>
      </c>
      <c r="C9" s="33">
        <f>'Waste 7'!C31</f>
        <v>68.594999999999999</v>
      </c>
      <c r="D9" s="33">
        <f>'Waste 7'!D31</f>
        <v>5.9783645000000005</v>
      </c>
      <c r="E9" s="33">
        <f>'Waste 7'!E31</f>
        <v>2.0382575000000003</v>
      </c>
      <c r="F9" s="33">
        <f>'Waste 7'!F31</f>
        <v>9.1463570000000001</v>
      </c>
      <c r="G9" s="33">
        <f>'Waste 7'!G31</f>
        <v>0.374</v>
      </c>
      <c r="H9" s="33">
        <f>'Waste 7'!H31</f>
        <v>3.8760000000000003</v>
      </c>
      <c r="I9" s="33">
        <f>'Waste 7'!I31</f>
        <v>0.24735000000000001</v>
      </c>
      <c r="J9" s="33">
        <f>'Waste 7'!J31</f>
        <v>8.6700000000000024E-3</v>
      </c>
      <c r="K9" s="33">
        <f>'Waste 7'!K31</f>
        <v>9.4350000000000024E-3</v>
      </c>
      <c r="L9" s="33">
        <f>'Waste 7'!L31</f>
        <v>0.28304999999999997</v>
      </c>
      <c r="M9" s="33">
        <f>'Waste 7'!M31</f>
        <v>0.10455</v>
      </c>
      <c r="N9" s="33">
        <f>'Waste 7'!N31</f>
        <v>39.525000000000006</v>
      </c>
      <c r="O9" s="33">
        <f>'Waste 7'!O31</f>
        <v>3162.0000000000005</v>
      </c>
      <c r="P9" s="33">
        <f>'Waste 7'!P31</f>
        <v>0</v>
      </c>
      <c r="Q9" s="33">
        <f>'Waste 7'!Q31</f>
        <v>58.650000000000013</v>
      </c>
      <c r="R9" s="33">
        <f>'Waste 7'!R31</f>
        <v>0</v>
      </c>
      <c r="S9" s="33">
        <f>'Waste 7'!S31</f>
        <v>0.14450000000000002</v>
      </c>
      <c r="T9" s="33">
        <f>'Waste 7'!T31</f>
        <v>0</v>
      </c>
      <c r="U9" s="33">
        <f>'Waste 7'!U31</f>
        <v>0</v>
      </c>
    </row>
    <row r="10" spans="1:21" x14ac:dyDescent="0.25">
      <c r="A10" s="36">
        <v>8</v>
      </c>
      <c r="B10" s="33">
        <f>'Waste 8'!B31</f>
        <v>250</v>
      </c>
      <c r="C10" s="33">
        <f>'Waste 8'!C31</f>
        <v>105.57000000000001</v>
      </c>
      <c r="D10" s="33">
        <f>'Waste 8'!D31</f>
        <v>26.833910250000006</v>
      </c>
      <c r="E10" s="33">
        <f>'Waste 8'!E31</f>
        <v>1.8499762500000003</v>
      </c>
      <c r="F10" s="33">
        <f>'Waste 8'!F31</f>
        <v>8.5801499999999997</v>
      </c>
      <c r="G10" s="33">
        <f>'Waste 8'!G31</f>
        <v>0.13455000000000003</v>
      </c>
      <c r="H10" s="33">
        <f>'Waste 8'!H31</f>
        <v>4.4677500000000006</v>
      </c>
      <c r="I10" s="33">
        <f>'Waste 8'!I31</f>
        <v>0.53647500000000015</v>
      </c>
      <c r="J10" s="33">
        <f>'Waste 8'!J31</f>
        <v>2.5875E-3</v>
      </c>
      <c r="K10" s="33">
        <f>'Waste 8'!K31</f>
        <v>1.0005000000000002E-2</v>
      </c>
      <c r="L10" s="33">
        <f>'Waste 8'!L31</f>
        <v>0.48645000000000005</v>
      </c>
      <c r="M10" s="33">
        <f>'Waste 8'!M31</f>
        <v>0.35362500000000002</v>
      </c>
      <c r="N10" s="33">
        <f>'Waste 8'!N31</f>
        <v>50.197500000000005</v>
      </c>
      <c r="O10" s="33">
        <f>'Waste 8'!O31</f>
        <v>7210.5000000000009</v>
      </c>
      <c r="P10" s="33">
        <f>'Waste 8'!P31</f>
        <v>0</v>
      </c>
      <c r="Q10" s="33">
        <f>'Waste 8'!Q31</f>
        <v>196.21875</v>
      </c>
      <c r="R10" s="33">
        <f>'Waste 8'!R31</f>
        <v>0</v>
      </c>
      <c r="S10" s="33">
        <f>'Waste 8'!S31</f>
        <v>0.53820000000000012</v>
      </c>
      <c r="T10" s="33">
        <f>'Waste 8'!T31</f>
        <v>0</v>
      </c>
      <c r="U10" s="33">
        <f>'Waste 8'!U31</f>
        <v>0</v>
      </c>
    </row>
    <row r="11" spans="1:21" x14ac:dyDescent="0.25">
      <c r="A11" s="36">
        <v>9</v>
      </c>
      <c r="B11" s="33">
        <f>'Waste 9'!B31</f>
        <v>250</v>
      </c>
      <c r="C11" s="33">
        <f>'Waste 9'!C31</f>
        <v>84.749999999999986</v>
      </c>
      <c r="D11" s="33">
        <f>'Waste 9'!D31</f>
        <v>54.124874999999996</v>
      </c>
      <c r="E11" s="33">
        <f>'Waste 9'!E31</f>
        <v>2.8648875</v>
      </c>
      <c r="F11" s="33">
        <f>'Waste 9'!F31</f>
        <v>8.8537199999999974</v>
      </c>
      <c r="G11" s="33">
        <f>'Waste 9'!G31</f>
        <v>0.53399999999999992</v>
      </c>
      <c r="H11" s="33">
        <f>'Waste 9'!H31</f>
        <v>0.9</v>
      </c>
      <c r="I11" s="33">
        <f>'Waste 9'!I31</f>
        <v>4.6500000000000007E-2</v>
      </c>
      <c r="J11" s="33">
        <f>'Waste 9'!J31</f>
        <v>3.5999999999999999E-3</v>
      </c>
      <c r="K11" s="33">
        <f>'Waste 9'!K31</f>
        <v>9.074999999999998E-3</v>
      </c>
      <c r="L11" s="33">
        <f>'Waste 9'!L31</f>
        <v>3.8249999999999992E-2</v>
      </c>
      <c r="M11" s="33">
        <f>'Waste 9'!M31</f>
        <v>3.8700000000000005E-2</v>
      </c>
      <c r="N11" s="33">
        <f>'Waste 9'!N31</f>
        <v>1185</v>
      </c>
      <c r="O11" s="33">
        <f>'Waste 9'!O31</f>
        <v>44.324999999999996</v>
      </c>
      <c r="P11" s="33">
        <f>'Waste 9'!P31</f>
        <v>0</v>
      </c>
      <c r="Q11" s="33">
        <f>'Waste 9'!Q31</f>
        <v>98.250000000000014</v>
      </c>
      <c r="R11" s="33">
        <f>'Waste 9'!R31</f>
        <v>0</v>
      </c>
      <c r="S11" s="33">
        <f>'Waste 9'!S31</f>
        <v>0.13125000000000001</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2157</v>
      </c>
      <c r="C13" s="81">
        <f t="shared" ref="C13:U13" si="0">SUM(C3:C12)</f>
        <v>1011.0078000000001</v>
      </c>
      <c r="D13" s="81">
        <f t="shared" si="0"/>
        <v>280.42914478999995</v>
      </c>
      <c r="E13" s="81">
        <f t="shared" si="0"/>
        <v>28.649214810000004</v>
      </c>
      <c r="F13" s="81">
        <f t="shared" si="0"/>
        <v>80.540977703999985</v>
      </c>
      <c r="G13" s="81">
        <f t="shared" si="0"/>
        <v>3.8209047999999997</v>
      </c>
      <c r="H13" s="81">
        <f t="shared" si="0"/>
        <v>15.897777600000001</v>
      </c>
      <c r="I13" s="81">
        <f t="shared" si="0"/>
        <v>1.1780458</v>
      </c>
      <c r="J13" s="81">
        <f t="shared" si="0"/>
        <v>4.8573419999999999E-2</v>
      </c>
      <c r="K13" s="81">
        <f t="shared" si="0"/>
        <v>0.10193056</v>
      </c>
      <c r="L13" s="81">
        <f t="shared" si="0"/>
        <v>1.4736783999999998</v>
      </c>
      <c r="M13" s="81">
        <f t="shared" si="0"/>
        <v>0.78944619999999999</v>
      </c>
      <c r="N13" s="81">
        <f t="shared" si="0"/>
        <v>11487.8495</v>
      </c>
      <c r="O13" s="81">
        <f t="shared" si="0"/>
        <v>13618.512200000001</v>
      </c>
      <c r="P13" s="81">
        <f t="shared" si="0"/>
        <v>0</v>
      </c>
      <c r="Q13" s="81">
        <f t="shared" si="0"/>
        <v>1540.0352500000001</v>
      </c>
      <c r="R13" s="81">
        <f t="shared" si="0"/>
        <v>0</v>
      </c>
      <c r="S13" s="81">
        <f t="shared" si="0"/>
        <v>1.7027444000000003</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5"/>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157</v>
      </c>
      <c r="D3" s="33">
        <f>'Field data and Waste 1'!C31</f>
        <v>249.69279999999998</v>
      </c>
      <c r="E3" s="33">
        <f>'Field data and Waste 1'!D31</f>
        <v>46.730535039999999</v>
      </c>
      <c r="F3" s="33">
        <f>'Field data and Waste 1'!E31</f>
        <v>6.3142385599999997</v>
      </c>
      <c r="G3" s="33">
        <f>'Field data and Waste 1'!F31</f>
        <v>8.2215047040000009</v>
      </c>
      <c r="H3" s="33">
        <f>'Field data and Waste 1'!G31</f>
        <v>1.0058047999999999</v>
      </c>
      <c r="I3" s="33">
        <f>'Field data and Waste 1'!H31</f>
        <v>0.5081775999999999</v>
      </c>
      <c r="J3" s="33">
        <f>'Field data and Waste 1'!I31</f>
        <v>0.1090208</v>
      </c>
      <c r="K3" s="33">
        <f>'Field data and Waste 1'!J31</f>
        <v>2.2859199999999999E-3</v>
      </c>
      <c r="L3" s="33">
        <f>'Field data and Waste 1'!K31</f>
        <v>1.4770559999999999E-2</v>
      </c>
      <c r="M3" s="33">
        <f>'Field data and Waste 1'!L31</f>
        <v>8.9678399999999978E-2</v>
      </c>
      <c r="N3" s="33">
        <f>'Field data and Waste 1'!M31</f>
        <v>7.561119999999999E-2</v>
      </c>
      <c r="O3" s="33">
        <f>'Field data and Waste 1'!N31</f>
        <v>3569.5519999999997</v>
      </c>
      <c r="P3" s="33">
        <f>'Field data and Waste 1'!O31</f>
        <v>167.92719999999997</v>
      </c>
      <c r="Q3" s="33">
        <f>'Field data and Waste 1'!P31</f>
        <v>0</v>
      </c>
      <c r="R3" s="33">
        <f>'Field data and Waste 1'!Q31</f>
        <v>325.30399999999997</v>
      </c>
      <c r="S3" s="33">
        <f>'Field data and Waste 1'!R31</f>
        <v>0</v>
      </c>
      <c r="T3" s="33">
        <f>'Field data and Waste 1'!S31</f>
        <v>0.2918944</v>
      </c>
      <c r="U3" s="33">
        <f>'Field data and Waste 1'!T31</f>
        <v>0</v>
      </c>
      <c r="V3" s="33">
        <f>'Field data and Waste 1'!U31</f>
        <v>0</v>
      </c>
    </row>
    <row r="4" spans="1:22" x14ac:dyDescent="0.25">
      <c r="A4" s="36">
        <v>2</v>
      </c>
      <c r="B4" s="91"/>
      <c r="C4" s="33">
        <f>'Waste 2'!B31</f>
        <v>250</v>
      </c>
      <c r="D4" s="33">
        <f>'Waste 2'!C31</f>
        <v>58.35</v>
      </c>
      <c r="E4" s="33">
        <f>'Waste 2'!D31</f>
        <v>14.708219999999999</v>
      </c>
      <c r="F4" s="33">
        <f>'Waste 2'!E31</f>
        <v>2.4853125</v>
      </c>
      <c r="G4" s="33">
        <f>'Waste 2'!F31</f>
        <v>8.1200549999999989</v>
      </c>
      <c r="H4" s="33">
        <f>'Waste 2'!G31</f>
        <v>0.13799999999999998</v>
      </c>
      <c r="I4" s="33">
        <f>'Waste 2'!H31</f>
        <v>0.79499999999999993</v>
      </c>
      <c r="J4" s="33">
        <f>'Waste 2'!I31</f>
        <v>4.6500000000000007E-2</v>
      </c>
      <c r="K4" s="33">
        <f>'Waste 2'!J31</f>
        <v>8.25E-4</v>
      </c>
      <c r="L4" s="33">
        <f>'Waste 2'!K31</f>
        <v>9.4500000000000001E-3</v>
      </c>
      <c r="M4" s="33">
        <f>'Waste 2'!L31</f>
        <v>8.9249999999999996E-2</v>
      </c>
      <c r="N4" s="33">
        <f>'Waste 2'!M31</f>
        <v>7.5749999999999998E-2</v>
      </c>
      <c r="O4" s="33">
        <f>'Waste 2'!N31</f>
        <v>16.574999999999999</v>
      </c>
      <c r="P4" s="33">
        <f>'Waste 2'!O31</f>
        <v>2842.5</v>
      </c>
      <c r="Q4" s="33">
        <f>'Waste 2'!P31</f>
        <v>0</v>
      </c>
      <c r="R4" s="33">
        <f>'Waste 2'!Q31</f>
        <v>83.062499999999986</v>
      </c>
      <c r="S4" s="33">
        <f>'Waste 2'!R31</f>
        <v>0</v>
      </c>
      <c r="T4" s="33">
        <f>'Waste 2'!S31</f>
        <v>0</v>
      </c>
      <c r="U4" s="33">
        <f>'Waste 2'!T31</f>
        <v>0</v>
      </c>
      <c r="V4" s="33">
        <f>'Waste 2'!U31</f>
        <v>0</v>
      </c>
    </row>
    <row r="5" spans="1:22" x14ac:dyDescent="0.25">
      <c r="A5" s="36">
        <v>3</v>
      </c>
      <c r="B5" s="91"/>
      <c r="C5" s="33">
        <f>'Waste 3'!B31</f>
        <v>250</v>
      </c>
      <c r="D5" s="33">
        <f>'Waste 3'!C31</f>
        <v>80.600000000000009</v>
      </c>
      <c r="E5" s="33">
        <f>'Waste 3'!D31</f>
        <v>25.762295000000002</v>
      </c>
      <c r="F5" s="33">
        <f>'Waste 3'!E31</f>
        <v>3.2504875000000011</v>
      </c>
      <c r="G5" s="33">
        <f>'Waste 3'!F31</f>
        <v>7.8133249999999999</v>
      </c>
      <c r="H5" s="33">
        <f>'Waste 3'!G31</f>
        <v>0.29575000000000001</v>
      </c>
      <c r="I5" s="33">
        <f>'Waste 3'!H31</f>
        <v>0.20085000000000003</v>
      </c>
      <c r="J5" s="33">
        <f>'Waste 3'!I31</f>
        <v>4.0300000000000009E-2</v>
      </c>
      <c r="K5" s="33">
        <f>'Waste 3'!J31</f>
        <v>3.2500000000000003E-3</v>
      </c>
      <c r="L5" s="33">
        <f>'Waste 3'!K31</f>
        <v>8.7100000000000007E-3</v>
      </c>
      <c r="M5" s="33">
        <f>'Waste 3'!L31</f>
        <v>5.0050000000000004E-2</v>
      </c>
      <c r="N5" s="33">
        <f>'Waste 3'!M31</f>
        <v>2.7950000000000003E-2</v>
      </c>
      <c r="O5" s="33">
        <f>'Waste 3'!N31</f>
        <v>1430.0000000000002</v>
      </c>
      <c r="P5" s="33">
        <f>'Waste 3'!O31</f>
        <v>45.760000000000005</v>
      </c>
      <c r="Q5" s="33">
        <f>'Waste 3'!P31</f>
        <v>0</v>
      </c>
      <c r="R5" s="33">
        <f>'Waste 3'!Q31</f>
        <v>134.87500000000003</v>
      </c>
      <c r="S5" s="33">
        <f>'Waste 3'!R31</f>
        <v>0</v>
      </c>
      <c r="T5" s="33">
        <f>'Waste 3'!S31</f>
        <v>7.9300000000000009E-2</v>
      </c>
      <c r="U5" s="33">
        <f>'Waste 3'!T31</f>
        <v>0</v>
      </c>
      <c r="V5" s="33">
        <f>'Waste 3'!U31</f>
        <v>0</v>
      </c>
    </row>
    <row r="6" spans="1:22" x14ac:dyDescent="0.25">
      <c r="A6" s="36">
        <v>4</v>
      </c>
      <c r="B6" s="91"/>
      <c r="C6" s="33">
        <f>'Waste 4'!B31</f>
        <v>250</v>
      </c>
      <c r="D6" s="33">
        <f>'Waste 4'!C31</f>
        <v>171.95000000000002</v>
      </c>
      <c r="E6" s="33">
        <f>'Waste 4'!D31</f>
        <v>31.123234999999998</v>
      </c>
      <c r="F6" s="33">
        <f>'Waste 4'!E31</f>
        <v>4.0524149999999999</v>
      </c>
      <c r="G6" s="33">
        <f>'Waste 4'!F31</f>
        <v>18.271159999999995</v>
      </c>
      <c r="H6" s="33">
        <f>'Waste 4'!G31</f>
        <v>0.45409999999999995</v>
      </c>
      <c r="I6" s="33">
        <f>'Waste 4'!H31</f>
        <v>1.1399999999999999</v>
      </c>
      <c r="J6" s="33">
        <f>'Waste 4'!I31</f>
        <v>5.8900000000000001E-2</v>
      </c>
      <c r="K6" s="33">
        <f>'Waste 4'!J31</f>
        <v>8.8350000000000008E-3</v>
      </c>
      <c r="L6" s="33">
        <f>'Waste 4'!K31</f>
        <v>2.1754999999999997E-2</v>
      </c>
      <c r="M6" s="33">
        <f>'Waste 4'!L31</f>
        <v>0.24034999999999998</v>
      </c>
      <c r="N6" s="33">
        <f>'Waste 4'!M31</f>
        <v>4.0849999999999997E-2</v>
      </c>
      <c r="O6" s="33">
        <f>'Waste 4'!N31</f>
        <v>1976</v>
      </c>
      <c r="P6" s="33">
        <f>'Waste 4'!O31</f>
        <v>39.709999999999994</v>
      </c>
      <c r="Q6" s="33">
        <f>'Waste 4'!P31</f>
        <v>0</v>
      </c>
      <c r="R6" s="33">
        <f>'Waste 4'!Q31</f>
        <v>339.625</v>
      </c>
      <c r="S6" s="33">
        <f>'Waste 4'!R31</f>
        <v>0</v>
      </c>
      <c r="T6" s="33">
        <f>'Waste 4'!S31</f>
        <v>0.16339999999999999</v>
      </c>
      <c r="U6" s="33">
        <f>'Waste 4'!T31</f>
        <v>0</v>
      </c>
      <c r="V6" s="33">
        <f>'Waste 4'!U31</f>
        <v>0</v>
      </c>
    </row>
    <row r="7" spans="1:22" x14ac:dyDescent="0.25">
      <c r="A7" s="36">
        <v>5</v>
      </c>
      <c r="B7" s="91"/>
      <c r="C7" s="33">
        <f>'Waste 5'!B31</f>
        <v>250</v>
      </c>
      <c r="D7" s="33">
        <f>'Waste 5'!C31</f>
        <v>115.2</v>
      </c>
      <c r="E7" s="33">
        <f>'Waste 5'!D31</f>
        <v>53.517759999999996</v>
      </c>
      <c r="F7" s="33">
        <f>'Waste 5'!E31</f>
        <v>3.2294000000000005</v>
      </c>
      <c r="G7" s="33">
        <f>'Waste 5'!F31</f>
        <v>6.76464</v>
      </c>
      <c r="H7" s="33">
        <f>'Waste 5'!G31</f>
        <v>0.59279999999999999</v>
      </c>
      <c r="I7" s="33">
        <f>'Waste 5'!H31</f>
        <v>1.952</v>
      </c>
      <c r="J7" s="33">
        <f>'Waste 5'!I31</f>
        <v>4.9600000000000005E-2</v>
      </c>
      <c r="K7" s="33">
        <f>'Waste 5'!J31</f>
        <v>4.7999999999999996E-3</v>
      </c>
      <c r="L7" s="33">
        <f>'Waste 5'!K31</f>
        <v>8.7200000000000021E-3</v>
      </c>
      <c r="M7" s="33">
        <f>'Waste 5'!L31</f>
        <v>0.1168</v>
      </c>
      <c r="N7" s="33">
        <f>'Waste 5'!M31</f>
        <v>0.04</v>
      </c>
      <c r="O7" s="33">
        <f>'Waste 5'!N31</f>
        <v>1408</v>
      </c>
      <c r="P7" s="33">
        <f>'Waste 5'!O31</f>
        <v>55.6</v>
      </c>
      <c r="Q7" s="33">
        <f>'Waste 5'!P31</f>
        <v>0</v>
      </c>
      <c r="R7" s="33">
        <f>'Waste 5'!Q31</f>
        <v>123.80000000000001</v>
      </c>
      <c r="S7" s="33">
        <f>'Waste 5'!R31</f>
        <v>0</v>
      </c>
      <c r="T7" s="33">
        <f>'Waste 5'!S31</f>
        <v>0.18480000000000002</v>
      </c>
      <c r="U7" s="33">
        <f>'Waste 5'!T31</f>
        <v>0</v>
      </c>
      <c r="V7" s="33">
        <f>'Waste 5'!U31</f>
        <v>0</v>
      </c>
    </row>
    <row r="8" spans="1:22" x14ac:dyDescent="0.25">
      <c r="A8" s="36">
        <v>6</v>
      </c>
      <c r="B8" s="91"/>
      <c r="C8" s="33">
        <f>'Waste 6'!B31</f>
        <v>250</v>
      </c>
      <c r="D8" s="33">
        <f>'Waste 6'!C31</f>
        <v>76.3</v>
      </c>
      <c r="E8" s="33">
        <f>'Waste 6'!D31</f>
        <v>21.649949999999997</v>
      </c>
      <c r="F8" s="33">
        <f>'Waste 6'!E31</f>
        <v>2.5642399999999999</v>
      </c>
      <c r="G8" s="33">
        <f>'Waste 6'!F31</f>
        <v>4.770065999999999</v>
      </c>
      <c r="H8" s="33">
        <f>'Waste 6'!G31</f>
        <v>0.29189999999999999</v>
      </c>
      <c r="I8" s="33">
        <f>'Waste 6'!H31</f>
        <v>2.0579999999999994</v>
      </c>
      <c r="J8" s="33">
        <f>'Waste 6'!I31</f>
        <v>4.3400000000000001E-2</v>
      </c>
      <c r="K8" s="33">
        <f>'Waste 6'!J31</f>
        <v>1.3719999999999998E-2</v>
      </c>
      <c r="L8" s="33">
        <f>'Waste 6'!K31</f>
        <v>1.001E-2</v>
      </c>
      <c r="M8" s="33">
        <f>'Waste 6'!L31</f>
        <v>7.9799999999999982E-2</v>
      </c>
      <c r="N8" s="33">
        <f>'Waste 6'!M31</f>
        <v>3.2409999999999994E-2</v>
      </c>
      <c r="O8" s="33">
        <f>'Waste 6'!N31</f>
        <v>1812.9999999999998</v>
      </c>
      <c r="P8" s="33">
        <f>'Waste 6'!O31</f>
        <v>50.189999999999991</v>
      </c>
      <c r="Q8" s="33">
        <f>'Waste 6'!P31</f>
        <v>0</v>
      </c>
      <c r="R8" s="33">
        <f>'Waste 6'!Q31</f>
        <v>180.25</v>
      </c>
      <c r="S8" s="33">
        <f>'Waste 6'!R31</f>
        <v>0</v>
      </c>
      <c r="T8" s="33">
        <f>'Waste 6'!S31</f>
        <v>0.16939999999999997</v>
      </c>
      <c r="U8" s="33">
        <f>'Waste 6'!T31</f>
        <v>0</v>
      </c>
      <c r="V8" s="33">
        <f>'Waste 6'!U31</f>
        <v>0</v>
      </c>
    </row>
    <row r="9" spans="1:22" x14ac:dyDescent="0.25">
      <c r="A9" s="36">
        <v>7</v>
      </c>
      <c r="B9" s="91"/>
      <c r="C9" s="33">
        <f>'Waste 7'!B31</f>
        <v>250</v>
      </c>
      <c r="D9" s="33">
        <f>'Waste 7'!C31</f>
        <v>68.594999999999999</v>
      </c>
      <c r="E9" s="33">
        <f>'Waste 7'!D31</f>
        <v>5.9783645000000005</v>
      </c>
      <c r="F9" s="33">
        <f>'Waste 7'!E31</f>
        <v>2.0382575000000003</v>
      </c>
      <c r="G9" s="33">
        <f>'Waste 7'!F31</f>
        <v>9.1463570000000001</v>
      </c>
      <c r="H9" s="33">
        <f>'Waste 7'!G31</f>
        <v>0.374</v>
      </c>
      <c r="I9" s="33">
        <f>'Waste 7'!H31</f>
        <v>3.8760000000000003</v>
      </c>
      <c r="J9" s="33">
        <f>'Waste 7'!I31</f>
        <v>0.24735000000000001</v>
      </c>
      <c r="K9" s="33">
        <f>'Waste 7'!J31</f>
        <v>8.6700000000000024E-3</v>
      </c>
      <c r="L9" s="33">
        <f>'Waste 7'!K31</f>
        <v>9.4350000000000024E-3</v>
      </c>
      <c r="M9" s="33">
        <f>'Waste 7'!L31</f>
        <v>0.28304999999999997</v>
      </c>
      <c r="N9" s="33">
        <f>'Waste 7'!M31</f>
        <v>0.10455</v>
      </c>
      <c r="O9" s="33">
        <f>'Waste 7'!N31</f>
        <v>39.525000000000006</v>
      </c>
      <c r="P9" s="33">
        <f>'Waste 7'!O31</f>
        <v>3162.0000000000005</v>
      </c>
      <c r="Q9" s="33">
        <f>'Waste 7'!P31</f>
        <v>0</v>
      </c>
      <c r="R9" s="33">
        <f>'Waste 7'!Q31</f>
        <v>58.650000000000013</v>
      </c>
      <c r="S9" s="33">
        <f>'Waste 7'!R31</f>
        <v>0</v>
      </c>
      <c r="T9" s="33">
        <f>'Waste 7'!S31</f>
        <v>0.14450000000000002</v>
      </c>
      <c r="U9" s="33">
        <f>'Waste 7'!T31</f>
        <v>0</v>
      </c>
      <c r="V9" s="33">
        <f>'Waste 7'!U31</f>
        <v>0</v>
      </c>
    </row>
    <row r="10" spans="1:22" x14ac:dyDescent="0.25">
      <c r="A10" s="36">
        <v>8</v>
      </c>
      <c r="B10" s="91"/>
      <c r="C10" s="33">
        <f>'Waste 8'!B31</f>
        <v>250</v>
      </c>
      <c r="D10" s="33">
        <f>'Waste 8'!C31</f>
        <v>105.57000000000001</v>
      </c>
      <c r="E10" s="33">
        <f>'Waste 8'!D31</f>
        <v>26.833910250000006</v>
      </c>
      <c r="F10" s="33">
        <f>'Waste 8'!E31</f>
        <v>1.8499762500000003</v>
      </c>
      <c r="G10" s="33">
        <f>'Waste 8'!F31</f>
        <v>8.5801499999999997</v>
      </c>
      <c r="H10" s="33">
        <f>'Waste 8'!G31</f>
        <v>0.13455000000000003</v>
      </c>
      <c r="I10" s="33">
        <f>'Waste 8'!H31</f>
        <v>4.4677500000000006</v>
      </c>
      <c r="J10" s="33">
        <f>'Waste 8'!I31</f>
        <v>0.53647500000000015</v>
      </c>
      <c r="K10" s="33">
        <f>'Waste 8'!J31</f>
        <v>2.5875E-3</v>
      </c>
      <c r="L10" s="33">
        <f>'Waste 8'!K31</f>
        <v>1.0005000000000002E-2</v>
      </c>
      <c r="M10" s="33">
        <f>'Waste 8'!L31</f>
        <v>0.48645000000000005</v>
      </c>
      <c r="N10" s="33">
        <f>'Waste 8'!M31</f>
        <v>0.35362500000000002</v>
      </c>
      <c r="O10" s="33">
        <f>'Waste 8'!N31</f>
        <v>50.197500000000005</v>
      </c>
      <c r="P10" s="33">
        <f>'Waste 8'!O31</f>
        <v>7210.5000000000009</v>
      </c>
      <c r="Q10" s="33">
        <f>'Waste 8'!P31</f>
        <v>0</v>
      </c>
      <c r="R10" s="33">
        <f>'Waste 8'!Q31</f>
        <v>196.21875</v>
      </c>
      <c r="S10" s="33">
        <f>'Waste 8'!R31</f>
        <v>0</v>
      </c>
      <c r="T10" s="33">
        <f>'Waste 8'!S31</f>
        <v>0.53820000000000012</v>
      </c>
      <c r="U10" s="33">
        <f>'Waste 8'!T31</f>
        <v>0</v>
      </c>
      <c r="V10" s="33">
        <f>'Waste 8'!U31</f>
        <v>0</v>
      </c>
    </row>
    <row r="11" spans="1:22" x14ac:dyDescent="0.25">
      <c r="A11" s="36">
        <v>9</v>
      </c>
      <c r="B11" s="91"/>
      <c r="C11" s="33">
        <f>'Waste 9'!B31</f>
        <v>250</v>
      </c>
      <c r="D11" s="33">
        <f>'Waste 9'!C31</f>
        <v>84.749999999999986</v>
      </c>
      <c r="E11" s="33">
        <f>'Waste 9'!D31</f>
        <v>54.124874999999996</v>
      </c>
      <c r="F11" s="33">
        <f>'Waste 9'!E31</f>
        <v>2.8648875</v>
      </c>
      <c r="G11" s="33">
        <f>'Waste 9'!F31</f>
        <v>8.8537199999999974</v>
      </c>
      <c r="H11" s="33">
        <f>'Waste 9'!G31</f>
        <v>0.53399999999999992</v>
      </c>
      <c r="I11" s="33">
        <f>'Waste 9'!H31</f>
        <v>0.9</v>
      </c>
      <c r="J11" s="33">
        <f>'Waste 9'!I31</f>
        <v>4.6500000000000007E-2</v>
      </c>
      <c r="K11" s="33">
        <f>'Waste 9'!J31</f>
        <v>3.5999999999999999E-3</v>
      </c>
      <c r="L11" s="33">
        <f>'Waste 9'!K31</f>
        <v>9.074999999999998E-3</v>
      </c>
      <c r="M11" s="33">
        <f>'Waste 9'!L31</f>
        <v>3.8249999999999992E-2</v>
      </c>
      <c r="N11" s="33">
        <f>'Waste 9'!M31</f>
        <v>3.8700000000000005E-2</v>
      </c>
      <c r="O11" s="33">
        <f>'Waste 9'!N31</f>
        <v>1185</v>
      </c>
      <c r="P11" s="33">
        <f>'Waste 9'!O31</f>
        <v>44.324999999999996</v>
      </c>
      <c r="Q11" s="33">
        <f>'Waste 9'!P31</f>
        <v>0</v>
      </c>
      <c r="R11" s="33">
        <f>'Waste 9'!Q31</f>
        <v>98.250000000000014</v>
      </c>
      <c r="S11" s="33">
        <f>'Waste 9'!R31</f>
        <v>0</v>
      </c>
      <c r="T11" s="33">
        <f>'Waste 9'!S31</f>
        <v>0.13125000000000001</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'Field data and Waste 1'!B43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'Field data and Waste 1'!B44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157</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250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250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250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250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250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250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250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250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7" ma:contentTypeDescription="Permitting &amp; Compliance Word Document" ma:contentTypeScope="" ma:versionID="b0979c0abfc4cd0aa9a4088fd2a08e4f">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7a202198781ede2dced974a9bcd06e41"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element ref="ns4:MediaServiceObjectDetectorVersions" minOccurs="0"/>
                <xsd:element ref="ns4:lcf76f155ced4ddcb4097134ff3c332f" minOccurs="0"/>
                <xsd:element ref="ns2:TaxCatchAll"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SearchProperties" ma:index="4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REGU-415-1631572</_dlc_DocId>
    <_dlc_DocIdUrl xmlns="9be56660-2c31-41ef-bc00-23e72f632f2a">
      <Url>https://cyfoethnaturiolcymru.sharepoint.com/teams/Regulatory/Permitting/_layouts/15/DocIdRedir.aspx?ID=REGU-415-1631572</Url>
      <Description>REGU-415-1631572</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Terms xmlns="http://schemas.microsoft.com/office/infopath/2007/PartnerControls"/>
    </lcf76f155ced4ddcb4097134ff3c332f>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2024-02-27T00:00:00+00:00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Ltd</Customer_x0020_Name>
    <Surrendered_x002f_Expired_x0020_Date xmlns="859f7ad6-93f6-4205-b62b-a17f28acbbac"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AFC23C10-673B-4A94-A71E-5FEA6A4B882D}"/>
</file>

<file path=customXml/itemProps3.xml><?xml version="1.0" encoding="utf-8"?>
<ds:datastoreItem xmlns:ds="http://schemas.openxmlformats.org/officeDocument/2006/customXml" ds:itemID="{3EB88BFD-E29A-4849-A8E6-116EB74B98EA}">
  <ds:schemaRefs>
    <ds:schemaRef ds:uri="http://schemas.microsoft.com/office/2006/documentManagement/types"/>
    <ds:schemaRef ds:uri="http://schemas.microsoft.com/office/2006/metadata/properties"/>
    <ds:schemaRef ds:uri="http://purl.org/dc/terms/"/>
    <ds:schemaRef ds:uri="http://schemas.openxmlformats.org/package/2006/metadata/core-properties"/>
    <ds:schemaRef ds:uri="http://purl.org/dc/dcmitype/"/>
    <ds:schemaRef ds:uri="http://schemas.microsoft.com/office/infopath/2007/PartnerControls"/>
    <ds:schemaRef ds:uri="9be56660-2c31-41ef-bc00-23e72f632f2a"/>
    <ds:schemaRef ds:uri="http://www.w3.org/XML/1998/namespace"/>
    <ds:schemaRef ds:uri="http://purl.org/dc/elements/1.1/"/>
  </ds:schemaRefs>
</ds:datastoreItem>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F9F83A58-0BED-4B04-ACF4-34B12EB672B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Ethan Banfield</cp:lastModifiedBy>
  <dcterms:created xsi:type="dcterms:W3CDTF">2016-09-26T10:07:59Z</dcterms:created>
  <dcterms:modified xsi:type="dcterms:W3CDTF">2024-02-23T11:16:20Z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49270b5b-8ae3-44e5-aabe-221d7ca2f115</vt:lpwstr>
  </property>
  <property fmtid="{D5CDD505-2E9C-101B-9397-08002B2CF9AE}" pid="4" name="Order">
    <vt:r8>163157200</vt:r8>
  </property>
  <property fmtid="{D5CDD505-2E9C-101B-9397-08002B2CF9AE}" pid="5" name="MediaServiceImageTags">
    <vt:lpwstr/>
  </property>
</Properties>
</file>