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theme/theme1.xml" ContentType="application/vnd.openxmlformats-officedocument.theme+xml"/>
  <Override PartName="/xl/vbaProject.bin" ContentType="application/vnd.ms-office.vbaProject"/>
  <Override PartName="/xl/embeddings/oleObject5.bin" ContentType="application/vnd.openxmlformats-officedocument.oleObject"/>
  <Override PartName="/xl/embeddings/oleObject4.bin" ContentType="application/vnd.openxmlformats-officedocument.oleObject"/>
  <Override PartName="/xl/worksheets/sheet3.xml" ContentType="application/vnd.openxmlformats-officedocument.spreadsheetml.worksheet+xml"/>
  <Override PartName="/xl/worksheets/sheet2.xml" ContentType="application/vnd.openxmlformats-officedocument.spreadsheetml.worksheet+xml"/>
  <Override PartName="/xl/embeddings/oleObject3.bin" ContentType="application/vnd.openxmlformats-officedocument.oleObject"/>
  <Override PartName="/xl/worksheets/sheet1.xml" ContentType="application/vnd.openxmlformats-officedocument.spreadsheetml.worksheet+xml"/>
  <Override PartName="/xl/drawings/drawing3.xml" ContentType="application/vnd.openxmlformats-officedocument.drawing+xml"/>
  <Override PartName="/xl/drawings/drawing2.xml" ContentType="application/vnd.openxmlformats-officedocument.drawing+xml"/>
  <Override PartName="/xl/embeddings/oleObject1.bin" ContentType="application/vnd.openxmlformats-officedocument.oleObject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embeddings/oleObject2.bin" ContentType="application/vnd.openxmlformats-officedocument.oleObject"/>
  <Override PartName="/xl/ctrlProps/ctrlProp3.xml" ContentType="application/vnd.ms-excel.controlproperties+xml"/>
  <Override PartName="/xl/ctrlProps/ctrlProp2.xml" ContentType="application/vnd.ms-excel.control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calcChain.xml" ContentType="application/vnd.openxmlformats-officedocument.spreadsheetml.calcChain+xml"/>
  <Override PartName="/xl/ctrlProps/ctrlProp1.xml" ContentType="application/vnd.ms-excel.controlproperties+xml"/>
  <Override PartName="/customXml/itemProps5.xml" ContentType="application/vnd.openxmlformats-officedocument.customXmlProperties+xml"/>
  <Override PartName="/customXml/itemProps4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126" codeName="{526614CA-9299-8FEA-EDB2-C8A7E91AD4E6}"/>
  <workbookPr codeName="ThisWorkbook"/>
  <mc:AlternateContent xmlns:mc="http://schemas.openxmlformats.org/markup-compatibility/2006">
    <mc:Choice Requires="x15">
      <x15ac:absPath xmlns:x15ac="http://schemas.microsoft.com/office/spreadsheetml/2010/11/ac" url="https://cyfoethnaturiolcymru-my.sharepoint.com/personal/mary_beckett_cyfoethnaturiolcymru_gov_uk/Documents/Desktop/"/>
    </mc:Choice>
  </mc:AlternateContent>
  <xr:revisionPtr revIDLastSave="0" documentId="8_{F740F92C-CE6F-46A5-ABA8-56568044965B}" xr6:coauthVersionLast="31" xr6:coauthVersionMax="31" xr10:uidLastSave="{00000000-0000-0000-0000-000000000000}"/>
  <bookViews>
    <workbookView xWindow="0" yWindow="0" windowWidth="23040" windowHeight="8496" tabRatio="833" xr2:uid="{00000000-000D-0000-FFFF-FFFF00000000}"/>
  </bookViews>
  <sheets>
    <sheet name="19.Radius of inf -Sichardt (UC)" sheetId="20" r:id="rId1"/>
    <sheet name="21.Effective radius" sheetId="22" r:id="rId2"/>
    <sheet name="2.Dupuit_Theim (UC)" sheetId="3" r:id="rId3"/>
  </sheets>
  <definedNames>
    <definedName name="_xlnm.Print_Area" localSheetId="2">'2.Dupuit_Theim (UC)'!$A$1:$L$30</definedName>
  </definedNames>
  <calcPr calcId="179017"/>
</workbook>
</file>

<file path=xl/calcChain.xml><?xml version="1.0" encoding="utf-8"?>
<calcChain xmlns="http://schemas.openxmlformats.org/spreadsheetml/2006/main">
  <c r="F10" i="3" l="1"/>
  <c r="E10" i="3"/>
  <c r="C5" i="3"/>
  <c r="E7" i="20"/>
  <c r="C7" i="20"/>
  <c r="Q16" i="20"/>
  <c r="Q15" i="20"/>
  <c r="Q14" i="20"/>
  <c r="Q19" i="3"/>
  <c r="C10" i="3" s="1"/>
  <c r="Q18" i="3"/>
  <c r="Q17" i="3"/>
  <c r="Q6" i="3" l="1"/>
  <c r="Q7" i="3"/>
  <c r="Q5" i="3"/>
  <c r="C8" i="20" l="1"/>
  <c r="F14" i="20" l="1"/>
  <c r="E14" i="20"/>
  <c r="C14" i="20"/>
  <c r="G8" i="20"/>
  <c r="F8" i="20"/>
  <c r="E8" i="20"/>
  <c r="C22" i="3"/>
  <c r="C24" i="3" s="1"/>
  <c r="F11" i="22"/>
  <c r="E11" i="22"/>
  <c r="C11" i="22"/>
  <c r="C6" i="3" s="1"/>
  <c r="C17" i="3" s="1"/>
  <c r="C18" i="3" s="1"/>
  <c r="C9" i="3" l="1"/>
  <c r="C12" i="3" s="1"/>
  <c r="O13" i="3" s="1"/>
  <c r="F12" i="3"/>
  <c r="Q13" i="3" s="1"/>
  <c r="E12" i="3" l="1"/>
  <c r="P13" i="3" s="1"/>
</calcChain>
</file>

<file path=xl/sharedStrings.xml><?xml version="1.0" encoding="utf-8"?>
<sst xmlns="http://schemas.openxmlformats.org/spreadsheetml/2006/main" count="181" uniqueCount="83">
  <si>
    <t>H</t>
  </si>
  <si>
    <t>m</t>
  </si>
  <si>
    <t>Calculated</t>
  </si>
  <si>
    <r>
      <t>R</t>
    </r>
    <r>
      <rPr>
        <vertAlign val="subscript"/>
        <sz val="10"/>
        <rFont val="Arial"/>
        <family val="2"/>
      </rPr>
      <t>0</t>
    </r>
  </si>
  <si>
    <t>Q</t>
  </si>
  <si>
    <r>
      <t>m</t>
    </r>
    <r>
      <rPr>
        <vertAlign val="superscript"/>
        <sz val="10"/>
        <rFont val="Arial"/>
        <family val="2"/>
      </rPr>
      <t>3</t>
    </r>
    <r>
      <rPr>
        <sz val="10"/>
        <rFont val="Arial"/>
        <family val="2"/>
      </rPr>
      <t>/d</t>
    </r>
  </si>
  <si>
    <t>s</t>
  </si>
  <si>
    <t>r</t>
  </si>
  <si>
    <t>Height of water table at radius r</t>
  </si>
  <si>
    <t>Total discharge from well</t>
  </si>
  <si>
    <t>K</t>
  </si>
  <si>
    <t>m/d</t>
  </si>
  <si>
    <t>Hydraulic conductivity of aquifer</t>
  </si>
  <si>
    <t>Height of water table at radius of influence</t>
  </si>
  <si>
    <t>Hydraulic conductivity</t>
  </si>
  <si>
    <r>
      <t>h</t>
    </r>
    <r>
      <rPr>
        <vertAlign val="subscript"/>
        <sz val="10"/>
        <rFont val="Arial"/>
        <family val="2"/>
      </rPr>
      <t>w</t>
    </r>
  </si>
  <si>
    <r>
      <t>r</t>
    </r>
    <r>
      <rPr>
        <vertAlign val="subscript"/>
        <sz val="10"/>
        <rFont val="Arial"/>
        <family val="2"/>
      </rPr>
      <t>w</t>
    </r>
  </si>
  <si>
    <t>m/s</t>
  </si>
  <si>
    <t>The following assumptions apply to this equation</t>
  </si>
  <si>
    <t>- flat initial water table</t>
  </si>
  <si>
    <t>- the aquifer has infinite areal extent</t>
  </si>
  <si>
    <t>- the aquifer is homogeneous, isotropic and of uniform thickness</t>
  </si>
  <si>
    <t>- the aquifer is pumped at a constant discharge rate</t>
  </si>
  <si>
    <t>(from Kruseman &amp; de Ridder, 1994)</t>
  </si>
  <si>
    <t>Distance from centre of well at r</t>
  </si>
  <si>
    <t>h</t>
  </si>
  <si>
    <t>- the flow to the well is in a steady state</t>
  </si>
  <si>
    <t>- the aquifer is unconfined</t>
  </si>
  <si>
    <t xml:space="preserve">- the pumping well is fully penetrating, therefore receiving water </t>
  </si>
  <si>
    <t xml:space="preserve">  from the entire saturated thickness of the aquifer</t>
  </si>
  <si>
    <t>min</t>
  </si>
  <si>
    <t>expected</t>
  </si>
  <si>
    <t>max</t>
  </si>
  <si>
    <t>Essential input</t>
  </si>
  <si>
    <t>Optional input</t>
  </si>
  <si>
    <t>Steady state flow to a well in an unconfined aquifer</t>
  </si>
  <si>
    <t>b</t>
  </si>
  <si>
    <t>Data sources (to complete an audit trail)</t>
  </si>
  <si>
    <t>Radius of influence</t>
  </si>
  <si>
    <t xml:space="preserve">Effective radius  </t>
  </si>
  <si>
    <t>Used to convert a rectangular pit to a circular one</t>
  </si>
  <si>
    <t>Width of excavation</t>
  </si>
  <si>
    <t>a</t>
  </si>
  <si>
    <t>Length of excavation</t>
  </si>
  <si>
    <t>Effective circular radius</t>
  </si>
  <si>
    <r>
      <t>r</t>
    </r>
    <r>
      <rPr>
        <vertAlign val="subscript"/>
        <sz val="10"/>
        <rFont val="Arial"/>
        <family val="2"/>
      </rPr>
      <t>e</t>
    </r>
  </si>
  <si>
    <t xml:space="preserve">Radius of influence (Sichardt)  </t>
  </si>
  <si>
    <t>Empirical equation based on drawdown and permeability</t>
  </si>
  <si>
    <t>Drawdown in well</t>
  </si>
  <si>
    <t>Factor</t>
  </si>
  <si>
    <t>C</t>
  </si>
  <si>
    <t>3000 for radial flow</t>
  </si>
  <si>
    <t xml:space="preserve">1500-2000 for line flow to </t>
  </si>
  <si>
    <t>trenches or wellpoints</t>
  </si>
  <si>
    <t>Radius of well</t>
  </si>
  <si>
    <t>- horizontal flow</t>
  </si>
  <si>
    <t>- closely spaced wells</t>
  </si>
  <si>
    <t>(Figure adapted from Mansur &amp; Kaufman, 1962)</t>
  </si>
  <si>
    <t>(aka Dupuit Forcheimer equation)</t>
  </si>
  <si>
    <t xml:space="preserve">Dupuit-Theim (Unconfined) </t>
  </si>
  <si>
    <t>To find the radius of a specific drawdown</t>
  </si>
  <si>
    <t>To find the drawdown at a given radius</t>
  </si>
  <si>
    <t>Radius of interest</t>
  </si>
  <si>
    <t>Discharge</t>
  </si>
  <si>
    <t>WT height at radius of interest</t>
  </si>
  <si>
    <t>Height of water table at radius of well</t>
  </si>
  <si>
    <r>
      <t>s</t>
    </r>
    <r>
      <rPr>
        <vertAlign val="subscript"/>
        <sz val="10"/>
        <rFont val="Arial"/>
        <family val="2"/>
      </rPr>
      <t>r</t>
    </r>
  </si>
  <si>
    <t>Drawdown at radius r</t>
  </si>
  <si>
    <t>Required drawdown</t>
  </si>
  <si>
    <t>Radius of required drawdown</t>
  </si>
  <si>
    <t>l/s</t>
  </si>
  <si>
    <t>geomean</t>
  </si>
  <si>
    <t>Total dewatering rate</t>
  </si>
  <si>
    <t>K values for Alluvium (sand and gravel) from PSD data</t>
  </si>
  <si>
    <t>K values for Alluvium (clay / silt) from water strike data</t>
  </si>
  <si>
    <t>max increased to 5 x 10-5 to match values for silt in Freeze and Cherry</t>
  </si>
  <si>
    <t>maximum depth of excavation</t>
  </si>
  <si>
    <t>k values from water strike data</t>
  </si>
  <si>
    <t>assume radial flow</t>
  </si>
  <si>
    <t>maximum depth of excvation</t>
  </si>
  <si>
    <t>assume ground level</t>
  </si>
  <si>
    <t>Sichardt calc</t>
  </si>
  <si>
    <t>K values from water strike data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</si>
</sst>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#\ \)"/>
  </numFmts>
  <fonts count="11" x14ac:knownFonts="1">
    <font>
      <sz val="10"/>
      <name val="Arial"/>
    </font>
    <font>
      <sz val="10"/>
      <name val="Arial"/>
      <family val="2"/>
    </font>
    <font>
      <i/>
      <sz val="10"/>
      <name val="Arial"/>
      <family val="2"/>
    </font>
    <font>
      <vertAlign val="subscript"/>
      <sz val="10"/>
      <name val="Arial"/>
      <family val="2"/>
    </font>
    <font>
      <vertAlign val="superscript"/>
      <sz val="10"/>
      <name val="Arial"/>
      <family val="2"/>
    </font>
    <font>
      <b/>
      <sz val="10"/>
      <name val="Arial"/>
      <family val="2"/>
    </font>
    <font>
      <sz val="10"/>
      <color indexed="10"/>
      <name val="Arial"/>
      <family val="2"/>
    </font>
    <font>
      <sz val="8"/>
      <name val="Arial"/>
      <family val="2"/>
    </font>
    <font>
      <sz val="10"/>
      <color indexed="48"/>
      <name val="Arial"/>
      <family val="2"/>
    </font>
    <font>
      <sz val="8"/>
      <name val="Arial"/>
      <family val="2"/>
    </font>
    <font>
      <sz val="10"/>
      <color rgb="FF00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ashDotDot">
        <color indexed="64"/>
      </left>
      <right style="dashDotDot">
        <color indexed="64"/>
      </right>
      <top style="dashDotDot">
        <color indexed="64"/>
      </top>
      <bottom style="dashDotDot">
        <color indexed="64"/>
      </bottom>
      <diagonal/>
    </border>
    <border>
      <left/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55"/>
      </left>
      <right/>
      <top style="thin">
        <color indexed="55"/>
      </top>
      <bottom style="thin">
        <color indexed="55"/>
      </bottom>
      <diagonal/>
    </border>
    <border>
      <left/>
      <right/>
      <top style="thin">
        <color indexed="55"/>
      </top>
      <bottom style="thin">
        <color indexed="55"/>
      </bottom>
      <diagonal/>
    </border>
    <border>
      <left style="thin">
        <color indexed="22"/>
      </left>
      <right style="thin">
        <color indexed="22"/>
      </right>
      <top/>
      <bottom style="thin">
        <color indexed="22"/>
      </bottom>
      <diagonal/>
    </border>
    <border>
      <left style="thin">
        <color indexed="22"/>
      </left>
      <right style="thin">
        <color indexed="22"/>
      </right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83">
    <xf numFmtId="0" fontId="0" fillId="0" borderId="0" xfId="0"/>
    <xf numFmtId="0" fontId="5" fillId="0" borderId="0" xfId="0" applyFont="1" applyProtection="1">
      <protection locked="0"/>
    </xf>
    <xf numFmtId="0" fontId="0" fillId="0" borderId="0" xfId="0" applyProtection="1">
      <protection locked="0"/>
    </xf>
    <xf numFmtId="0" fontId="0" fillId="0" borderId="0" xfId="0" applyFill="1" applyBorder="1" applyProtection="1">
      <protection locked="0"/>
    </xf>
    <xf numFmtId="0" fontId="1" fillId="0" borderId="0" xfId="0" applyFont="1" applyProtection="1">
      <protection locked="0"/>
    </xf>
    <xf numFmtId="0" fontId="2" fillId="0" borderId="0" xfId="0" applyFont="1" applyFill="1" applyBorder="1" applyAlignment="1" applyProtection="1">
      <alignment vertical="center" wrapText="1"/>
      <protection locked="0"/>
    </xf>
    <xf numFmtId="0" fontId="1" fillId="0" borderId="0" xfId="0" applyFont="1" applyFill="1" applyBorder="1" applyAlignment="1" applyProtection="1">
      <alignment wrapText="1"/>
      <protection locked="0"/>
    </xf>
    <xf numFmtId="0" fontId="0" fillId="0" borderId="0" xfId="0" applyFill="1" applyBorder="1" applyAlignment="1" applyProtection="1">
      <alignment wrapText="1"/>
      <protection locked="0"/>
    </xf>
    <xf numFmtId="0" fontId="0" fillId="0" borderId="0" xfId="0" applyFill="1" applyProtection="1">
      <protection locked="0"/>
    </xf>
    <xf numFmtId="0" fontId="5" fillId="0" borderId="0" xfId="0" applyFont="1"/>
    <xf numFmtId="0" fontId="0" fillId="0" borderId="1" xfId="0" applyBorder="1" applyProtection="1">
      <protection locked="0"/>
    </xf>
    <xf numFmtId="0" fontId="1" fillId="0" borderId="0" xfId="0" applyFont="1"/>
    <xf numFmtId="0" fontId="0" fillId="0" borderId="0" xfId="0" quotePrefix="1" applyProtection="1">
      <protection locked="0"/>
    </xf>
    <xf numFmtId="0" fontId="1" fillId="0" borderId="0" xfId="0" applyFont="1" applyFill="1" applyBorder="1" applyProtection="1">
      <protection locked="0"/>
    </xf>
    <xf numFmtId="0" fontId="1" fillId="0" borderId="0" xfId="0" quotePrefix="1" applyFont="1" applyProtection="1">
      <protection locked="0"/>
    </xf>
    <xf numFmtId="0" fontId="0" fillId="3" borderId="2" xfId="0" applyFill="1" applyBorder="1" applyProtection="1">
      <protection locked="0"/>
    </xf>
    <xf numFmtId="0" fontId="0" fillId="4" borderId="2" xfId="0" applyFill="1" applyBorder="1" applyProtection="1"/>
    <xf numFmtId="1" fontId="0" fillId="4" borderId="3" xfId="0" applyNumberFormat="1" applyFill="1" applyBorder="1" applyProtection="1"/>
    <xf numFmtId="164" fontId="0" fillId="4" borderId="3" xfId="0" applyNumberFormat="1" applyFill="1" applyBorder="1" applyProtection="1"/>
    <xf numFmtId="0" fontId="0" fillId="4" borderId="2" xfId="0" applyFill="1" applyBorder="1" applyProtection="1">
      <protection locked="0"/>
    </xf>
    <xf numFmtId="0" fontId="0" fillId="5" borderId="4" xfId="0" applyFill="1" applyBorder="1" applyProtection="1">
      <protection locked="0"/>
    </xf>
    <xf numFmtId="0" fontId="0" fillId="0" borderId="1" xfId="0" applyBorder="1"/>
    <xf numFmtId="1" fontId="0" fillId="4" borderId="6" xfId="0" applyNumberFormat="1" applyFill="1" applyBorder="1" applyProtection="1"/>
    <xf numFmtId="1" fontId="0" fillId="0" borderId="0" xfId="0" applyNumberFormat="1" applyFill="1" applyBorder="1" applyProtection="1">
      <protection locked="0"/>
    </xf>
    <xf numFmtId="0" fontId="1" fillId="3" borderId="2" xfId="0" applyFont="1" applyFill="1" applyBorder="1" applyProtection="1">
      <protection locked="0"/>
    </xf>
    <xf numFmtId="0" fontId="0" fillId="0" borderId="0" xfId="0" applyBorder="1" applyProtection="1">
      <protection locked="0"/>
    </xf>
    <xf numFmtId="0" fontId="5" fillId="2" borderId="0" xfId="0" applyFont="1" applyFill="1" applyBorder="1" applyAlignment="1" applyProtection="1">
      <alignment vertical="center" wrapText="1"/>
      <protection locked="0"/>
    </xf>
    <xf numFmtId="0" fontId="0" fillId="0" borderId="0" xfId="0" applyAlignment="1" applyProtection="1">
      <alignment horizontal="right"/>
      <protection locked="0"/>
    </xf>
    <xf numFmtId="0" fontId="0" fillId="0" borderId="0" xfId="0" applyFill="1" applyBorder="1"/>
    <xf numFmtId="164" fontId="0" fillId="0" borderId="0" xfId="0" applyNumberFormat="1" applyProtection="1">
      <protection locked="0"/>
    </xf>
    <xf numFmtId="164" fontId="0" fillId="0" borderId="0" xfId="0" applyNumberFormat="1" applyFill="1" applyBorder="1" applyProtection="1"/>
    <xf numFmtId="0" fontId="1" fillId="0" borderId="0" xfId="0" applyFont="1" applyBorder="1"/>
    <xf numFmtId="11" fontId="0" fillId="5" borderId="4" xfId="0" applyNumberFormat="1" applyFill="1" applyBorder="1" applyProtection="1">
      <protection locked="0"/>
    </xf>
    <xf numFmtId="11" fontId="0" fillId="5" borderId="5" xfId="0" applyNumberFormat="1" applyFill="1" applyBorder="1" applyProtection="1">
      <protection locked="0"/>
    </xf>
    <xf numFmtId="0" fontId="0" fillId="0" borderId="0" xfId="0" applyNumberFormat="1" applyProtection="1">
      <protection locked="0"/>
    </xf>
    <xf numFmtId="0" fontId="0" fillId="0" borderId="7" xfId="0" applyBorder="1" applyProtection="1">
      <protection locked="0"/>
    </xf>
    <xf numFmtId="0" fontId="0" fillId="0" borderId="8" xfId="0" applyBorder="1" applyProtection="1">
      <protection locked="0"/>
    </xf>
    <xf numFmtId="0" fontId="5" fillId="0" borderId="0" xfId="0" applyFont="1" applyAlignment="1"/>
    <xf numFmtId="0" fontId="0" fillId="0" borderId="0" xfId="0" applyAlignment="1"/>
    <xf numFmtId="0" fontId="0" fillId="0" borderId="0" xfId="0" applyFill="1" applyBorder="1" applyAlignment="1" applyProtection="1">
      <protection locked="0"/>
    </xf>
    <xf numFmtId="0" fontId="1" fillId="0" borderId="0" xfId="0" applyFont="1" applyFill="1" applyBorder="1" applyAlignment="1" applyProtection="1">
      <alignment horizontal="left"/>
      <protection locked="0"/>
    </xf>
    <xf numFmtId="0" fontId="0" fillId="0" borderId="0" xfId="0" applyFill="1" applyBorder="1" applyAlignment="1" applyProtection="1">
      <alignment vertical="center" wrapText="1"/>
      <protection locked="0"/>
    </xf>
    <xf numFmtId="164" fontId="0" fillId="4" borderId="6" xfId="0" applyNumberFormat="1" applyFill="1" applyBorder="1" applyProtection="1"/>
    <xf numFmtId="0" fontId="5" fillId="2" borderId="0" xfId="0" applyFont="1" applyFill="1" applyBorder="1" applyAlignment="1" applyProtection="1">
      <alignment wrapText="1"/>
      <protection locked="0"/>
    </xf>
    <xf numFmtId="0" fontId="0" fillId="0" borderId="10" xfId="0" applyBorder="1" applyAlignment="1" applyProtection="1">
      <alignment vertical="center"/>
      <protection locked="0"/>
    </xf>
    <xf numFmtId="0" fontId="0" fillId="0" borderId="10" xfId="0" applyBorder="1" applyAlignment="1" applyProtection="1">
      <alignment wrapText="1"/>
      <protection locked="0"/>
    </xf>
    <xf numFmtId="0" fontId="5" fillId="0" borderId="11" xfId="0" applyFont="1" applyBorder="1" applyAlignment="1" applyProtection="1">
      <alignment wrapText="1"/>
      <protection locked="0"/>
    </xf>
    <xf numFmtId="0" fontId="0" fillId="0" borderId="0" xfId="0" applyBorder="1" applyAlignment="1" applyProtection="1">
      <alignment vertical="center"/>
      <protection locked="0"/>
    </xf>
    <xf numFmtId="0" fontId="0" fillId="0" borderId="0" xfId="0" applyBorder="1" applyAlignment="1" applyProtection="1">
      <alignment wrapText="1"/>
      <protection locked="0"/>
    </xf>
    <xf numFmtId="0" fontId="5" fillId="0" borderId="0" xfId="0" applyFont="1" applyBorder="1" applyAlignment="1" applyProtection="1">
      <alignment wrapText="1"/>
      <protection locked="0"/>
    </xf>
    <xf numFmtId="164" fontId="0" fillId="3" borderId="2" xfId="0" applyNumberFormat="1" applyFill="1" applyBorder="1" applyProtection="1">
      <protection locked="0"/>
    </xf>
    <xf numFmtId="164" fontId="0" fillId="5" borderId="4" xfId="0" applyNumberFormat="1" applyFill="1" applyBorder="1" applyProtection="1">
      <protection locked="0"/>
    </xf>
    <xf numFmtId="164" fontId="0" fillId="5" borderId="5" xfId="0" applyNumberFormat="1" applyFill="1" applyBorder="1" applyProtection="1">
      <protection locked="0"/>
    </xf>
    <xf numFmtId="164" fontId="0" fillId="0" borderId="0" xfId="0" applyNumberFormat="1" applyFill="1" applyBorder="1" applyProtection="1">
      <protection locked="0"/>
    </xf>
    <xf numFmtId="0" fontId="0" fillId="2" borderId="0" xfId="0" applyFill="1" applyBorder="1" applyAlignment="1" applyProtection="1">
      <alignment vertical="center" wrapText="1"/>
      <protection locked="0"/>
    </xf>
    <xf numFmtId="1" fontId="0" fillId="5" borderId="4" xfId="0" applyNumberFormat="1" applyFill="1" applyBorder="1" applyProtection="1">
      <protection locked="0"/>
    </xf>
    <xf numFmtId="1" fontId="0" fillId="5" borderId="5" xfId="0" applyNumberFormat="1" applyFill="1" applyBorder="1" applyProtection="1">
      <protection locked="0"/>
    </xf>
    <xf numFmtId="165" fontId="0" fillId="0" borderId="0" xfId="0" applyNumberFormat="1" applyProtection="1">
      <protection locked="0"/>
    </xf>
    <xf numFmtId="1" fontId="0" fillId="0" borderId="0" xfId="0" applyNumberFormat="1" applyProtection="1">
      <protection locked="0"/>
    </xf>
    <xf numFmtId="0" fontId="0" fillId="0" borderId="0" xfId="0" applyFill="1"/>
    <xf numFmtId="0" fontId="5" fillId="0" borderId="1" xfId="0" applyFont="1" applyBorder="1" applyProtection="1">
      <protection locked="0"/>
    </xf>
    <xf numFmtId="0" fontId="7" fillId="0" borderId="0" xfId="0" applyFont="1" applyAlignment="1">
      <alignment horizontal="right"/>
    </xf>
    <xf numFmtId="0" fontId="8" fillId="0" borderId="0" xfId="0" applyFont="1" applyProtection="1">
      <protection locked="0"/>
    </xf>
    <xf numFmtId="0" fontId="6" fillId="0" borderId="0" xfId="0" applyFont="1" applyProtection="1">
      <protection locked="0"/>
    </xf>
    <xf numFmtId="0" fontId="0" fillId="0" borderId="12" xfId="0" applyBorder="1" applyProtection="1">
      <protection locked="0"/>
    </xf>
    <xf numFmtId="0" fontId="0" fillId="0" borderId="0" xfId="0" applyFill="1" applyAlignment="1"/>
    <xf numFmtId="0" fontId="5" fillId="0" borderId="1" xfId="0" applyFont="1" applyBorder="1" applyAlignment="1"/>
    <xf numFmtId="0" fontId="0" fillId="0" borderId="1" xfId="0" applyBorder="1" applyAlignment="1"/>
    <xf numFmtId="0" fontId="0" fillId="0" borderId="1" xfId="0" applyFill="1" applyBorder="1" applyAlignment="1" applyProtection="1">
      <protection locked="0"/>
    </xf>
    <xf numFmtId="0" fontId="0" fillId="0" borderId="1" xfId="0" applyFill="1" applyBorder="1" applyAlignment="1"/>
    <xf numFmtId="0" fontId="0" fillId="0" borderId="0" xfId="0" applyFill="1" applyBorder="1" applyAlignment="1"/>
    <xf numFmtId="1" fontId="0" fillId="0" borderId="0" xfId="0" applyNumberFormat="1" applyFill="1" applyBorder="1" applyProtection="1"/>
    <xf numFmtId="11" fontId="0" fillId="3" borderId="2" xfId="0" applyNumberFormat="1" applyFill="1" applyBorder="1" applyProtection="1">
      <protection locked="0"/>
    </xf>
    <xf numFmtId="11" fontId="0" fillId="0" borderId="0" xfId="0" applyNumberFormat="1" applyProtection="1">
      <protection locked="0"/>
    </xf>
    <xf numFmtId="0" fontId="0" fillId="0" borderId="0" xfId="0" applyAlignment="1" applyProtection="1">
      <alignment horizontal="center"/>
      <protection locked="0"/>
    </xf>
    <xf numFmtId="2" fontId="1" fillId="0" borderId="8" xfId="0" applyNumberFormat="1" applyFont="1" applyBorder="1" applyAlignment="1" applyProtection="1">
      <alignment horizontal="left"/>
      <protection locked="0"/>
    </xf>
    <xf numFmtId="2" fontId="1" fillId="0" borderId="9" xfId="0" applyNumberFormat="1" applyFont="1" applyBorder="1" applyAlignment="1" applyProtection="1">
      <alignment horizontal="left"/>
      <protection locked="0"/>
    </xf>
    <xf numFmtId="2" fontId="1" fillId="0" borderId="7" xfId="0" applyNumberFormat="1" applyFont="1" applyBorder="1" applyAlignment="1" applyProtection="1">
      <alignment horizontal="left"/>
      <protection locked="0"/>
    </xf>
    <xf numFmtId="0" fontId="1" fillId="0" borderId="8" xfId="0" applyFont="1" applyBorder="1" applyAlignment="1" applyProtection="1">
      <alignment horizontal="left"/>
      <protection locked="0"/>
    </xf>
    <xf numFmtId="0" fontId="1" fillId="0" borderId="9" xfId="0" applyFont="1" applyBorder="1" applyAlignment="1" applyProtection="1">
      <alignment horizontal="left"/>
      <protection locked="0"/>
    </xf>
    <xf numFmtId="0" fontId="1" fillId="0" borderId="7" xfId="0" applyFont="1" applyBorder="1" applyAlignment="1" applyProtection="1">
      <alignment horizontal="left"/>
      <protection locked="0"/>
    </xf>
    <xf numFmtId="0" fontId="0" fillId="0" borderId="9" xfId="0" applyBorder="1" applyAlignment="1"/>
    <xf numFmtId="0" fontId="0" fillId="0" borderId="7" xfId="0" applyBorder="1" applyAlignme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13" Type="http://schemas.openxmlformats.org/officeDocument/2006/relationships/customXml" Target="../customXml/item5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12" Type="http://schemas.openxmlformats.org/officeDocument/2006/relationships/customXml" Target="../customXml/item4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microsoft.com/office/2006/relationships/vbaProject" Target="vbaProject.bin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3.vml.rels><?xml version="1.0" encoding="UTF-8" standalone="yes"?>
<Relationships xmlns="http://schemas.openxmlformats.org/package/2006/relationships"><Relationship Id="rId3" Type="http://schemas.openxmlformats.org/officeDocument/2006/relationships/image" Target="../media/image6.emf"/><Relationship Id="rId2" Type="http://schemas.openxmlformats.org/officeDocument/2006/relationships/image" Target="../media/image5.emf"/><Relationship Id="rId1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30480</xdr:colOff>
          <xdr:row>0</xdr:row>
          <xdr:rowOff>22860</xdr:rowOff>
        </xdr:from>
        <xdr:to>
          <xdr:col>7</xdr:col>
          <xdr:colOff>297180</xdr:colOff>
          <xdr:row>2</xdr:row>
          <xdr:rowOff>60960</xdr:rowOff>
        </xdr:to>
        <xdr:sp macro="" textlink="">
          <xdr:nvSpPr>
            <xdr:cNvPr id="17409" name="Object 1" hidden="1">
              <a:extLst>
                <a:ext uri="{63B3BB69-23CF-44E3-9099-C40C66FF867C}">
                  <a14:compatExt spid="_x0000_s17409"/>
                </a:ext>
                <a:ext uri="{FF2B5EF4-FFF2-40B4-BE49-F238E27FC236}">
                  <a16:creationId xmlns:a16="http://schemas.microsoft.com/office/drawing/2014/main" id="{00000000-0008-0000-0000-000001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45720</xdr:colOff>
          <xdr:row>0</xdr:row>
          <xdr:rowOff>0</xdr:rowOff>
        </xdr:from>
        <xdr:to>
          <xdr:col>10</xdr:col>
          <xdr:colOff>518160</xdr:colOff>
          <xdr:row>1</xdr:row>
          <xdr:rowOff>114300</xdr:rowOff>
        </xdr:to>
        <xdr:sp macro="" textlink="">
          <xdr:nvSpPr>
            <xdr:cNvPr id="17410" name="Button 2" hidden="1">
              <a:extLst>
                <a:ext uri="{63B3BB69-23CF-44E3-9099-C40C66FF867C}">
                  <a14:compatExt spid="_x0000_s17410"/>
                </a:ext>
                <a:ext uri="{FF2B5EF4-FFF2-40B4-BE49-F238E27FC236}">
                  <a16:creationId xmlns:a16="http://schemas.microsoft.com/office/drawing/2014/main" id="{00000000-0008-0000-0000-000002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en-GB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Index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85725</xdr:colOff>
      <xdr:row>6</xdr:row>
      <xdr:rowOff>114300</xdr:rowOff>
    </xdr:from>
    <xdr:to>
      <xdr:col>9</xdr:col>
      <xdr:colOff>828675</xdr:colOff>
      <xdr:row>15</xdr:row>
      <xdr:rowOff>133350</xdr:rowOff>
    </xdr:to>
    <xdr:grpSp>
      <xdr:nvGrpSpPr>
        <xdr:cNvPr id="16401" name="Group 17">
          <a:extLst>
            <a:ext uri="{FF2B5EF4-FFF2-40B4-BE49-F238E27FC236}">
              <a16:creationId xmlns:a16="http://schemas.microsoft.com/office/drawing/2014/main" id="{00000000-0008-0000-0100-000011400000}"/>
            </a:ext>
          </a:extLst>
        </xdr:cNvPr>
        <xdr:cNvGrpSpPr>
          <a:grpSpLocks/>
        </xdr:cNvGrpSpPr>
      </xdr:nvGrpSpPr>
      <xdr:grpSpPr bwMode="auto">
        <a:xfrm>
          <a:off x="5358493" y="1094014"/>
          <a:ext cx="2130878" cy="1543050"/>
          <a:chOff x="727" y="135"/>
          <a:chExt cx="288" cy="207"/>
        </a:xfrm>
      </xdr:grpSpPr>
      <xdr:sp macro="" textlink="">
        <xdr:nvSpPr>
          <xdr:cNvPr id="16387" name="Rectangle 3">
            <a:extLst>
              <a:ext uri="{FF2B5EF4-FFF2-40B4-BE49-F238E27FC236}">
                <a16:creationId xmlns:a16="http://schemas.microsoft.com/office/drawing/2014/main" id="{00000000-0008-0000-0100-000003400000}"/>
              </a:ext>
            </a:extLst>
          </xdr:cNvPr>
          <xdr:cNvSpPr>
            <a:spLocks noChangeArrowheads="1"/>
          </xdr:cNvSpPr>
        </xdr:nvSpPr>
        <xdr:spPr bwMode="auto">
          <a:xfrm>
            <a:off x="727" y="135"/>
            <a:ext cx="288" cy="207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  <xdr:grpSp>
        <xdr:nvGrpSpPr>
          <xdr:cNvPr id="16400" name="Group 16">
            <a:extLst>
              <a:ext uri="{FF2B5EF4-FFF2-40B4-BE49-F238E27FC236}">
                <a16:creationId xmlns:a16="http://schemas.microsoft.com/office/drawing/2014/main" id="{00000000-0008-0000-0100-000010400000}"/>
              </a:ext>
            </a:extLst>
          </xdr:cNvPr>
          <xdr:cNvGrpSpPr>
            <a:grpSpLocks/>
          </xdr:cNvGrpSpPr>
        </xdr:nvGrpSpPr>
        <xdr:grpSpPr bwMode="auto">
          <a:xfrm>
            <a:off x="758" y="137"/>
            <a:ext cx="251" cy="205"/>
            <a:chOff x="758" y="137"/>
            <a:chExt cx="251" cy="205"/>
          </a:xfrm>
        </xdr:grpSpPr>
        <xdr:pic>
          <xdr:nvPicPr>
            <xdr:cNvPr id="16398" name="Picture 14" descr="Figure 16b">
              <a:extLst>
                <a:ext uri="{FF2B5EF4-FFF2-40B4-BE49-F238E27FC236}">
                  <a16:creationId xmlns:a16="http://schemas.microsoft.com/office/drawing/2014/main" id="{00000000-0008-0000-0100-00000E400000}"/>
                </a:ext>
              </a:extLst>
            </xdr:cNvPr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1" cstate="print"/>
            <a:srcRect l="6808" t="8424" b="16484"/>
            <a:stretch>
              <a:fillRect/>
            </a:stretch>
          </xdr:blipFill>
          <xdr:spPr bwMode="auto">
            <a:xfrm>
              <a:off x="758" y="137"/>
              <a:ext cx="235" cy="205"/>
            </a:xfrm>
            <a:prstGeom prst="rect">
              <a:avLst/>
            </a:prstGeom>
            <a:noFill/>
          </xdr:spPr>
        </xdr:pic>
        <xdr:sp macro="" textlink="">
          <xdr:nvSpPr>
            <xdr:cNvPr id="16399" name="Rectangle 15">
              <a:extLst>
                <a:ext uri="{FF2B5EF4-FFF2-40B4-BE49-F238E27FC236}">
                  <a16:creationId xmlns:a16="http://schemas.microsoft.com/office/drawing/2014/main" id="{00000000-0008-0000-0100-00000F400000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938" y="139"/>
              <a:ext cx="71" cy="38"/>
            </a:xfrm>
            <a:prstGeom prst="rect">
              <a:avLst/>
            </a:prstGeom>
            <a:solidFill>
              <a:srgbClr val="FFFFFF"/>
            </a:solidFill>
            <a:ln w="9525">
              <a:noFill/>
              <a:miter lim="800000"/>
              <a:headEnd/>
              <a:tailEnd/>
            </a:ln>
          </xdr:spPr>
        </xdr:sp>
      </xdr:grpSp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45720</xdr:colOff>
          <xdr:row>0</xdr:row>
          <xdr:rowOff>7620</xdr:rowOff>
        </xdr:from>
        <xdr:to>
          <xdr:col>5</xdr:col>
          <xdr:colOff>182880</xdr:colOff>
          <xdr:row>2</xdr:row>
          <xdr:rowOff>152400</xdr:rowOff>
        </xdr:to>
        <xdr:sp macro="" textlink="">
          <xdr:nvSpPr>
            <xdr:cNvPr id="16385" name="Object 1" hidden="1">
              <a:extLst>
                <a:ext uri="{63B3BB69-23CF-44E3-9099-C40C66FF867C}">
                  <a14:compatExt spid="_x0000_s16385"/>
                </a:ext>
                <a:ext uri="{FF2B5EF4-FFF2-40B4-BE49-F238E27FC236}">
                  <a16:creationId xmlns:a16="http://schemas.microsoft.com/office/drawing/2014/main" id="{00000000-0008-0000-0100-000001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22860</xdr:colOff>
          <xdr:row>0</xdr:row>
          <xdr:rowOff>0</xdr:rowOff>
        </xdr:from>
        <xdr:to>
          <xdr:col>8</xdr:col>
          <xdr:colOff>487680</xdr:colOff>
          <xdr:row>1</xdr:row>
          <xdr:rowOff>114300</xdr:rowOff>
        </xdr:to>
        <xdr:sp macro="" textlink="">
          <xdr:nvSpPr>
            <xdr:cNvPr id="16402" name="Button 18" hidden="1">
              <a:extLst>
                <a:ext uri="{63B3BB69-23CF-44E3-9099-C40C66FF867C}">
                  <a14:compatExt spid="_x0000_s16402"/>
                </a:ext>
                <a:ext uri="{FF2B5EF4-FFF2-40B4-BE49-F238E27FC236}">
                  <a16:creationId xmlns:a16="http://schemas.microsoft.com/office/drawing/2014/main" id="{00000000-0008-0000-0100-000012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en-GB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Index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5</xdr:row>
      <xdr:rowOff>19050</xdr:rowOff>
    </xdr:from>
    <xdr:to>
      <xdr:col>11</xdr:col>
      <xdr:colOff>838200</xdr:colOff>
      <xdr:row>15</xdr:row>
      <xdr:rowOff>38100</xdr:rowOff>
    </xdr:to>
    <xdr:grpSp>
      <xdr:nvGrpSpPr>
        <xdr:cNvPr id="1033" name="Group 9">
          <a:extLst>
            <a:ext uri="{FF2B5EF4-FFF2-40B4-BE49-F238E27FC236}">
              <a16:creationId xmlns:a16="http://schemas.microsoft.com/office/drawing/2014/main" id="{00000000-0008-0000-0200-000009040000}"/>
            </a:ext>
          </a:extLst>
        </xdr:cNvPr>
        <xdr:cNvGrpSpPr>
          <a:grpSpLocks/>
        </xdr:cNvGrpSpPr>
      </xdr:nvGrpSpPr>
      <xdr:grpSpPr bwMode="auto">
        <a:xfrm>
          <a:off x="5173980" y="857250"/>
          <a:ext cx="3436620" cy="1764030"/>
          <a:chOff x="706" y="113"/>
          <a:chExt cx="464" cy="228"/>
        </a:xfrm>
      </xdr:grpSpPr>
      <xdr:sp macro="" textlink="">
        <xdr:nvSpPr>
          <xdr:cNvPr id="1030" name="Rectangle 6">
            <a:extLst>
              <a:ext uri="{FF2B5EF4-FFF2-40B4-BE49-F238E27FC236}">
                <a16:creationId xmlns:a16="http://schemas.microsoft.com/office/drawing/2014/main" id="{00000000-0008-0000-0200-000006040000}"/>
              </a:ext>
            </a:extLst>
          </xdr:cNvPr>
          <xdr:cNvSpPr>
            <a:spLocks noChangeArrowheads="1"/>
          </xdr:cNvSpPr>
        </xdr:nvSpPr>
        <xdr:spPr bwMode="auto">
          <a:xfrm>
            <a:off x="706" y="113"/>
            <a:ext cx="464" cy="228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  <xdr:pic>
        <xdr:nvPicPr>
          <xdr:cNvPr id="1031" name="Picture 7" descr="Figure 2">
            <a:extLst>
              <a:ext uri="{FF2B5EF4-FFF2-40B4-BE49-F238E27FC236}">
                <a16:creationId xmlns:a16="http://schemas.microsoft.com/office/drawing/2014/main" id="{00000000-0008-0000-0200-00000704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/>
          <a:srcRect l="5693" t="6363" r="4359" b="4546"/>
          <a:stretch>
            <a:fillRect/>
          </a:stretch>
        </xdr:blipFill>
        <xdr:spPr bwMode="auto">
          <a:xfrm>
            <a:off x="735" y="117"/>
            <a:ext cx="398" cy="221"/>
          </a:xfrm>
          <a:prstGeom prst="rect">
            <a:avLst/>
          </a:prstGeom>
          <a:noFill/>
        </xdr:spPr>
      </xdr:pic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30480</xdr:colOff>
          <xdr:row>0</xdr:row>
          <xdr:rowOff>0</xdr:rowOff>
        </xdr:from>
        <xdr:to>
          <xdr:col>9</xdr:col>
          <xdr:colOff>45720</xdr:colOff>
          <xdr:row>4</xdr:row>
          <xdr:rowOff>22860</xdr:rowOff>
        </xdr:to>
        <xdr:sp macro="" textlink="">
          <xdr:nvSpPr>
            <xdr:cNvPr id="1027" name="Object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2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60960</xdr:colOff>
          <xdr:row>0</xdr:row>
          <xdr:rowOff>0</xdr:rowOff>
        </xdr:from>
        <xdr:to>
          <xdr:col>10</xdr:col>
          <xdr:colOff>518160</xdr:colOff>
          <xdr:row>1</xdr:row>
          <xdr:rowOff>114300</xdr:rowOff>
        </xdr:to>
        <xdr:sp macro="" textlink="">
          <xdr:nvSpPr>
            <xdr:cNvPr id="1034" name="Button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2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en-GB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Index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22860</xdr:colOff>
          <xdr:row>13</xdr:row>
          <xdr:rowOff>7620</xdr:rowOff>
        </xdr:from>
        <xdr:to>
          <xdr:col>6</xdr:col>
          <xdr:colOff>251460</xdr:colOff>
          <xdr:row>16</xdr:row>
          <xdr:rowOff>7620</xdr:rowOff>
        </xdr:to>
        <xdr:sp macro="" textlink="">
          <xdr:nvSpPr>
            <xdr:cNvPr id="1035" name="Object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2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304800</xdr:colOff>
          <xdr:row>18</xdr:row>
          <xdr:rowOff>7620</xdr:rowOff>
        </xdr:from>
        <xdr:to>
          <xdr:col>7</xdr:col>
          <xdr:colOff>342900</xdr:colOff>
          <xdr:row>21</xdr:row>
          <xdr:rowOff>0</xdr:rowOff>
        </xdr:to>
        <xdr:sp macro="" textlink="">
          <xdr:nvSpPr>
            <xdr:cNvPr id="1039" name="Object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2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5" Type="http://schemas.openxmlformats.org/officeDocument/2006/relationships/image" Target="../media/image1.emf"/><Relationship Id="rId4" Type="http://schemas.openxmlformats.org/officeDocument/2006/relationships/oleObject" Target="../embeddings/oleObject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2.xml"/><Relationship Id="rId5" Type="http://schemas.openxmlformats.org/officeDocument/2006/relationships/image" Target="../media/image2.emf"/><Relationship Id="rId4" Type="http://schemas.openxmlformats.org/officeDocument/2006/relationships/oleObject" Target="../embeddings/oleObject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oleObject" Target="../embeddings/oleObject5.bin"/><Relationship Id="rId3" Type="http://schemas.openxmlformats.org/officeDocument/2006/relationships/vmlDrawing" Target="../drawings/vmlDrawing3.vml"/><Relationship Id="rId7" Type="http://schemas.openxmlformats.org/officeDocument/2006/relationships/image" Target="../media/image5.emf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oleObject" Target="../embeddings/oleObject4.bin"/><Relationship Id="rId5" Type="http://schemas.openxmlformats.org/officeDocument/2006/relationships/image" Target="../media/image4.emf"/><Relationship Id="rId10" Type="http://schemas.openxmlformats.org/officeDocument/2006/relationships/ctrlProp" Target="../ctrlProps/ctrlProp3.xml"/><Relationship Id="rId4" Type="http://schemas.openxmlformats.org/officeDocument/2006/relationships/oleObject" Target="../embeddings/oleObject3.bin"/><Relationship Id="rId9" Type="http://schemas.openxmlformats.org/officeDocument/2006/relationships/image" Target="../media/image6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2"/>
  <dimension ref="A1:R24"/>
  <sheetViews>
    <sheetView tabSelected="1" zoomScale="130" zoomScaleNormal="130" workbookViewId="0">
      <selection activeCell="C23" sqref="C23"/>
    </sheetView>
  </sheetViews>
  <sheetFormatPr defaultColWidth="8.88671875" defaultRowHeight="13.2" x14ac:dyDescent="0.25"/>
  <cols>
    <col min="1" max="1" width="35.6640625" style="2" customWidth="1"/>
    <col min="2" max="2" width="4.6640625" style="2" customWidth="1"/>
    <col min="3" max="3" width="7.88671875" style="2" customWidth="1"/>
    <col min="4" max="4" width="4.6640625" style="2" customWidth="1"/>
    <col min="5" max="6" width="8.88671875" style="2" customWidth="1"/>
    <col min="7" max="7" width="4.6640625" style="2" customWidth="1"/>
    <col min="8" max="9" width="8.88671875" style="2" customWidth="1"/>
    <col min="10" max="10" width="12" style="2" customWidth="1"/>
    <col min="11" max="11" width="8.6640625" style="2" customWidth="1"/>
    <col min="12" max="12" width="12.6640625" style="2" bestFit="1" customWidth="1"/>
    <col min="13" max="16384" width="8.88671875" style="2"/>
  </cols>
  <sheetData>
    <row r="1" spans="1:18" x14ac:dyDescent="0.25">
      <c r="A1" s="54" t="s">
        <v>46</v>
      </c>
      <c r="B1" s="7"/>
      <c r="C1" s="7"/>
      <c r="L1" s="15" t="s">
        <v>33</v>
      </c>
    </row>
    <row r="2" spans="1:18" x14ac:dyDescent="0.25">
      <c r="A2" s="41"/>
      <c r="B2" s="7"/>
      <c r="C2" s="7"/>
      <c r="L2" s="3"/>
    </row>
    <row r="3" spans="1:18" x14ac:dyDescent="0.25">
      <c r="A3" s="2" t="s">
        <v>47</v>
      </c>
      <c r="B3" s="7"/>
      <c r="C3" s="7"/>
      <c r="L3" s="20" t="s">
        <v>34</v>
      </c>
    </row>
    <row r="4" spans="1:18" x14ac:dyDescent="0.25">
      <c r="B4" s="7"/>
      <c r="C4" s="7"/>
    </row>
    <row r="5" spans="1:18" x14ac:dyDescent="0.25">
      <c r="C5" s="2" t="s">
        <v>31</v>
      </c>
      <c r="E5" s="2" t="s">
        <v>30</v>
      </c>
      <c r="F5" s="2" t="s">
        <v>32</v>
      </c>
      <c r="G5" s="25"/>
      <c r="L5" s="19" t="s">
        <v>2</v>
      </c>
    </row>
    <row r="6" spans="1:18" x14ac:dyDescent="0.25">
      <c r="A6" s="2" t="s">
        <v>48</v>
      </c>
      <c r="B6" s="2" t="s">
        <v>6</v>
      </c>
      <c r="C6" s="15">
        <v>4.7</v>
      </c>
      <c r="D6" s="2" t="s">
        <v>1</v>
      </c>
      <c r="E6" s="55">
        <v>4.7</v>
      </c>
      <c r="F6" s="56">
        <v>4.7</v>
      </c>
      <c r="G6" s="57" t="s">
        <v>1</v>
      </c>
    </row>
    <row r="7" spans="1:18" x14ac:dyDescent="0.25">
      <c r="A7" s="2" t="s">
        <v>14</v>
      </c>
      <c r="B7" s="2" t="s">
        <v>10</v>
      </c>
      <c r="C7" s="72">
        <f>P16</f>
        <v>7.6899825959619293E-6</v>
      </c>
      <c r="D7" s="2" t="s">
        <v>17</v>
      </c>
      <c r="E7" s="32">
        <f>P14</f>
        <v>3.8981294054134163E-6</v>
      </c>
      <c r="F7" s="33">
        <v>5.0000000000000002E-5</v>
      </c>
      <c r="G7" s="2" t="s">
        <v>17</v>
      </c>
    </row>
    <row r="8" spans="1:18" x14ac:dyDescent="0.25">
      <c r="C8" s="34">
        <f>C7*60*60*24</f>
        <v>0.66441449629111071</v>
      </c>
      <c r="D8" s="57" t="s">
        <v>11</v>
      </c>
      <c r="E8" s="34">
        <f>IF(E7&gt;0,E7*60*60*24,"")</f>
        <v>0.33679838062771916</v>
      </c>
      <c r="F8" s="34">
        <f>IF(F7&gt;0,F7*60*60*24,"")</f>
        <v>4.32</v>
      </c>
      <c r="G8" t="str">
        <f>IF(OR(E7&gt;0,F7&gt;0),"m/d","")</f>
        <v>m/d</v>
      </c>
      <c r="H8" s="13" t="s">
        <v>18</v>
      </c>
    </row>
    <row r="9" spans="1:18" x14ac:dyDescent="0.25">
      <c r="E9" s="74"/>
      <c r="F9" s="74"/>
      <c r="G9" s="25"/>
      <c r="H9" s="12" t="s">
        <v>27</v>
      </c>
    </row>
    <row r="10" spans="1:18" x14ac:dyDescent="0.25">
      <c r="A10" s="2" t="s">
        <v>49</v>
      </c>
      <c r="B10" s="2" t="s">
        <v>50</v>
      </c>
      <c r="C10" s="15">
        <v>3000</v>
      </c>
      <c r="E10" s="2" t="s">
        <v>51</v>
      </c>
      <c r="F10" s="23"/>
      <c r="G10" s="3"/>
      <c r="H10" s="12" t="s">
        <v>20</v>
      </c>
    </row>
    <row r="11" spans="1:18" x14ac:dyDescent="0.25">
      <c r="E11" s="2" t="s">
        <v>52</v>
      </c>
      <c r="F11" s="58"/>
      <c r="G11" s="25"/>
      <c r="H11" s="14" t="s">
        <v>21</v>
      </c>
    </row>
    <row r="12" spans="1:18" x14ac:dyDescent="0.25">
      <c r="E12" s="2" t="s">
        <v>53</v>
      </c>
      <c r="F12" s="58"/>
      <c r="G12" s="25"/>
      <c r="H12" s="12" t="s">
        <v>19</v>
      </c>
      <c r="O12" s="4" t="s">
        <v>74</v>
      </c>
    </row>
    <row r="13" spans="1:18" ht="13.8" thickBot="1" x14ac:dyDescent="0.3">
      <c r="E13" s="58"/>
      <c r="F13" s="58"/>
      <c r="H13" s="12" t="s">
        <v>22</v>
      </c>
      <c r="P13" s="2" t="s">
        <v>17</v>
      </c>
      <c r="Q13" s="2" t="s">
        <v>11</v>
      </c>
    </row>
    <row r="14" spans="1:18" ht="16.2" thickBot="1" x14ac:dyDescent="0.4">
      <c r="A14" s="2" t="s">
        <v>38</v>
      </c>
      <c r="B14" s="2" t="s">
        <v>3</v>
      </c>
      <c r="C14" s="18">
        <f>C10*C6*SQRT(C7)</f>
        <v>39.100453193066585</v>
      </c>
      <c r="D14" s="29" t="s">
        <v>1</v>
      </c>
      <c r="E14" s="42">
        <f>C10*MIN(C6:F6)*SQRT(MIN(C7:F7))</f>
        <v>27.838590249691908</v>
      </c>
      <c r="F14" s="42">
        <f>C10*MAX(C6:F6)*SQRT(MAX(C7:F7))</f>
        <v>99.702056147303196</v>
      </c>
      <c r="G14" s="2" t="s">
        <v>1</v>
      </c>
      <c r="H14" s="12" t="s">
        <v>28</v>
      </c>
      <c r="O14" s="2" t="s">
        <v>30</v>
      </c>
      <c r="P14" s="2">
        <v>3.8981294054134163E-6</v>
      </c>
      <c r="Q14" s="2">
        <f>P14*86400</f>
        <v>0.33679838062771916</v>
      </c>
    </row>
    <row r="15" spans="1:18" x14ac:dyDescent="0.25">
      <c r="H15" s="12" t="s">
        <v>29</v>
      </c>
      <c r="O15" s="2" t="s">
        <v>32</v>
      </c>
      <c r="P15" s="73">
        <v>1.9572584827538659E-5</v>
      </c>
      <c r="Q15" s="2">
        <f t="shared" ref="Q15:Q16" si="0">P15*86400</f>
        <v>1.6910713290993402</v>
      </c>
      <c r="R15" s="2" t="s">
        <v>75</v>
      </c>
    </row>
    <row r="16" spans="1:18" x14ac:dyDescent="0.25">
      <c r="H16" s="12" t="s">
        <v>26</v>
      </c>
      <c r="O16" s="2" t="s">
        <v>71</v>
      </c>
      <c r="P16" s="2">
        <v>7.6899825959619293E-6</v>
      </c>
      <c r="Q16" s="2">
        <f t="shared" si="0"/>
        <v>0.66441449629111071</v>
      </c>
    </row>
    <row r="17" spans="1:12" x14ac:dyDescent="0.25">
      <c r="H17" s="3"/>
      <c r="I17" s="3"/>
    </row>
    <row r="18" spans="1:12" x14ac:dyDescent="0.25">
      <c r="H18" s="3"/>
      <c r="I18" s="3"/>
      <c r="J18" s="1"/>
    </row>
    <row r="19" spans="1:12" x14ac:dyDescent="0.25">
      <c r="A19" s="9" t="s">
        <v>37</v>
      </c>
      <c r="B19"/>
      <c r="C19" s="11"/>
      <c r="D19" s="11"/>
      <c r="E19" s="11"/>
      <c r="F19" s="31"/>
      <c r="G19" s="11"/>
    </row>
    <row r="20" spans="1:12" x14ac:dyDescent="0.25">
      <c r="A20" s="36" t="s">
        <v>48</v>
      </c>
      <c r="B20" s="35" t="s">
        <v>6</v>
      </c>
      <c r="C20" s="75" t="s">
        <v>76</v>
      </c>
      <c r="D20" s="76"/>
      <c r="E20" s="76"/>
      <c r="F20" s="76"/>
      <c r="G20" s="76"/>
      <c r="H20" s="76"/>
      <c r="I20" s="76"/>
      <c r="J20" s="76"/>
      <c r="K20" s="76"/>
      <c r="L20" s="77"/>
    </row>
    <row r="21" spans="1:12" x14ac:dyDescent="0.25">
      <c r="A21" s="36" t="s">
        <v>14</v>
      </c>
      <c r="B21" s="35" t="s">
        <v>10</v>
      </c>
      <c r="C21" s="78" t="s">
        <v>77</v>
      </c>
      <c r="D21" s="79"/>
      <c r="E21" s="79"/>
      <c r="F21" s="79"/>
      <c r="G21" s="79"/>
      <c r="H21" s="79"/>
      <c r="I21" s="79"/>
      <c r="J21" s="79"/>
      <c r="K21" s="79"/>
      <c r="L21" s="80"/>
    </row>
    <row r="22" spans="1:12" x14ac:dyDescent="0.25">
      <c r="A22" s="36" t="s">
        <v>49</v>
      </c>
      <c r="B22" s="35" t="s">
        <v>50</v>
      </c>
      <c r="C22" s="78" t="s">
        <v>78</v>
      </c>
      <c r="D22" s="79"/>
      <c r="E22" s="79"/>
      <c r="F22" s="79"/>
      <c r="G22" s="79"/>
      <c r="H22" s="79"/>
      <c r="I22" s="79"/>
      <c r="J22" s="79"/>
      <c r="K22" s="79"/>
      <c r="L22" s="80"/>
    </row>
    <row r="24" spans="1:12" x14ac:dyDescent="0.25">
      <c r="A24" s="63"/>
    </row>
  </sheetData>
  <sheetProtection password="CECF" sheet="1" objects="1" scenarios="1"/>
  <mergeCells count="4">
    <mergeCell ref="E9:F9"/>
    <mergeCell ref="C20:L20"/>
    <mergeCell ref="C21:L21"/>
    <mergeCell ref="C22:L22"/>
  </mergeCells>
  <phoneticPr fontId="9" type="noConversion"/>
  <pageMargins left="0.75" right="0.75" top="1" bottom="1" header="0.5" footer="0.5"/>
  <pageSetup paperSize="9" orientation="landscape" r:id="rId1"/>
  <headerFooter alignWithMargins="0"/>
  <drawing r:id="rId2"/>
  <legacyDrawing r:id="rId3"/>
  <oleObjects>
    <mc:AlternateContent xmlns:mc="http://schemas.openxmlformats.org/markup-compatibility/2006">
      <mc:Choice Requires="x14">
        <oleObject progId="Equation.3" shapeId="17409" r:id="rId4">
          <objectPr defaultSize="0" autoPict="0" r:id="rId5">
            <anchor moveWithCells="1">
              <from>
                <xdr:col>5</xdr:col>
                <xdr:colOff>30480</xdr:colOff>
                <xdr:row>0</xdr:row>
                <xdr:rowOff>22860</xdr:rowOff>
              </from>
              <to>
                <xdr:col>7</xdr:col>
                <xdr:colOff>297180</xdr:colOff>
                <xdr:row>2</xdr:row>
                <xdr:rowOff>60960</xdr:rowOff>
              </to>
            </anchor>
          </objectPr>
        </oleObject>
      </mc:Choice>
      <mc:Fallback>
        <oleObject progId="Equation.3" shapeId="17409" r:id="rId4"/>
      </mc:Fallback>
    </mc:AlternateContent>
  </oleObjects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7410" r:id="rId6" name="Button 2">
              <controlPr defaultSize="0" print="0" autoFill="0" autoPict="0" macro="[0]!Macro25">
                <anchor moveWithCells="1" sizeWithCells="1">
                  <from>
                    <xdr:col>10</xdr:col>
                    <xdr:colOff>45720</xdr:colOff>
                    <xdr:row>0</xdr:row>
                    <xdr:rowOff>0</xdr:rowOff>
                  </from>
                  <to>
                    <xdr:col>10</xdr:col>
                    <xdr:colOff>518160</xdr:colOff>
                    <xdr:row>1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4"/>
  <dimension ref="A1:J27"/>
  <sheetViews>
    <sheetView zoomScale="140" workbookViewId="0">
      <selection activeCell="A34" sqref="A34"/>
    </sheetView>
  </sheetViews>
  <sheetFormatPr defaultColWidth="8.88671875" defaultRowHeight="13.2" x14ac:dyDescent="0.25"/>
  <cols>
    <col min="1" max="1" width="41.44140625" style="2" customWidth="1"/>
    <col min="2" max="2" width="4.6640625" style="2" customWidth="1"/>
    <col min="3" max="3" width="7.88671875" style="2" customWidth="1"/>
    <col min="4" max="4" width="4.6640625" style="2" customWidth="1"/>
    <col min="5" max="6" width="7.88671875" style="2" customWidth="1"/>
    <col min="7" max="7" width="4.6640625" style="2" customWidth="1"/>
    <col min="8" max="8" width="12.109375" style="2" customWidth="1"/>
    <col min="9" max="9" width="8.6640625" style="2" customWidth="1"/>
    <col min="10" max="10" width="12.6640625" style="2" bestFit="1" customWidth="1"/>
    <col min="11" max="16384" width="8.88671875" style="2"/>
  </cols>
  <sheetData>
    <row r="1" spans="1:10" x14ac:dyDescent="0.25">
      <c r="A1" s="43" t="s">
        <v>39</v>
      </c>
      <c r="B1" s="7"/>
      <c r="C1" s="7"/>
      <c r="J1" s="15" t="s">
        <v>33</v>
      </c>
    </row>
    <row r="2" spans="1:10" x14ac:dyDescent="0.25">
      <c r="A2" s="7"/>
      <c r="B2" s="7"/>
      <c r="C2" s="7"/>
      <c r="J2" s="3"/>
    </row>
    <row r="3" spans="1:10" x14ac:dyDescent="0.25">
      <c r="A3" s="44" t="s">
        <v>40</v>
      </c>
      <c r="B3" s="45"/>
      <c r="C3" s="46"/>
      <c r="F3" s="3"/>
      <c r="J3" s="20" t="s">
        <v>34</v>
      </c>
    </row>
    <row r="4" spans="1:10" x14ac:dyDescent="0.25">
      <c r="A4" s="47"/>
      <c r="B4" s="48"/>
      <c r="C4" s="49"/>
      <c r="F4" s="3"/>
    </row>
    <row r="5" spans="1:10" x14ac:dyDescent="0.25">
      <c r="J5" s="19" t="s">
        <v>2</v>
      </c>
    </row>
    <row r="6" spans="1:10" x14ac:dyDescent="0.25">
      <c r="A6" s="47"/>
      <c r="B6" s="48"/>
      <c r="C6" s="2" t="s">
        <v>31</v>
      </c>
      <c r="D6"/>
      <c r="E6" s="2" t="s">
        <v>30</v>
      </c>
      <c r="F6" s="2" t="s">
        <v>32</v>
      </c>
    </row>
    <row r="7" spans="1:10" x14ac:dyDescent="0.25">
      <c r="A7" s="2" t="s">
        <v>41</v>
      </c>
      <c r="B7" s="2" t="s">
        <v>42</v>
      </c>
      <c r="C7" s="50">
        <v>5</v>
      </c>
      <c r="D7" s="29" t="s">
        <v>1</v>
      </c>
      <c r="E7" s="51"/>
      <c r="F7" s="52"/>
      <c r="G7" s="25" t="s">
        <v>1</v>
      </c>
    </row>
    <row r="8" spans="1:10" x14ac:dyDescent="0.25">
      <c r="A8" s="2" t="s">
        <v>43</v>
      </c>
      <c r="B8" s="2" t="s">
        <v>36</v>
      </c>
      <c r="C8" s="50">
        <v>5</v>
      </c>
      <c r="D8" s="29" t="s">
        <v>1</v>
      </c>
      <c r="E8" s="51"/>
      <c r="F8" s="52"/>
      <c r="G8" s="25" t="s">
        <v>1</v>
      </c>
    </row>
    <row r="9" spans="1:10" x14ac:dyDescent="0.25">
      <c r="C9" s="53"/>
      <c r="D9" s="53"/>
      <c r="E9" s="53"/>
      <c r="F9" s="53"/>
      <c r="G9" s="3"/>
    </row>
    <row r="10" spans="1:10" ht="13.8" thickBot="1" x14ac:dyDescent="0.3"/>
    <row r="11" spans="1:10" ht="16.2" thickBot="1" x14ac:dyDescent="0.4">
      <c r="A11" s="2" t="s">
        <v>44</v>
      </c>
      <c r="B11" s="2" t="s">
        <v>45</v>
      </c>
      <c r="C11" s="18">
        <f>SQRT(C7*C8/PI())</f>
        <v>2.8209479177387813</v>
      </c>
      <c r="D11" s="29" t="s">
        <v>1</v>
      </c>
      <c r="E11" s="42">
        <f>SQRT((MIN(C7:F7)*MIN(C8:F8))/PI())</f>
        <v>2.8209479177387813</v>
      </c>
      <c r="F11" s="42">
        <f>SQRT((MAX(C7:F7)*MAX(C8:F8))/PI())</f>
        <v>2.8209479177387813</v>
      </c>
      <c r="G11" t="s">
        <v>1</v>
      </c>
    </row>
    <row r="17" spans="1:10" x14ac:dyDescent="0.25">
      <c r="A17" s="13" t="s">
        <v>18</v>
      </c>
      <c r="J17" s="61" t="s">
        <v>57</v>
      </c>
    </row>
    <row r="18" spans="1:10" x14ac:dyDescent="0.25">
      <c r="A18" s="12" t="s">
        <v>55</v>
      </c>
    </row>
    <row r="19" spans="1:10" x14ac:dyDescent="0.25">
      <c r="A19" s="12" t="s">
        <v>56</v>
      </c>
    </row>
    <row r="23" spans="1:10" x14ac:dyDescent="0.25">
      <c r="A23" s="9" t="s">
        <v>37</v>
      </c>
      <c r="B23"/>
      <c r="C23" s="11"/>
      <c r="D23" s="11"/>
      <c r="E23" s="11"/>
      <c r="F23" s="31"/>
      <c r="G23" s="11"/>
    </row>
    <row r="24" spans="1:10" x14ac:dyDescent="0.25">
      <c r="A24" s="36" t="s">
        <v>41</v>
      </c>
      <c r="B24" s="35" t="s">
        <v>42</v>
      </c>
      <c r="C24" s="75"/>
      <c r="D24" s="76"/>
      <c r="E24" s="76"/>
      <c r="F24" s="76"/>
      <c r="G24" s="76"/>
      <c r="H24" s="76"/>
      <c r="I24" s="76"/>
      <c r="J24" s="77"/>
    </row>
    <row r="25" spans="1:10" x14ac:dyDescent="0.25">
      <c r="A25" s="36" t="s">
        <v>43</v>
      </c>
      <c r="B25" s="35" t="s">
        <v>36</v>
      </c>
      <c r="C25" s="75"/>
      <c r="D25" s="76"/>
      <c r="E25" s="76"/>
      <c r="F25" s="76"/>
      <c r="G25" s="76"/>
      <c r="H25" s="81"/>
      <c r="I25" s="81"/>
      <c r="J25" s="82"/>
    </row>
    <row r="27" spans="1:10" x14ac:dyDescent="0.25">
      <c r="A27" s="63"/>
    </row>
  </sheetData>
  <sheetProtection password="CEE9" sheet="1" objects="1" scenarios="1"/>
  <mergeCells count="2">
    <mergeCell ref="C24:J24"/>
    <mergeCell ref="C25:J25"/>
  </mergeCells>
  <phoneticPr fontId="9" type="noConversion"/>
  <pageMargins left="0.75" right="0.75" top="1" bottom="1" header="0.5" footer="0.5"/>
  <pageSetup paperSize="9" orientation="landscape" r:id="rId1"/>
  <headerFooter alignWithMargins="0"/>
  <drawing r:id="rId2"/>
  <legacyDrawing r:id="rId3"/>
  <oleObjects>
    <mc:AlternateContent xmlns:mc="http://schemas.openxmlformats.org/markup-compatibility/2006">
      <mc:Choice Requires="x14">
        <oleObject progId="Equation.3" shapeId="16385" r:id="rId4">
          <objectPr defaultSize="0" autoPict="0" r:id="rId5">
            <anchor moveWithCells="1">
              <from>
                <xdr:col>3</xdr:col>
                <xdr:colOff>45720</xdr:colOff>
                <xdr:row>0</xdr:row>
                <xdr:rowOff>7620</xdr:rowOff>
              </from>
              <to>
                <xdr:col>5</xdr:col>
                <xdr:colOff>182880</xdr:colOff>
                <xdr:row>2</xdr:row>
                <xdr:rowOff>152400</xdr:rowOff>
              </to>
            </anchor>
          </objectPr>
        </oleObject>
      </mc:Choice>
      <mc:Fallback>
        <oleObject progId="Equation.3" shapeId="16385" r:id="rId4"/>
      </mc:Fallback>
    </mc:AlternateContent>
  </oleObjects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6402" r:id="rId6" name="Button 18">
              <controlPr defaultSize="0" print="0" autoFill="0" autoPict="0" macro="[0]!Macro25">
                <anchor moveWithCells="1" sizeWithCells="1">
                  <from>
                    <xdr:col>8</xdr:col>
                    <xdr:colOff>22860</xdr:colOff>
                    <xdr:row>0</xdr:row>
                    <xdr:rowOff>0</xdr:rowOff>
                  </from>
                  <to>
                    <xdr:col>8</xdr:col>
                    <xdr:colOff>487680</xdr:colOff>
                    <xdr:row>1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3"/>
  <dimension ref="A1:R34"/>
  <sheetViews>
    <sheetView zoomScale="125" workbookViewId="0">
      <selection activeCell="D32" sqref="D32"/>
    </sheetView>
  </sheetViews>
  <sheetFormatPr defaultColWidth="8.88671875" defaultRowHeight="13.2" x14ac:dyDescent="0.25"/>
  <cols>
    <col min="1" max="1" width="39.33203125" style="2" customWidth="1"/>
    <col min="2" max="2" width="4.33203125" style="2" customWidth="1"/>
    <col min="3" max="3" width="8.5546875" style="2" customWidth="1"/>
    <col min="4" max="4" width="4.6640625" style="2" customWidth="1"/>
    <col min="5" max="6" width="7.88671875" style="2" customWidth="1"/>
    <col min="7" max="7" width="4.88671875" style="2" customWidth="1"/>
    <col min="8" max="8" width="8.88671875" style="2" customWidth="1"/>
    <col min="9" max="9" width="8.6640625" style="2" customWidth="1"/>
    <col min="10" max="10" width="12.44140625" style="2" customWidth="1"/>
    <col min="11" max="11" width="8.88671875" style="2" customWidth="1"/>
    <col min="12" max="12" width="12.6640625" style="2" bestFit="1" customWidth="1"/>
    <col min="13" max="16384" width="8.88671875" style="2"/>
  </cols>
  <sheetData>
    <row r="1" spans="1:18" x14ac:dyDescent="0.25">
      <c r="A1" s="26" t="s">
        <v>59</v>
      </c>
      <c r="B1" s="6"/>
      <c r="C1" s="7"/>
      <c r="L1" s="15" t="s">
        <v>33</v>
      </c>
    </row>
    <row r="2" spans="1:18" s="8" customFormat="1" x14ac:dyDescent="0.25">
      <c r="A2" s="8" t="s">
        <v>58</v>
      </c>
      <c r="B2" s="6"/>
      <c r="C2" s="7"/>
      <c r="L2" s="2"/>
    </row>
    <row r="3" spans="1:18" x14ac:dyDescent="0.25">
      <c r="A3" s="8" t="s">
        <v>35</v>
      </c>
      <c r="L3" s="20" t="s">
        <v>34</v>
      </c>
      <c r="O3" s="4" t="s">
        <v>73</v>
      </c>
    </row>
    <row r="4" spans="1:18" x14ac:dyDescent="0.25">
      <c r="A4" s="5"/>
      <c r="C4" s="2" t="s">
        <v>31</v>
      </c>
      <c r="D4"/>
      <c r="E4" s="2" t="s">
        <v>30</v>
      </c>
      <c r="F4" s="2" t="s">
        <v>32</v>
      </c>
      <c r="P4" s="2" t="s">
        <v>17</v>
      </c>
      <c r="Q4" s="2" t="s">
        <v>11</v>
      </c>
    </row>
    <row r="5" spans="1:18" ht="15.6" x14ac:dyDescent="0.35">
      <c r="A5" s="2" t="s">
        <v>65</v>
      </c>
      <c r="B5" s="2" t="s">
        <v>15</v>
      </c>
      <c r="C5" s="24">
        <f>C8-4.7</f>
        <v>5.8</v>
      </c>
      <c r="D5" s="2" t="s">
        <v>1</v>
      </c>
      <c r="E5" s="20"/>
      <c r="F5" s="20"/>
      <c r="G5" s="2" t="s">
        <v>1</v>
      </c>
      <c r="L5" s="19" t="s">
        <v>2</v>
      </c>
      <c r="O5" s="2" t="s">
        <v>30</v>
      </c>
      <c r="P5" s="2">
        <v>1.9226181592181595E-5</v>
      </c>
      <c r="Q5" s="2">
        <f>P5*86400</f>
        <v>1.6611420895644897</v>
      </c>
    </row>
    <row r="6" spans="1:18" ht="15.6" x14ac:dyDescent="0.35">
      <c r="A6" s="2" t="s">
        <v>54</v>
      </c>
      <c r="B6" s="2" t="s">
        <v>16</v>
      </c>
      <c r="C6" s="24">
        <f>'21.Effective radius'!C11</f>
        <v>2.8209479177387813</v>
      </c>
      <c r="D6" s="2" t="s">
        <v>1</v>
      </c>
      <c r="E6" s="8"/>
      <c r="F6" s="8"/>
      <c r="O6" s="2" t="s">
        <v>32</v>
      </c>
      <c r="P6" s="73">
        <v>7.205855626353755E-4</v>
      </c>
      <c r="Q6" s="2">
        <f t="shared" ref="Q6:Q7" si="0">P6*86400</f>
        <v>62.258592611696443</v>
      </c>
    </row>
    <row r="7" spans="1:18" x14ac:dyDescent="0.25">
      <c r="C7" s="3"/>
      <c r="O7" s="2" t="s">
        <v>71</v>
      </c>
      <c r="P7" s="2">
        <v>1.0975556150574377E-4</v>
      </c>
      <c r="Q7" s="2">
        <f t="shared" si="0"/>
        <v>9.4828805140962622</v>
      </c>
    </row>
    <row r="8" spans="1:18" x14ac:dyDescent="0.25">
      <c r="A8" s="2" t="s">
        <v>13</v>
      </c>
      <c r="B8" s="2" t="s">
        <v>0</v>
      </c>
      <c r="C8" s="15">
        <v>10.5</v>
      </c>
      <c r="D8" s="2" t="s">
        <v>1</v>
      </c>
      <c r="E8" s="20"/>
      <c r="F8" s="20"/>
      <c r="G8" s="2" t="s">
        <v>1</v>
      </c>
    </row>
    <row r="9" spans="1:18" ht="15.6" x14ac:dyDescent="0.35">
      <c r="A9" s="2" t="s">
        <v>38</v>
      </c>
      <c r="B9" s="2" t="s">
        <v>3</v>
      </c>
      <c r="C9" s="15">
        <f>'19.Radius of inf -Sichardt (UC)'!C14</f>
        <v>39.100453193066585</v>
      </c>
      <c r="D9" s="2" t="s">
        <v>1</v>
      </c>
    </row>
    <row r="10" spans="1:18" x14ac:dyDescent="0.25">
      <c r="A10" s="2" t="s">
        <v>12</v>
      </c>
      <c r="B10" s="2" t="s">
        <v>10</v>
      </c>
      <c r="C10" s="15">
        <f>Q19</f>
        <v>0.66441449629111071</v>
      </c>
      <c r="D10" s="2" t="s">
        <v>11</v>
      </c>
      <c r="E10" s="20">
        <f>Q17</f>
        <v>0.33679838062771916</v>
      </c>
      <c r="F10" s="20">
        <f>(0.00005)*86400</f>
        <v>4.32</v>
      </c>
      <c r="G10" s="2" t="s">
        <v>11</v>
      </c>
    </row>
    <row r="11" spans="1:18" ht="13.8" thickBot="1" x14ac:dyDescent="0.3">
      <c r="O11" s="4" t="s">
        <v>72</v>
      </c>
    </row>
    <row r="12" spans="1:18" ht="16.2" thickBot="1" x14ac:dyDescent="0.3">
      <c r="A12" s="60" t="s">
        <v>9</v>
      </c>
      <c r="B12" s="10" t="s">
        <v>4</v>
      </c>
      <c r="C12" s="17">
        <f>PI()*C10*((C8^2-C5^2)/(LN(C9/C6)))</f>
        <v>60.823829078119395</v>
      </c>
      <c r="D12" s="10" t="s">
        <v>5</v>
      </c>
      <c r="E12" s="22">
        <f>PI()*MIN(C10:F10)*((MIN(C8:F8)^2-MAX(C5:F5)^2)/(LN(C9/C6)))</f>
        <v>30.832209789884242</v>
      </c>
      <c r="F12" s="22">
        <f>PI()*MAX(C10:F10)*((MAX(C8:F8)^2-MIN(C5:F5)^2)/(LN(C9/C6)))</f>
        <v>395.47442610636386</v>
      </c>
      <c r="G12" s="10" t="s">
        <v>5</v>
      </c>
      <c r="O12" s="4" t="s">
        <v>71</v>
      </c>
      <c r="P12" s="4" t="s">
        <v>30</v>
      </c>
      <c r="Q12" s="4" t="s">
        <v>32</v>
      </c>
    </row>
    <row r="13" spans="1:18" x14ac:dyDescent="0.25">
      <c r="A13" s="1" t="s">
        <v>61</v>
      </c>
      <c r="E13"/>
      <c r="G13" s="8"/>
      <c r="H13"/>
      <c r="O13" s="2">
        <f>C12/86400*1000</f>
        <v>0.70397950321897451</v>
      </c>
      <c r="P13" s="2">
        <f>E12/86400*1000</f>
        <v>0.35685427997551206</v>
      </c>
      <c r="Q13" s="2">
        <f>F12/86400*1000</f>
        <v>4.5772503021569895</v>
      </c>
      <c r="R13" s="2" t="s">
        <v>70</v>
      </c>
    </row>
    <row r="14" spans="1:18" ht="15.6" x14ac:dyDescent="0.25">
      <c r="A14" t="s">
        <v>63</v>
      </c>
      <c r="B14" t="s">
        <v>4</v>
      </c>
      <c r="C14" s="15">
        <v>2139</v>
      </c>
      <c r="D14" s="64" t="s">
        <v>5</v>
      </c>
      <c r="E14"/>
      <c r="F14"/>
      <c r="G14" s="59"/>
      <c r="H14"/>
    </row>
    <row r="15" spans="1:18" x14ac:dyDescent="0.25">
      <c r="A15" t="s">
        <v>62</v>
      </c>
      <c r="B15" t="s">
        <v>7</v>
      </c>
      <c r="C15" s="15">
        <v>50</v>
      </c>
      <c r="D15" s="2" t="s">
        <v>1</v>
      </c>
      <c r="E15"/>
      <c r="F15"/>
      <c r="G15" s="59"/>
      <c r="H15"/>
      <c r="O15" s="4" t="s">
        <v>74</v>
      </c>
    </row>
    <row r="16" spans="1:18" ht="13.8" thickBot="1" x14ac:dyDescent="0.3">
      <c r="A16"/>
      <c r="B16"/>
      <c r="C16" s="38"/>
      <c r="D16" s="38"/>
      <c r="E16"/>
      <c r="F16" s="38"/>
      <c r="G16" s="65"/>
      <c r="H16"/>
      <c r="L16" s="61" t="s">
        <v>57</v>
      </c>
      <c r="P16" s="2" t="s">
        <v>17</v>
      </c>
      <c r="Q16" s="2" t="s">
        <v>11</v>
      </c>
    </row>
    <row r="17" spans="1:18" ht="13.8" thickBot="1" x14ac:dyDescent="0.3">
      <c r="A17" t="s">
        <v>64</v>
      </c>
      <c r="B17" t="s">
        <v>25</v>
      </c>
      <c r="C17" s="18">
        <f>SQRT(((C14*LN(C15/C6))/(PI()*C10))+(C5^2))</f>
        <v>54.587282469197753</v>
      </c>
      <c r="D17" s="38" t="s">
        <v>1</v>
      </c>
      <c r="E17"/>
      <c r="F17" s="38"/>
      <c r="G17" s="65"/>
      <c r="H17"/>
      <c r="O17" s="2" t="s">
        <v>30</v>
      </c>
      <c r="P17" s="2">
        <v>3.8981294054134163E-6</v>
      </c>
      <c r="Q17" s="2">
        <f>P17*86400</f>
        <v>0.33679838062771916</v>
      </c>
    </row>
    <row r="18" spans="1:18" ht="16.2" thickBot="1" x14ac:dyDescent="0.4">
      <c r="A18" s="66" t="s">
        <v>67</v>
      </c>
      <c r="B18" s="67" t="s">
        <v>66</v>
      </c>
      <c r="C18" s="18">
        <f>C8-C17</f>
        <v>-44.087282469197753</v>
      </c>
      <c r="D18" s="68" t="s">
        <v>1</v>
      </c>
      <c r="E18" s="21"/>
      <c r="F18" s="67"/>
      <c r="G18" s="69"/>
      <c r="O18" s="2" t="s">
        <v>32</v>
      </c>
      <c r="P18" s="73">
        <v>5.0000000000000002E-5</v>
      </c>
      <c r="Q18" s="2">
        <f t="shared" ref="Q18:Q19" si="1">P18*86400</f>
        <v>4.32</v>
      </c>
      <c r="R18" s="2" t="s">
        <v>75</v>
      </c>
    </row>
    <row r="19" spans="1:18" x14ac:dyDescent="0.25">
      <c r="A19" s="37" t="s">
        <v>60</v>
      </c>
      <c r="B19" s="38"/>
      <c r="C19" s="38"/>
      <c r="D19" s="38"/>
      <c r="E19"/>
      <c r="F19" s="71"/>
      <c r="O19" s="2" t="s">
        <v>71</v>
      </c>
      <c r="P19" s="2">
        <v>7.6899825959619293E-6</v>
      </c>
      <c r="Q19" s="2">
        <f t="shared" si="1"/>
        <v>0.66441449629111071</v>
      </c>
    </row>
    <row r="20" spans="1:18" ht="15.6" x14ac:dyDescent="0.25">
      <c r="A20" t="s">
        <v>63</v>
      </c>
      <c r="B20" t="s">
        <v>4</v>
      </c>
      <c r="C20" s="15">
        <v>518.4</v>
      </c>
      <c r="D20" s="64" t="s">
        <v>5</v>
      </c>
      <c r="E20"/>
    </row>
    <row r="21" spans="1:18" ht="15.6" x14ac:dyDescent="0.35">
      <c r="A21" t="s">
        <v>68</v>
      </c>
      <c r="B21" t="s">
        <v>66</v>
      </c>
      <c r="C21" s="15">
        <v>1</v>
      </c>
      <c r="D21" s="70" t="s">
        <v>1</v>
      </c>
      <c r="E21"/>
    </row>
    <row r="22" spans="1:18" x14ac:dyDescent="0.25">
      <c r="A22" t="s">
        <v>64</v>
      </c>
      <c r="B22" t="s">
        <v>25</v>
      </c>
      <c r="C22" s="16">
        <f>C8-C21</f>
        <v>9.5</v>
      </c>
      <c r="D22" s="2" t="s">
        <v>1</v>
      </c>
      <c r="E22"/>
      <c r="H22" s="13" t="s">
        <v>18</v>
      </c>
    </row>
    <row r="23" spans="1:18" ht="13.8" thickBot="1" x14ac:dyDescent="0.3">
      <c r="A23" s="28"/>
      <c r="B23" s="28"/>
      <c r="C23" s="30"/>
      <c r="D23" s="70"/>
      <c r="E23" s="28"/>
      <c r="H23" s="12" t="s">
        <v>20</v>
      </c>
    </row>
    <row r="24" spans="1:18" ht="13.8" thickBot="1" x14ac:dyDescent="0.3">
      <c r="A24" s="66" t="s">
        <v>69</v>
      </c>
      <c r="B24" s="67" t="s">
        <v>7</v>
      </c>
      <c r="C24" s="18">
        <f>C6*EXP((PI()*C10*((C22^2)-(C5^2)))/(C20))</f>
        <v>3.5431323476029766</v>
      </c>
      <c r="D24" s="68" t="s">
        <v>1</v>
      </c>
      <c r="E24" s="21"/>
      <c r="F24" s="10"/>
      <c r="G24" s="10"/>
      <c r="H24" s="14" t="s">
        <v>21</v>
      </c>
    </row>
    <row r="25" spans="1:18" x14ac:dyDescent="0.25">
      <c r="A25" s="9" t="s">
        <v>37</v>
      </c>
      <c r="B25" s="39"/>
      <c r="C25" s="40"/>
      <c r="D25" s="40"/>
      <c r="E25" s="40"/>
      <c r="F25" s="40"/>
      <c r="H25" s="12" t="s">
        <v>19</v>
      </c>
    </row>
    <row r="26" spans="1:18" x14ac:dyDescent="0.25">
      <c r="A26" s="36" t="s">
        <v>8</v>
      </c>
      <c r="B26" s="35" t="s">
        <v>25</v>
      </c>
      <c r="C26" s="75" t="s">
        <v>79</v>
      </c>
      <c r="D26" s="76"/>
      <c r="E26" s="76"/>
      <c r="F26" s="77"/>
      <c r="H26" s="12" t="s">
        <v>22</v>
      </c>
    </row>
    <row r="27" spans="1:18" x14ac:dyDescent="0.25">
      <c r="A27" s="36" t="s">
        <v>24</v>
      </c>
      <c r="B27" s="35" t="s">
        <v>7</v>
      </c>
      <c r="C27" s="78"/>
      <c r="D27" s="79"/>
      <c r="E27" s="79"/>
      <c r="F27" s="80"/>
      <c r="H27" s="12" t="s">
        <v>28</v>
      </c>
    </row>
    <row r="28" spans="1:18" x14ac:dyDescent="0.25">
      <c r="A28" s="36" t="s">
        <v>13</v>
      </c>
      <c r="B28" s="35" t="s">
        <v>0</v>
      </c>
      <c r="C28" s="78" t="s">
        <v>80</v>
      </c>
      <c r="D28" s="79"/>
      <c r="E28" s="79"/>
      <c r="F28" s="80"/>
      <c r="H28" s="12" t="s">
        <v>29</v>
      </c>
    </row>
    <row r="29" spans="1:18" ht="15.6" x14ac:dyDescent="0.35">
      <c r="A29" s="36" t="s">
        <v>38</v>
      </c>
      <c r="B29" s="35" t="s">
        <v>3</v>
      </c>
      <c r="C29" s="78" t="s">
        <v>81</v>
      </c>
      <c r="D29" s="79"/>
      <c r="E29" s="79"/>
      <c r="F29" s="80"/>
      <c r="H29" s="12" t="s">
        <v>26</v>
      </c>
    </row>
    <row r="30" spans="1:18" x14ac:dyDescent="0.25">
      <c r="A30" s="36" t="s">
        <v>12</v>
      </c>
      <c r="B30" s="35" t="s">
        <v>10</v>
      </c>
      <c r="C30" s="78" t="s">
        <v>82</v>
      </c>
      <c r="D30" s="79"/>
      <c r="E30" s="79"/>
      <c r="F30" s="80"/>
      <c r="L30" s="27" t="s">
        <v>23</v>
      </c>
    </row>
    <row r="33" spans="1:1" x14ac:dyDescent="0.25">
      <c r="A33" s="63"/>
    </row>
    <row r="34" spans="1:1" x14ac:dyDescent="0.25">
      <c r="A34" s="62"/>
    </row>
  </sheetData>
  <sheetProtection password="CE2E" sheet="1" objects="1" scenarios="1"/>
  <mergeCells count="5">
    <mergeCell ref="C30:F30"/>
    <mergeCell ref="C26:F26"/>
    <mergeCell ref="C27:F27"/>
    <mergeCell ref="C28:F28"/>
    <mergeCell ref="C29:F29"/>
  </mergeCells>
  <phoneticPr fontId="9" type="noConversion"/>
  <pageMargins left="0.75" right="0.75" top="1" bottom="1" header="0.5" footer="0.5"/>
  <pageSetup paperSize="9" orientation="landscape" r:id="rId1"/>
  <headerFooter alignWithMargins="0"/>
  <drawing r:id="rId2"/>
  <legacyDrawing r:id="rId3"/>
  <oleObjects>
    <mc:AlternateContent xmlns:mc="http://schemas.openxmlformats.org/markup-compatibility/2006">
      <mc:Choice Requires="x14">
        <oleObject progId="Equation.3" shapeId="1027" r:id="rId4">
          <objectPr defaultSize="0" autoPict="0" r:id="rId5">
            <anchor moveWithCells="1" sizeWithCells="1">
              <from>
                <xdr:col>7</xdr:col>
                <xdr:colOff>30480</xdr:colOff>
                <xdr:row>0</xdr:row>
                <xdr:rowOff>0</xdr:rowOff>
              </from>
              <to>
                <xdr:col>9</xdr:col>
                <xdr:colOff>45720</xdr:colOff>
                <xdr:row>4</xdr:row>
                <xdr:rowOff>22860</xdr:rowOff>
              </to>
            </anchor>
          </objectPr>
        </oleObject>
      </mc:Choice>
      <mc:Fallback>
        <oleObject progId="Equation.3" shapeId="1027" r:id="rId4"/>
      </mc:Fallback>
    </mc:AlternateContent>
    <mc:AlternateContent xmlns:mc="http://schemas.openxmlformats.org/markup-compatibility/2006">
      <mc:Choice Requires="x14">
        <oleObject progId="Equation.3" shapeId="1035" r:id="rId6">
          <objectPr defaultSize="0" autoPict="0" r:id="rId7">
            <anchor moveWithCells="1">
              <from>
                <xdr:col>4</xdr:col>
                <xdr:colOff>22860</xdr:colOff>
                <xdr:row>13</xdr:row>
                <xdr:rowOff>7620</xdr:rowOff>
              </from>
              <to>
                <xdr:col>6</xdr:col>
                <xdr:colOff>251460</xdr:colOff>
                <xdr:row>16</xdr:row>
                <xdr:rowOff>7620</xdr:rowOff>
              </to>
            </anchor>
          </objectPr>
        </oleObject>
      </mc:Choice>
      <mc:Fallback>
        <oleObject progId="Equation.3" shapeId="1035" r:id="rId6"/>
      </mc:Fallback>
    </mc:AlternateContent>
    <mc:AlternateContent xmlns:mc="http://schemas.openxmlformats.org/markup-compatibility/2006">
      <mc:Choice Requires="x14">
        <oleObject progId="Equation.3" shapeId="1039" r:id="rId8">
          <objectPr defaultSize="0" autoPict="0" r:id="rId9">
            <anchor moveWithCells="1">
              <from>
                <xdr:col>3</xdr:col>
                <xdr:colOff>304800</xdr:colOff>
                <xdr:row>18</xdr:row>
                <xdr:rowOff>7620</xdr:rowOff>
              </from>
              <to>
                <xdr:col>7</xdr:col>
                <xdr:colOff>342900</xdr:colOff>
                <xdr:row>21</xdr:row>
                <xdr:rowOff>0</xdr:rowOff>
              </to>
            </anchor>
          </objectPr>
        </oleObject>
      </mc:Choice>
      <mc:Fallback>
        <oleObject progId="Equation.3" shapeId="1039" r:id="rId8"/>
      </mc:Fallback>
    </mc:AlternateContent>
  </oleObjects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4" r:id="rId10" name="Button 10">
              <controlPr defaultSize="0" print="0" autoFill="0" autoPict="0" macro="[0]!Macro25">
                <anchor moveWithCells="1" sizeWithCells="1">
                  <from>
                    <xdr:col>10</xdr:col>
                    <xdr:colOff>60960</xdr:colOff>
                    <xdr:row>0</xdr:row>
                    <xdr:rowOff>0</xdr:rowOff>
                  </from>
                  <to>
                    <xdr:col>10</xdr:col>
                    <xdr:colOff>518160</xdr:colOff>
                    <xdr:row>1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NRW Perm-Comp Excel Document" ma:contentTypeID="0x01010067EB80C5FE939D4A9B3D8BA62129B7F50202008CCE793214E2664BB64E0F84848AF54F" ma:contentTypeVersion="342" ma:contentTypeDescription="Permitting &amp; Compliance Excel Document" ma:contentTypeScope="" ma:versionID="9e35e492a0de610178b9ebf68b0c3272">
  <xsd:schema xmlns:xsd="http://www.w3.org/2001/XMLSchema" xmlns:xs="http://www.w3.org/2001/XMLSchema" xmlns:p="http://schemas.microsoft.com/office/2006/metadata/properties" xmlns:ns2="859f7ad6-93f6-4205-b62b-a17f28acbbac" xmlns:ns4="005db27c-c37f-4c3b-898d-3fee1249b087" targetNamespace="http://schemas.microsoft.com/office/2006/metadata/properties" ma:root="true" ma:fieldsID="3b061c3c1904a3b93977fc40acecb549" ns2:_="" ns4:_="">
    <xsd:import namespace="859f7ad6-93f6-4205-b62b-a17f28acbbac"/>
    <xsd:import namespace="005db27c-c37f-4c3b-898d-3fee1249b087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 minOccurs="0"/>
                <xsd:element ref="ns2:Process_x0020_Type" minOccurs="0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SharingHintHash" minOccurs="0"/>
                <xsd:element ref="ns4:SharedWithDetails" minOccurs="0"/>
                <xsd:element ref="ns4:SharedWithUser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dexed="true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Post licence compliance"/>
          <xsd:enumeration value="Pre-application"/>
          <xsd:enumeration value="Returns"/>
          <xsd:enumeration value="Waste returns"/>
        </xsd:restriction>
      </xsd:simpleType>
    </xsd:element>
    <xsd:element name="License_x002f_Activity_x0020_Type" ma:index="14" nillable="true" ma:displayName="License/Activity Type" ma:format="Dropdown" ma:hidden="true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</xsd:restriction>
      </xsd:simpleType>
    </xsd:element>
    <xsd:element name="Process_x0020_Type" ma:index="15" nillable="true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SharingHintHash" ma:index="24" nillable="true" ma:displayName="Sharing Hint Hash" ma:internalName="SharingHintHash" ma:readOnly="true">
      <xsd:simpleType>
        <xsd:restriction base="dms:Text"/>
      </xsd:simpleType>
    </xsd:element>
    <xsd:element name="SharedWithDetails" ma:index="2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edWithUsers" ma:index="2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>
  <documentManagement>
    <Site_x0020_Name xmlns="859f7ad6-93f6-4205-b62b-a17f28acbbac">Cog Moors Waste Water Treatment Works</Site_x0020_Name>
    <Internal_x002f_External xmlns="859f7ad6-93f6-4205-b62b-a17f28acbbac">Incoming document</Internal_x002f_External>
    <Document_x0020_Type xmlns="859f7ad6-93f6-4205-b62b-a17f28acbbac">Report</Document_x0020_Type>
    <Welsh_x0020_Local_x0020_Authority xmlns="859f7ad6-93f6-4205-b62b-a17f28acbbac">Vale of Glamorgan Council</Welsh_x0020_Local_x0020_Authority>
    <Disclosure_x0020_Status xmlns="859f7ad6-93f6-4205-b62b-a17f28acbbac">Public register</Disclosure_x0020_Status>
    <Addressee xmlns="859f7ad6-93f6-4205-b62b-a17f28acbbac">Maple Cross, Denham Way, Maple Cross, Rickmanworth, Hertfordshire, WD3 9SW</Addressee>
    <Process_x0020_Type xmlns="859f7ad6-93f6-4205-b62b-a17f28acbbac">Application</Process_x0020_Type>
    <License_x002f_Activity_x0020_Type xmlns="859f7ad6-93f6-4205-b62b-a17f28acbbac" xsi:nil="true"/>
    <Surrendered_x002f_Expired xmlns="859f7ad6-93f6-4205-b62b-a17f28acbbac" xsi:nil="true"/>
    <Document_x0020_Date xmlns="859f7ad6-93f6-4205-b62b-a17f28acbbac">2018-10-18T23:00:00+00:00</Document_x0020_Date>
    <Facility_x0020_Address xmlns="859f7ad6-93f6-4205-b62b-a17f28acbbac">Green Lane, Dinas Powys, Penarth</Facility_x0020_Address>
    <Environment_x0020_Sub_x0020_Folder xmlns="859f7ad6-93f6-4205-b62b-a17f28acbbac">Licences applications</Environment_x0020_Sub_x0020_Folder>
    <Customer_x0020_Name xmlns="859f7ad6-93f6-4205-b62b-a17f28acbbac">Skanska Construction Ltd</Customer_x0020_Name>
    <Post_x0020_code xmlns="859f7ad6-93f6-4205-b62b-a17f28acbbac">CF64 4TR</Post_x0020_code>
    <Surrendered_x002f_Expired_x0020_Date xmlns="859f7ad6-93f6-4205-b62b-a17f28acbbac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?mso-contentType ?>
<SharedContentType xmlns="Microsoft.SharePoint.Taxonomy.ContentTypeSync" SourceId="78499d3b-94a8-4059-8763-489d4400b14a" ContentTypeId="0x01010067EB80C5FE939D4A9B3D8BA62129B7F50202" PreviousValue="false"/>
</file>

<file path=customXml/item5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Props1.xml><?xml version="1.0" encoding="utf-8"?>
<ds:datastoreItem xmlns:ds="http://schemas.openxmlformats.org/officeDocument/2006/customXml" ds:itemID="{5454F12B-B116-4C64-928A-EB9C173A6DD5}"/>
</file>

<file path=customXml/itemProps2.xml><?xml version="1.0" encoding="utf-8"?>
<ds:datastoreItem xmlns:ds="http://schemas.openxmlformats.org/officeDocument/2006/customXml" ds:itemID="{74323379-A2AA-42A2-81CC-3BCB20D58163}">
  <ds:schemaRefs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purl.org/dc/dcmitype/"/>
    <ds:schemaRef ds:uri="http://schemas.microsoft.com/office/2006/documentManagement/types"/>
    <ds:schemaRef ds:uri="http://purl.org/dc/elements/1.1/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8451F03B-A593-4E22-9EF6-A9E2288BD872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5227F91C-A189-48F1-A649-3DB3910D256A}"/>
</file>

<file path=customXml/itemProps5.xml><?xml version="1.0" encoding="utf-8"?>
<ds:datastoreItem xmlns:ds="http://schemas.openxmlformats.org/officeDocument/2006/customXml" ds:itemID="{3F4592C1-9CE6-485E-9D3F-CB6B52226FF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19.Radius of inf -Sichardt (UC)</vt:lpstr>
      <vt:lpstr>21.Effective radius</vt:lpstr>
      <vt:lpstr>2.Dupuit_Theim (UC)</vt:lpstr>
      <vt:lpstr>'2.Dupuit_Theim (UC)'!Print_Area</vt:lpstr>
    </vt:vector>
  </TitlesOfParts>
  <Company>WMC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Application_supporting info_Dewatering HIA Tier 1 tools - Collection point A - FE pumping station</dc:title>
  <dc:creator>Bellis</dc:creator>
  <cp:lastModifiedBy>mary.beckett</cp:lastModifiedBy>
  <cp:lastPrinted>2005-04-08T09:49:01Z</cp:lastPrinted>
  <dcterms:created xsi:type="dcterms:W3CDTF">2005-01-14T13:42:17Z</dcterms:created>
  <dcterms:modified xsi:type="dcterms:W3CDTF">2018-10-24T11:30:46Z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0x01010067EB80C5FE939D4A9B3D8BA62129B7F50202008CCE793214E2664BB64E0F84848AF54F</vt:lpwstr>
  </property>
  <property fmtid="{D5CDD505-2E9C-101B-9397-08002B2CF9AE}" pid="3" name="_dlc_DocIdItemGuid">
    <vt:lpwstr>4b801ee1-a7b5-42a4-9e0d-7157a26595ba</vt:lpwstr>
  </property>
  <property fmtid="{D5CDD505-2E9C-101B-9397-08002B2CF9AE}" pid="4" name="_dlc_DocId">
    <vt:lpwstr>REGU-426-57419</vt:lpwstr>
  </property>
  <property fmtid="{D5CDD505-2E9C-101B-9397-08002B2CF9AE}" pid="6" name="_dlc_DocIdUrl">
    <vt:lpwstr>https://cyfoethnaturiolcymru.sharepoint.com/teams/Regulatory/Permitting/_layouts/15/DocIdRedir.aspx?ID=REGU-426-57419, REGU-426-57419</vt:lpwstr>
  </property>
  <property fmtid="{D5CDD505-2E9C-101B-9397-08002B2CF9AE}" pid="8" name="_docset_NoMedatataSyncRequired">
    <vt:lpwstr>False</vt:lpwstr>
  </property>
</Properties>
</file>