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612/"/>
    </mc:Choice>
  </mc:AlternateContent>
  <xr:revisionPtr revIDLastSave="0" documentId="13_ncr:1_{66D4A18B-4114-4F6E-B1B6-4A8947957B4F}"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I22" i="30"/>
  <c r="V18" i="30"/>
  <c r="T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U18" i="27"/>
  <c r="T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28" l="1"/>
  <c r="U63" i="30"/>
  <c r="T6" i="19"/>
  <c r="T20" i="19" s="1"/>
  <c r="U63" i="27"/>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V21" i="26"/>
  <c r="V17" i="26"/>
  <c r="V19" i="26" s="1"/>
  <c r="V20" i="26" s="1"/>
  <c r="C8" i="20"/>
  <c r="D8" i="19"/>
  <c r="D22" i="19" s="1"/>
  <c r="K8" i="20"/>
  <c r="L8" i="19"/>
  <c r="L22" i="19" s="1"/>
  <c r="S8" i="20"/>
  <c r="T8" i="19"/>
  <c r="T22" i="19" s="1"/>
  <c r="C59" i="29"/>
  <c r="D21" i="29"/>
  <c r="D23" i="29" s="1"/>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19" i="28" s="1"/>
  <c r="U20" i="28" s="1"/>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R19" i="21" s="1"/>
  <c r="R20" i="21" s="1"/>
  <c r="K59" i="22"/>
  <c r="L21" i="22"/>
  <c r="L23" i="22" s="1"/>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M20" i="27" s="1"/>
  <c r="T59" i="27"/>
  <c r="U17" i="27"/>
  <c r="U19" i="27" s="1"/>
  <c r="U20" i="27" s="1"/>
  <c r="S59" i="22"/>
  <c r="T21" i="22"/>
  <c r="T23" i="22" s="1"/>
  <c r="T17" i="22"/>
  <c r="G21" i="23"/>
  <c r="G23" i="23" s="1"/>
  <c r="G17" i="23"/>
  <c r="I9" i="20"/>
  <c r="J9" i="19"/>
  <c r="J23" i="19" s="1"/>
  <c r="R4" i="20"/>
  <c r="S4" i="19"/>
  <c r="S18" i="19" s="1"/>
  <c r="R11" i="20"/>
  <c r="S11" i="19"/>
  <c r="S25" i="19" s="1"/>
  <c r="I59" i="24"/>
  <c r="J21" i="24"/>
  <c r="J17" i="24"/>
  <c r="J19" i="24" s="1"/>
  <c r="Q59" i="24"/>
  <c r="R21" i="24"/>
  <c r="R23" i="24" s="1"/>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L23" i="23" s="1"/>
  <c r="M57" i="21"/>
  <c r="R59" i="21"/>
  <c r="S21" i="21"/>
  <c r="S23" i="21" s="1"/>
  <c r="S24" i="21" s="1"/>
  <c r="S17" i="21"/>
  <c r="J59" i="21"/>
  <c r="K21" i="21"/>
  <c r="K23" i="21" s="1"/>
  <c r="K24" i="21" s="1"/>
  <c r="K17" i="21"/>
  <c r="J59" i="22"/>
  <c r="K17" i="22"/>
  <c r="K21" i="22"/>
  <c r="R59" i="22"/>
  <c r="S17" i="22"/>
  <c r="S21" i="22"/>
  <c r="S23" i="22" s="1"/>
  <c r="D59" i="23"/>
  <c r="E17" i="23"/>
  <c r="E21" i="23"/>
  <c r="E23" i="23" s="1"/>
  <c r="L59" i="23"/>
  <c r="M17" i="23"/>
  <c r="M19" i="23" s="1"/>
  <c r="M21" i="23"/>
  <c r="T59" i="23"/>
  <c r="U17" i="23"/>
  <c r="U19" i="23" s="1"/>
  <c r="U21" i="23"/>
  <c r="U23" i="23" s="1"/>
  <c r="H21" i="24"/>
  <c r="H17" i="24"/>
  <c r="H19" i="24" s="1"/>
  <c r="P17" i="24"/>
  <c r="P21" i="24"/>
  <c r="P23" i="24" s="1"/>
  <c r="C59" i="26"/>
  <c r="D21" i="26"/>
  <c r="D23" i="26" s="1"/>
  <c r="D24" i="26" s="1"/>
  <c r="D17" i="26"/>
  <c r="D19" i="26" s="1"/>
  <c r="D20" i="26" s="1"/>
  <c r="K59" i="26"/>
  <c r="L21" i="26"/>
  <c r="L17" i="26"/>
  <c r="L19" i="26" s="1"/>
  <c r="L20" i="26" s="1"/>
  <c r="S59" i="26"/>
  <c r="T21" i="26"/>
  <c r="T17" i="26"/>
  <c r="N63" i="26"/>
  <c r="J59" i="27"/>
  <c r="K17" i="27"/>
  <c r="K19" i="27" s="1"/>
  <c r="K20" i="27" s="1"/>
  <c r="R59" i="27"/>
  <c r="S17" i="27"/>
  <c r="S19" i="27" s="1"/>
  <c r="S20" i="27" s="1"/>
  <c r="J59" i="28"/>
  <c r="K17" i="28"/>
  <c r="K21" i="28"/>
  <c r="R59" i="28"/>
  <c r="S17" i="28"/>
  <c r="S21" i="28"/>
  <c r="S23" i="28" s="1"/>
  <c r="S24" i="28" s="1"/>
  <c r="I59" i="29"/>
  <c r="J17" i="29"/>
  <c r="J19" i="29" s="1"/>
  <c r="J21" i="29"/>
  <c r="Q59" i="29"/>
  <c r="R21" i="29"/>
  <c r="R23" i="29" s="1"/>
  <c r="R17" i="29"/>
  <c r="H59" i="30"/>
  <c r="I17" i="30"/>
  <c r="I19" i="30" s="1"/>
  <c r="I20" i="30" s="1"/>
  <c r="I21" i="30"/>
  <c r="I23" i="30" s="1"/>
  <c r="I24" i="30" s="1"/>
  <c r="Q17" i="30"/>
  <c r="Q19" i="30" s="1"/>
  <c r="Q20"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23" i="23" s="1"/>
  <c r="N17" i="23"/>
  <c r="N19" i="23" s="1"/>
  <c r="U59" i="23"/>
  <c r="V21" i="23"/>
  <c r="V23" i="23" s="1"/>
  <c r="V17" i="23"/>
  <c r="I17" i="24"/>
  <c r="I19" i="24" s="1"/>
  <c r="I21" i="24"/>
  <c r="Q17" i="24"/>
  <c r="Q19" i="24" s="1"/>
  <c r="Q21" i="24"/>
  <c r="Q23" i="24" s="1"/>
  <c r="D59" i="26"/>
  <c r="E21" i="26"/>
  <c r="E17" i="26"/>
  <c r="E19" i="26" s="1"/>
  <c r="E20" i="26" s="1"/>
  <c r="L59" i="26"/>
  <c r="M21" i="26"/>
  <c r="M23" i="26" s="1"/>
  <c r="M24" i="26" s="1"/>
  <c r="M17" i="26"/>
  <c r="T59" i="26"/>
  <c r="U21" i="26"/>
  <c r="U23" i="26" s="1"/>
  <c r="U24" i="26" s="1"/>
  <c r="U17" i="26"/>
  <c r="U19" i="26" s="1"/>
  <c r="U20" i="26" s="1"/>
  <c r="C59" i="27"/>
  <c r="D17" i="27"/>
  <c r="D19" i="27" s="1"/>
  <c r="D20" i="27" s="1"/>
  <c r="K59" i="27"/>
  <c r="L17" i="27"/>
  <c r="L19" i="27" s="1"/>
  <c r="L20" i="27" s="1"/>
  <c r="S59" i="27"/>
  <c r="T17" i="27"/>
  <c r="T19" i="27" s="1"/>
  <c r="T20" i="27" s="1"/>
  <c r="C59" i="28"/>
  <c r="D21" i="28"/>
  <c r="D23" i="28" s="1"/>
  <c r="D24" i="28" s="1"/>
  <c r="D17" i="28"/>
  <c r="D19" i="28" s="1"/>
  <c r="D20" i="28" s="1"/>
  <c r="K59" i="28"/>
  <c r="L21" i="28"/>
  <c r="L17" i="28"/>
  <c r="L19" i="28" s="1"/>
  <c r="L20" i="28" s="1"/>
  <c r="S59" i="28"/>
  <c r="T21" i="28"/>
  <c r="T17" i="28"/>
  <c r="T19" i="28" s="1"/>
  <c r="T20" i="28" s="1"/>
  <c r="J59" i="29"/>
  <c r="K17" i="29"/>
  <c r="K19" i="29" s="1"/>
  <c r="K21" i="29"/>
  <c r="K23"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23" i="24" s="1"/>
  <c r="K17" i="24"/>
  <c r="K19" i="24" s="1"/>
  <c r="R59" i="24"/>
  <c r="S21" i="24"/>
  <c r="S23" i="24" s="1"/>
  <c r="S17" i="24"/>
  <c r="G21" i="26"/>
  <c r="G23" i="26" s="1"/>
  <c r="G24" i="26" s="1"/>
  <c r="G17" i="26"/>
  <c r="O17" i="26"/>
  <c r="O19" i="26" s="1"/>
  <c r="O20" i="26" s="1"/>
  <c r="O21" i="26"/>
  <c r="E59" i="27"/>
  <c r="F17" i="27"/>
  <c r="F19" i="27" s="1"/>
  <c r="F20" i="27" s="1"/>
  <c r="M59" i="27"/>
  <c r="N17" i="27"/>
  <c r="N19" i="27" s="1"/>
  <c r="N20" i="27" s="1"/>
  <c r="U59" i="27"/>
  <c r="V17" i="27"/>
  <c r="E59" i="28"/>
  <c r="F17" i="28"/>
  <c r="F19" i="28" s="1"/>
  <c r="F20" i="28" s="1"/>
  <c r="F21" i="28"/>
  <c r="F23" i="28" s="1"/>
  <c r="F24" i="28" s="1"/>
  <c r="M59" i="28"/>
  <c r="N17" i="28"/>
  <c r="N19" i="28" s="1"/>
  <c r="N20" i="28" s="1"/>
  <c r="N21" i="28"/>
  <c r="N23" i="28" s="1"/>
  <c r="N24" i="28" s="1"/>
  <c r="U59" i="28"/>
  <c r="V17" i="28"/>
  <c r="V21" i="28"/>
  <c r="D59" i="29"/>
  <c r="E17" i="29"/>
  <c r="E19" i="29" s="1"/>
  <c r="E21" i="29"/>
  <c r="E23"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0" i="30" s="1"/>
  <c r="S21" i="30"/>
  <c r="A34" i="21"/>
  <c r="N59" i="21"/>
  <c r="N64" i="21" s="1"/>
  <c r="O21" i="21"/>
  <c r="O23" i="21" s="1"/>
  <c r="O24" i="21" s="1"/>
  <c r="O17" i="21"/>
  <c r="O19" i="21" s="1"/>
  <c r="O20" i="21" s="1"/>
  <c r="F59" i="21"/>
  <c r="G21" i="21"/>
  <c r="G23" i="21" s="1"/>
  <c r="G24" i="21" s="1"/>
  <c r="G17" i="21"/>
  <c r="G19" i="21" s="1"/>
  <c r="G20" i="21" s="1"/>
  <c r="G17" i="22"/>
  <c r="G21" i="22"/>
  <c r="G23" i="22" s="1"/>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24" i="26" s="1"/>
  <c r="H17" i="26"/>
  <c r="H19" i="26" s="1"/>
  <c r="H20" i="26" s="1"/>
  <c r="P21" i="26"/>
  <c r="P23" i="26" s="1"/>
  <c r="P24" i="26" s="1"/>
  <c r="P17" i="26"/>
  <c r="F59" i="28"/>
  <c r="G17" i="28"/>
  <c r="G19" i="28" s="1"/>
  <c r="G20" i="28" s="1"/>
  <c r="G21" i="28"/>
  <c r="G23" i="28" s="1"/>
  <c r="G24" i="28" s="1"/>
  <c r="N59" i="28"/>
  <c r="O17" i="28"/>
  <c r="O19" i="28" s="1"/>
  <c r="O20" i="28" s="1"/>
  <c r="O21" i="28"/>
  <c r="E59" i="29"/>
  <c r="F17" i="29"/>
  <c r="F19" i="29" s="1"/>
  <c r="F21" i="29"/>
  <c r="F23" i="29" s="1"/>
  <c r="M59" i="29"/>
  <c r="N17" i="29"/>
  <c r="N21" i="29"/>
  <c r="N23" i="29" s="1"/>
  <c r="U59" i="29"/>
  <c r="V17" i="29"/>
  <c r="V21" i="29"/>
  <c r="V23" i="29" s="1"/>
  <c r="D59" i="30"/>
  <c r="E17" i="30"/>
  <c r="E19" i="30" s="1"/>
  <c r="E20" i="30" s="1"/>
  <c r="E21" i="30"/>
  <c r="E23" i="30" s="1"/>
  <c r="E24" i="30" s="1"/>
  <c r="L59" i="30"/>
  <c r="M17" i="30"/>
  <c r="M19" i="30" s="1"/>
  <c r="M20" i="30" s="1"/>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17" i="23"/>
  <c r="R19" i="23" s="1"/>
  <c r="D59" i="24"/>
  <c r="E17" i="24"/>
  <c r="E19" i="24" s="1"/>
  <c r="E21" i="24"/>
  <c r="E23" i="24" s="1"/>
  <c r="L59" i="24"/>
  <c r="M17" i="24"/>
  <c r="M19" i="24" s="1"/>
  <c r="M21" i="24"/>
  <c r="M23" i="24" s="1"/>
  <c r="T59" i="24"/>
  <c r="U21" i="24"/>
  <c r="U17" i="24"/>
  <c r="H59" i="26"/>
  <c r="H64" i="26" s="1"/>
  <c r="I17" i="26"/>
  <c r="I21" i="26"/>
  <c r="I23" i="26" s="1"/>
  <c r="I24" i="26" s="1"/>
  <c r="P59" i="26"/>
  <c r="Q17" i="26"/>
  <c r="Q19" i="26" s="1"/>
  <c r="Q20" i="26" s="1"/>
  <c r="Q21" i="26"/>
  <c r="E63" i="26"/>
  <c r="H17" i="27"/>
  <c r="P17" i="27"/>
  <c r="P19" i="27" s="1"/>
  <c r="P20" i="27" s="1"/>
  <c r="H21" i="28"/>
  <c r="H23" i="28" s="1"/>
  <c r="H24" i="28" s="1"/>
  <c r="H17" i="28"/>
  <c r="P21" i="28"/>
  <c r="P23" i="28" s="1"/>
  <c r="P24" i="28" s="1"/>
  <c r="P17" i="28"/>
  <c r="P19" i="28" s="1"/>
  <c r="P20" i="28" s="1"/>
  <c r="G17" i="29"/>
  <c r="G21" i="29"/>
  <c r="G23" i="29" s="1"/>
  <c r="O17" i="29"/>
  <c r="O21" i="29"/>
  <c r="O23" i="29" s="1"/>
  <c r="E59" i="30"/>
  <c r="F21" i="30"/>
  <c r="F23" i="30" s="1"/>
  <c r="F24" i="30" s="1"/>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17" i="22"/>
  <c r="T59" i="21"/>
  <c r="U17" i="21"/>
  <c r="U19" i="21" s="1"/>
  <c r="U20" i="21" s="1"/>
  <c r="U21" i="21"/>
  <c r="U23" i="21" s="1"/>
  <c r="U24" i="21" s="1"/>
  <c r="M17" i="21"/>
  <c r="M19" i="21" s="1"/>
  <c r="M20" i="21" s="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H21" i="29"/>
  <c r="H23" i="29" s="1"/>
  <c r="H17" i="29"/>
  <c r="H19" i="29" s="1"/>
  <c r="P21" i="29"/>
  <c r="P23" i="29" s="1"/>
  <c r="P17" i="29"/>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0" i="26" s="1"/>
  <c r="K21" i="26"/>
  <c r="K23" i="26" s="1"/>
  <c r="K24" i="26" s="1"/>
  <c r="R59" i="26"/>
  <c r="S17" i="26"/>
  <c r="S19" i="26" s="1"/>
  <c r="S20" i="26" s="1"/>
  <c r="S21" i="26"/>
  <c r="S23" i="26" s="1"/>
  <c r="S24" i="26" s="1"/>
  <c r="M63" i="26"/>
  <c r="I59" i="27"/>
  <c r="J17" i="27"/>
  <c r="J19" i="27" s="1"/>
  <c r="J20" i="27" s="1"/>
  <c r="Q59" i="27"/>
  <c r="R17" i="27"/>
  <c r="R19" i="27" s="1"/>
  <c r="R20" i="27" s="1"/>
  <c r="I59" i="28"/>
  <c r="J17" i="28"/>
  <c r="J19" i="28" s="1"/>
  <c r="J20" i="28" s="1"/>
  <c r="J21" i="28"/>
  <c r="J23" i="28" s="1"/>
  <c r="J24" i="28" s="1"/>
  <c r="Q59" i="28"/>
  <c r="R21" i="28"/>
  <c r="R23" i="28" s="1"/>
  <c r="R24" i="28" s="1"/>
  <c r="R17" i="28"/>
  <c r="I21" i="29"/>
  <c r="I23" i="29" s="1"/>
  <c r="I17" i="29"/>
  <c r="I19" i="29" s="1"/>
  <c r="Q21" i="29"/>
  <c r="Q23" i="29" s="1"/>
  <c r="Q17" i="29"/>
  <c r="Q19" i="29" s="1"/>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D64" i="30" s="1"/>
  <c r="L58" i="30"/>
  <c r="L61" i="30" s="1"/>
  <c r="L64" i="30" s="1"/>
  <c r="L65" i="30" s="1"/>
  <c r="R58" i="23"/>
  <c r="R61" i="23" s="1"/>
  <c r="H21" i="27"/>
  <c r="H23" i="27" s="1"/>
  <c r="H24" i="27" s="1"/>
  <c r="P21" i="27"/>
  <c r="P23" i="27" s="1"/>
  <c r="P24" i="27" s="1"/>
  <c r="J58" i="22"/>
  <c r="J61" i="22" s="1"/>
  <c r="J58" i="26"/>
  <c r="J61" i="26" s="1"/>
  <c r="J58" i="27"/>
  <c r="J61" i="27" s="1"/>
  <c r="J64" i="27" s="1"/>
  <c r="R58" i="27"/>
  <c r="R61" i="27" s="1"/>
  <c r="R58" i="28"/>
  <c r="R61" i="28" s="1"/>
  <c r="R64" i="28" s="1"/>
  <c r="F58" i="22"/>
  <c r="F61" i="22" s="1"/>
  <c r="N58" i="22"/>
  <c r="N61" i="22" s="1"/>
  <c r="F58" i="23"/>
  <c r="F61" i="23" s="1"/>
  <c r="N58" i="23"/>
  <c r="N61" i="23" s="1"/>
  <c r="L21" i="27"/>
  <c r="L23" i="27" s="1"/>
  <c r="L24" i="27" s="1"/>
  <c r="T21" i="27"/>
  <c r="T23" i="27" s="1"/>
  <c r="T24" i="27" s="1"/>
  <c r="H57" i="29"/>
  <c r="P58" i="21"/>
  <c r="P61" i="21" s="1"/>
  <c r="H58" i="21"/>
  <c r="H61" i="21" s="1"/>
  <c r="N59" i="23"/>
  <c r="R58" i="26"/>
  <c r="R61" i="26" s="1"/>
  <c r="R57" i="21"/>
  <c r="H58" i="22"/>
  <c r="H61" i="22" s="1"/>
  <c r="H64" i="22" s="1"/>
  <c r="H65" i="22" s="1"/>
  <c r="P58" i="22"/>
  <c r="P61" i="22" s="1"/>
  <c r="F59" i="22"/>
  <c r="K58" i="29"/>
  <c r="K61" i="29" s="1"/>
  <c r="I58" i="23"/>
  <c r="I61" i="23" s="1"/>
  <c r="I64" i="23" s="1"/>
  <c r="I65" i="23" s="1"/>
  <c r="Q58" i="23"/>
  <c r="Q61" i="23" s="1"/>
  <c r="L58" i="29"/>
  <c r="L61" i="29" s="1"/>
  <c r="T58" i="29"/>
  <c r="T61" i="29" s="1"/>
  <c r="T64" i="29" s="1"/>
  <c r="T65" i="29" s="1"/>
  <c r="Q23" i="30"/>
  <c r="Q24" i="30" s="1"/>
  <c r="J58" i="28"/>
  <c r="J61" i="28" s="1"/>
  <c r="J64" i="28" s="1"/>
  <c r="R58" i="22"/>
  <c r="R61" i="22" s="1"/>
  <c r="R64" i="22" s="1"/>
  <c r="R65" i="22" s="1"/>
  <c r="J58" i="23"/>
  <c r="J61" i="23" s="1"/>
  <c r="J58" i="24"/>
  <c r="J61"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J58" i="30"/>
  <c r="J61" i="30" s="1"/>
  <c r="J64" i="30" s="1"/>
  <c r="R58" i="30"/>
  <c r="R61" i="30" s="1"/>
  <c r="P57" i="30"/>
  <c r="J57" i="21"/>
  <c r="H59" i="21"/>
  <c r="Q23" i="22"/>
  <c r="R21" i="27"/>
  <c r="R23" i="27" s="1"/>
  <c r="R24" i="27" s="1"/>
  <c r="E58" i="27"/>
  <c r="E61" i="27" s="1"/>
  <c r="M58" i="27"/>
  <c r="M61" i="27" s="1"/>
  <c r="U58" i="27"/>
  <c r="U61" i="27" s="1"/>
  <c r="I58" i="29"/>
  <c r="I61" i="29" s="1"/>
  <c r="I64" i="29" s="1"/>
  <c r="I65" i="29" s="1"/>
  <c r="Q58" i="29"/>
  <c r="Q61"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R65" i="29" s="1"/>
  <c r="P57" i="29"/>
  <c r="L23" i="30"/>
  <c r="L24" i="30" s="1"/>
  <c r="T23" i="30"/>
  <c r="T24" i="30" s="1"/>
  <c r="G58" i="30"/>
  <c r="G61" i="30" s="1"/>
  <c r="O58" i="30"/>
  <c r="O61" i="30" s="1"/>
  <c r="Q57" i="30"/>
  <c r="A36" i="22"/>
  <c r="G58" i="27"/>
  <c r="G61" i="27" s="1"/>
  <c r="T58" i="28"/>
  <c r="T61" i="28" s="1"/>
  <c r="T64" i="28" s="1"/>
  <c r="C58" i="29"/>
  <c r="C61" i="29" s="1"/>
  <c r="H58" i="30"/>
  <c r="H61" i="30" s="1"/>
  <c r="H64"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U65" i="23" s="1"/>
  <c r="V19" i="23"/>
  <c r="F58" i="24"/>
  <c r="F61" i="24" s="1"/>
  <c r="N58" i="24"/>
  <c r="N61" i="24" s="1"/>
  <c r="F59" i="24"/>
  <c r="I58" i="27"/>
  <c r="I61" i="27" s="1"/>
  <c r="Q58" i="27"/>
  <c r="Q61"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P20" i="21" s="1"/>
  <c r="P23" i="22"/>
  <c r="C58" i="22"/>
  <c r="C61" i="22" s="1"/>
  <c r="K58" i="22"/>
  <c r="K61" i="22" s="1"/>
  <c r="K64" i="22" s="1"/>
  <c r="K65" i="22" s="1"/>
  <c r="S58" i="22"/>
  <c r="S61" i="22" s="1"/>
  <c r="S64" i="22" s="1"/>
  <c r="S65" i="22" s="1"/>
  <c r="F57" i="23"/>
  <c r="L23" i="24"/>
  <c r="T23" i="24"/>
  <c r="G58" i="24"/>
  <c r="G61" i="24" s="1"/>
  <c r="O58" i="24"/>
  <c r="O61" i="24" s="1"/>
  <c r="N59" i="24"/>
  <c r="C58" i="26"/>
  <c r="C61" i="26" s="1"/>
  <c r="C64" i="26" s="1"/>
  <c r="K58" i="26"/>
  <c r="K61" i="26" s="1"/>
  <c r="S58" i="26"/>
  <c r="S61" i="26" s="1"/>
  <c r="S64" i="26"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P58" i="30"/>
  <c r="P61" i="30" s="1"/>
  <c r="Q58" i="21"/>
  <c r="Q61"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Q24" i="26" s="1"/>
  <c r="D58" i="26"/>
  <c r="D61" i="26" s="1"/>
  <c r="L58" i="26"/>
  <c r="L61" i="26" s="1"/>
  <c r="L64" i="26" s="1"/>
  <c r="L65" i="26" s="1"/>
  <c r="T58" i="26"/>
  <c r="T61" i="26" s="1"/>
  <c r="F57" i="26"/>
  <c r="C58" i="27"/>
  <c r="C61" i="27" s="1"/>
  <c r="C64"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G57" i="21"/>
  <c r="J19" i="22"/>
  <c r="E58" i="22"/>
  <c r="E61" i="22" s="1"/>
  <c r="E64" i="22" s="1"/>
  <c r="E65" i="22" s="1"/>
  <c r="M58" i="22"/>
  <c r="M61" i="22" s="1"/>
  <c r="M64" i="22" s="1"/>
  <c r="M65" i="22" s="1"/>
  <c r="U58" i="22"/>
  <c r="U61" i="22" s="1"/>
  <c r="A45" i="22"/>
  <c r="O57" i="22"/>
  <c r="H58" i="23"/>
  <c r="H61" i="23" s="1"/>
  <c r="H64" i="23" s="1"/>
  <c r="H65" i="23" s="1"/>
  <c r="P58" i="23"/>
  <c r="P61" i="23" s="1"/>
  <c r="I58" i="24"/>
  <c r="I61" i="24" s="1"/>
  <c r="Q58" i="24"/>
  <c r="Q61" i="24" s="1"/>
  <c r="Q64" i="24" s="1"/>
  <c r="Q65" i="24" s="1"/>
  <c r="E58" i="26"/>
  <c r="E61" i="26" s="1"/>
  <c r="M58" i="26"/>
  <c r="M61" i="26" s="1"/>
  <c r="M64" i="26" s="1"/>
  <c r="U58" i="26"/>
  <c r="U61" i="26" s="1"/>
  <c r="N57" i="26"/>
  <c r="P59" i="27"/>
  <c r="I58" i="28"/>
  <c r="I61" i="28" s="1"/>
  <c r="I64" i="28" s="1"/>
  <c r="Q58" i="28"/>
  <c r="Q61" i="28" s="1"/>
  <c r="H58" i="29"/>
  <c r="H61" i="29" s="1"/>
  <c r="P58" i="29"/>
  <c r="P61" i="29" s="1"/>
  <c r="E58" i="30"/>
  <c r="E61" i="30" s="1"/>
  <c r="M58" i="30"/>
  <c r="M61" i="30" s="1"/>
  <c r="U58" i="30"/>
  <c r="U61" i="30" s="1"/>
  <c r="U64"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R20" i="30" s="1"/>
  <c r="F63" i="30"/>
  <c r="N63" i="30"/>
  <c r="S23" i="30"/>
  <c r="S24" i="30" s="1"/>
  <c r="A31" i="30"/>
  <c r="A33" i="30"/>
  <c r="A39" i="30"/>
  <c r="A41" i="30"/>
  <c r="A47" i="30"/>
  <c r="A49" i="30"/>
  <c r="G57" i="30"/>
  <c r="O57" i="30"/>
  <c r="G59" i="30"/>
  <c r="O59" i="30"/>
  <c r="G63" i="30"/>
  <c r="O63" i="30"/>
  <c r="P63" i="30"/>
  <c r="I63" i="30"/>
  <c r="Q63" i="30"/>
  <c r="T19" i="30"/>
  <c r="T20" i="30" s="1"/>
  <c r="V19" i="30"/>
  <c r="V20" i="30" s="1"/>
  <c r="B63" i="30"/>
  <c r="J63" i="30"/>
  <c r="R63" i="30"/>
  <c r="A32" i="30"/>
  <c r="A34" i="30"/>
  <c r="A40" i="30"/>
  <c r="A42" i="30"/>
  <c r="A48" i="30"/>
  <c r="A50" i="30"/>
  <c r="C63" i="30"/>
  <c r="K63" i="30"/>
  <c r="S63" i="30"/>
  <c r="D63" i="30"/>
  <c r="L63" i="30"/>
  <c r="T63" i="30"/>
  <c r="H63" i="30"/>
  <c r="E63" i="30"/>
  <c r="M63" i="30"/>
  <c r="T19" i="29"/>
  <c r="P63" i="29"/>
  <c r="R19" i="29"/>
  <c r="J23" i="29"/>
  <c r="F57" i="29"/>
  <c r="N57" i="29"/>
  <c r="F59" i="29"/>
  <c r="N59" i="29"/>
  <c r="F63" i="29"/>
  <c r="N63" i="29"/>
  <c r="H63" i="29"/>
  <c r="S19" i="29"/>
  <c r="S23" i="29"/>
  <c r="A31" i="29"/>
  <c r="A33" i="29"/>
  <c r="A39" i="29"/>
  <c r="A41" i="29"/>
  <c r="A47" i="29"/>
  <c r="A49" i="29"/>
  <c r="G57" i="29"/>
  <c r="O57" i="29"/>
  <c r="G59" i="29"/>
  <c r="O59" i="29"/>
  <c r="G63" i="29"/>
  <c r="O63" i="29"/>
  <c r="M19" i="29"/>
  <c r="U19" i="29"/>
  <c r="M23" i="29"/>
  <c r="U23" i="29"/>
  <c r="I57" i="29"/>
  <c r="Q57" i="29"/>
  <c r="I63" i="29"/>
  <c r="Q63" i="29"/>
  <c r="N19" i="29"/>
  <c r="V19" i="29"/>
  <c r="B63" i="29"/>
  <c r="J63" i="29"/>
  <c r="R63" i="29"/>
  <c r="G19" i="29"/>
  <c r="O19" i="29"/>
  <c r="A32" i="29"/>
  <c r="A34" i="29"/>
  <c r="A40" i="29"/>
  <c r="A42" i="29"/>
  <c r="A48" i="29"/>
  <c r="A50" i="29"/>
  <c r="C63" i="29"/>
  <c r="K63" i="29"/>
  <c r="S63" i="29"/>
  <c r="P19" i="29"/>
  <c r="D63" i="29"/>
  <c r="L63" i="29"/>
  <c r="T63" i="29"/>
  <c r="E63" i="29"/>
  <c r="M63" i="29"/>
  <c r="K19" i="28"/>
  <c r="K20" i="28" s="1"/>
  <c r="S19" i="28"/>
  <c r="S20" i="28" s="1"/>
  <c r="K23" i="28"/>
  <c r="K24" i="28" s="1"/>
  <c r="A31" i="28"/>
  <c r="A33" i="28"/>
  <c r="A37" i="28"/>
  <c r="A39" i="28"/>
  <c r="A41" i="28"/>
  <c r="A45" i="28"/>
  <c r="A47" i="28"/>
  <c r="A49" i="28"/>
  <c r="G57" i="28"/>
  <c r="O57" i="28"/>
  <c r="G59" i="28"/>
  <c r="O59" i="28"/>
  <c r="G63" i="28"/>
  <c r="O63" i="28"/>
  <c r="L23" i="28"/>
  <c r="L24" i="28" s="1"/>
  <c r="T23" i="28"/>
  <c r="T24" i="28" s="1"/>
  <c r="H59" i="28"/>
  <c r="P59" i="28"/>
  <c r="H63" i="28"/>
  <c r="P63" i="28"/>
  <c r="M19" i="28"/>
  <c r="M20" i="28" s="1"/>
  <c r="M23" i="28"/>
  <c r="M24" i="28" s="1"/>
  <c r="I57" i="28"/>
  <c r="Q57" i="28"/>
  <c r="I63" i="28"/>
  <c r="Q63" i="28"/>
  <c r="R19" i="28"/>
  <c r="R20" i="28" s="1"/>
  <c r="V19" i="28"/>
  <c r="V20"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Q20" i="27" s="1"/>
  <c r="E63" i="27"/>
  <c r="M63" i="27"/>
  <c r="O23" i="26"/>
  <c r="O24" i="26" s="1"/>
  <c r="J23" i="26"/>
  <c r="J24" i="26" s="1"/>
  <c r="C19" i="26"/>
  <c r="C20" i="26" s="1"/>
  <c r="A31" i="26"/>
  <c r="A33" i="26"/>
  <c r="A37" i="26"/>
  <c r="A39" i="26"/>
  <c r="A41" i="26"/>
  <c r="A45" i="26"/>
  <c r="A47" i="26"/>
  <c r="A49" i="26"/>
  <c r="G57" i="26"/>
  <c r="O57" i="26"/>
  <c r="G59" i="26"/>
  <c r="O59" i="26"/>
  <c r="G63" i="26"/>
  <c r="O63" i="26"/>
  <c r="T19" i="26"/>
  <c r="T20" i="26" s="1"/>
  <c r="L23" i="26"/>
  <c r="L24" i="26" s="1"/>
  <c r="T23" i="26"/>
  <c r="T24" i="26" s="1"/>
  <c r="H63" i="26"/>
  <c r="P63" i="26"/>
  <c r="M19" i="26"/>
  <c r="M20" i="26" s="1"/>
  <c r="E23" i="26"/>
  <c r="E24" i="26" s="1"/>
  <c r="I57" i="26"/>
  <c r="Q57" i="26"/>
  <c r="I59" i="26"/>
  <c r="Q59" i="26"/>
  <c r="Q64" i="26" s="1"/>
  <c r="I63" i="26"/>
  <c r="Q63" i="26"/>
  <c r="V23" i="26"/>
  <c r="V24" i="26" s="1"/>
  <c r="B63" i="26"/>
  <c r="J63" i="26"/>
  <c r="R63" i="26"/>
  <c r="G19" i="26"/>
  <c r="G20" i="26" s="1"/>
  <c r="A32" i="26"/>
  <c r="A34" i="26"/>
  <c r="A40" i="26"/>
  <c r="A42" i="26"/>
  <c r="A48" i="26"/>
  <c r="A50" i="26"/>
  <c r="C63" i="26"/>
  <c r="K63" i="26"/>
  <c r="S63" i="26"/>
  <c r="P19" i="26"/>
  <c r="P20" i="26" s="1"/>
  <c r="D63" i="26"/>
  <c r="L63" i="26"/>
  <c r="I19" i="26"/>
  <c r="I20" i="26" s="1"/>
  <c r="J23" i="24"/>
  <c r="H23" i="24"/>
  <c r="S19" i="24"/>
  <c r="A31" i="24"/>
  <c r="A33" i="24"/>
  <c r="A37" i="24"/>
  <c r="A39" i="24"/>
  <c r="A41" i="24"/>
  <c r="A45" i="24"/>
  <c r="A47" i="24"/>
  <c r="A49" i="24"/>
  <c r="G57" i="24"/>
  <c r="O57" i="24"/>
  <c r="G59" i="24"/>
  <c r="O59" i="24"/>
  <c r="G63" i="24"/>
  <c r="O63" i="24"/>
  <c r="H59" i="24"/>
  <c r="P59" i="24"/>
  <c r="H63" i="24"/>
  <c r="P63" i="24"/>
  <c r="U19" i="24"/>
  <c r="U23" i="24"/>
  <c r="I57" i="24"/>
  <c r="Q57" i="24"/>
  <c r="I63" i="24"/>
  <c r="Q63" i="24"/>
  <c r="F23" i="24"/>
  <c r="V23" i="24"/>
  <c r="B63" i="24"/>
  <c r="J63" i="24"/>
  <c r="R63" i="24"/>
  <c r="O19" i="24"/>
  <c r="A32" i="24"/>
  <c r="A34" i="24"/>
  <c r="A40" i="24"/>
  <c r="A42" i="24"/>
  <c r="A48" i="24"/>
  <c r="A50" i="24"/>
  <c r="C63" i="24"/>
  <c r="K63" i="24"/>
  <c r="S6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T23" i="23"/>
  <c r="E19" i="23"/>
  <c r="M23" i="23"/>
  <c r="I57" i="23"/>
  <c r="Q57" i="23"/>
  <c r="G19"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K23" i="22"/>
  <c r="A31" i="22"/>
  <c r="A33" i="22"/>
  <c r="A41" i="22"/>
  <c r="A47" i="22"/>
  <c r="M19" i="22"/>
  <c r="E23" i="22"/>
  <c r="U23" i="22"/>
  <c r="I57" i="22"/>
  <c r="Q57" i="22"/>
  <c r="K19" i="22"/>
  <c r="A39" i="22"/>
  <c r="A49" i="22"/>
  <c r="V19" i="22"/>
  <c r="V23" i="22"/>
  <c r="G19" i="22"/>
  <c r="A32" i="22"/>
  <c r="A34" i="22"/>
  <c r="A40" i="22"/>
  <c r="A42" i="22"/>
  <c r="A48" i="22"/>
  <c r="A50" i="22"/>
  <c r="P19" i="22"/>
  <c r="F23" i="21"/>
  <c r="F24" i="21" s="1"/>
  <c r="A33" i="21"/>
  <c r="A37" i="21"/>
  <c r="A41" i="21"/>
  <c r="A45" i="21"/>
  <c r="A49" i="21"/>
  <c r="E58" i="21"/>
  <c r="E61" i="21" s="1"/>
  <c r="M58" i="21"/>
  <c r="M61" i="21" s="1"/>
  <c r="U58" i="21"/>
  <c r="U61" i="21" s="1"/>
  <c r="U64" i="21" s="1"/>
  <c r="S19" i="21"/>
  <c r="S20" i="21" s="1"/>
  <c r="I23" i="21"/>
  <c r="I24" i="21" s="1"/>
  <c r="M23" i="21"/>
  <c r="M24" i="21" s="1"/>
  <c r="C57" i="21"/>
  <c r="K57" i="21"/>
  <c r="S57" i="21"/>
  <c r="Q19" i="21"/>
  <c r="Q20" i="21" s="1"/>
  <c r="J23" i="21"/>
  <c r="J24" i="21" s="1"/>
  <c r="R23" i="21"/>
  <c r="R24" i="21" s="1"/>
  <c r="I19" i="21"/>
  <c r="I20" i="21" s="1"/>
  <c r="L19" i="21"/>
  <c r="L20" i="21" s="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1" l="1"/>
  <c r="H65" i="30"/>
  <c r="Q65" i="30"/>
  <c r="B64" i="30"/>
  <c r="B65" i="30" s="1"/>
  <c r="C64" i="29"/>
  <c r="C65" i="29" s="1"/>
  <c r="C64" i="30"/>
  <c r="C66" i="30" s="1"/>
  <c r="C64" i="22"/>
  <c r="C65" i="22" s="1"/>
  <c r="D64" i="24"/>
  <c r="D65" i="24" s="1"/>
  <c r="F64" i="26"/>
  <c r="F65" i="26" s="1"/>
  <c r="E64" i="30"/>
  <c r="E65" i="30" s="1"/>
  <c r="O64" i="22"/>
  <c r="O65" i="22" s="1"/>
  <c r="P64" i="23"/>
  <c r="P65" i="23" s="1"/>
  <c r="I64" i="27"/>
  <c r="J64" i="24"/>
  <c r="J65" i="24" s="1"/>
  <c r="K64" i="21"/>
  <c r="K65" i="21" s="1"/>
  <c r="T64" i="21"/>
  <c r="T65" i="21" s="1"/>
  <c r="P64" i="21"/>
  <c r="P65" i="21" s="1"/>
  <c r="U64" i="26"/>
  <c r="U66" i="26" s="1"/>
  <c r="Q64" i="21"/>
  <c r="Q64" i="29"/>
  <c r="Q65" i="29" s="1"/>
  <c r="S65" i="26"/>
  <c r="C65" i="26"/>
  <c r="Q65" i="26"/>
  <c r="H65" i="26"/>
  <c r="J65" i="30"/>
  <c r="T65" i="30"/>
  <c r="K65" i="30"/>
  <c r="I65" i="30"/>
  <c r="D65" i="30"/>
  <c r="J65" i="28"/>
  <c r="D65" i="28"/>
  <c r="T65" i="28"/>
  <c r="I65" i="28"/>
  <c r="R65" i="28"/>
  <c r="J65" i="27"/>
  <c r="Q64" i="27"/>
  <c r="Q66" i="27" s="1"/>
  <c r="T64" i="27"/>
  <c r="T66" i="27" s="1"/>
  <c r="S65" i="27"/>
  <c r="I65" i="27"/>
  <c r="C65" i="27"/>
  <c r="D65" i="27"/>
  <c r="Q65" i="21"/>
  <c r="R65" i="21"/>
  <c r="C23" i="21"/>
  <c r="C24" i="21" s="1"/>
  <c r="Q64" i="28"/>
  <c r="Q65" i="28" s="1"/>
  <c r="R64" i="30"/>
  <c r="R65" i="30" s="1"/>
  <c r="R64" i="27"/>
  <c r="R65" i="27" s="1"/>
  <c r="P64" i="22"/>
  <c r="P65" i="22" s="1"/>
  <c r="N64" i="22"/>
  <c r="N65" i="22" s="1"/>
  <c r="U65" i="26"/>
  <c r="I64" i="26"/>
  <c r="I65" i="26" s="1"/>
  <c r="U66" i="30"/>
  <c r="U65" i="30"/>
  <c r="L64" i="28"/>
  <c r="L65" i="28" s="1"/>
  <c r="N66" i="21"/>
  <c r="N65" i="21"/>
  <c r="M66" i="26"/>
  <c r="M65" i="26"/>
  <c r="U66" i="21"/>
  <c r="U65" i="21"/>
  <c r="O64" i="21"/>
  <c r="O65" i="21" s="1"/>
  <c r="G64" i="30"/>
  <c r="G65" i="30" s="1"/>
  <c r="K64" i="28"/>
  <c r="K65" i="28" s="1"/>
  <c r="J64" i="23"/>
  <c r="J65" i="23" s="1"/>
  <c r="F66" i="26"/>
  <c r="E64" i="27"/>
  <c r="E65" i="27"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O64" i="27"/>
  <c r="O64" i="28"/>
  <c r="N64" i="27"/>
  <c r="N64" i="30"/>
  <c r="L66" i="30"/>
  <c r="J66" i="28"/>
  <c r="G64" i="26"/>
  <c r="G64" i="29"/>
  <c r="F64" i="22"/>
  <c r="O64" i="26"/>
  <c r="R66" i="22"/>
  <c r="T66" i="24"/>
  <c r="U66" i="23"/>
  <c r="P64" i="30"/>
  <c r="C66" i="23"/>
  <c r="P66" i="23"/>
  <c r="E66" i="22"/>
  <c r="T66" i="23"/>
  <c r="Q66" i="21"/>
  <c r="P66" i="21"/>
  <c r="K66" i="27"/>
  <c r="G64" i="23"/>
  <c r="Q66" i="24"/>
  <c r="C66" i="27"/>
  <c r="H66" i="23"/>
  <c r="J66" i="27"/>
  <c r="G64" i="27"/>
  <c r="J66" i="30"/>
  <c r="F64" i="27"/>
  <c r="Q66" i="22"/>
  <c r="S66" i="23"/>
  <c r="H66" i="30"/>
  <c r="L66" i="21"/>
  <c r="S66" i="26"/>
  <c r="L66" i="26"/>
  <c r="T66" i="30"/>
  <c r="C66" i="29"/>
  <c r="H66" i="22"/>
  <c r="R66" i="28"/>
  <c r="N64" i="26"/>
  <c r="O64" i="29"/>
  <c r="P64" i="29"/>
  <c r="S64" i="1"/>
  <c r="S65" i="1" s="1"/>
  <c r="D66" i="27"/>
  <c r="N64" i="29"/>
  <c r="L66" i="23"/>
  <c r="O66" i="22"/>
  <c r="R64" i="1"/>
  <c r="Q64" i="1"/>
  <c r="U64" i="1"/>
  <c r="P64" i="1"/>
  <c r="J66" i="24"/>
  <c r="Q66" i="29"/>
  <c r="F64" i="29"/>
  <c r="O64" i="23"/>
  <c r="O64" i="30"/>
  <c r="N64" i="24"/>
  <c r="B66" i="24"/>
  <c r="K66" i="30"/>
  <c r="I66" i="30"/>
  <c r="R66" i="29"/>
  <c r="I66" i="29"/>
  <c r="S66" i="29"/>
  <c r="T66" i="28"/>
  <c r="D66" i="28"/>
  <c r="I66" i="28"/>
  <c r="S66" i="28"/>
  <c r="I66" i="27"/>
  <c r="Q66" i="26"/>
  <c r="C66" i="26"/>
  <c r="H66" i="26"/>
  <c r="L66" i="24"/>
  <c r="M66" i="24"/>
  <c r="I66" i="23"/>
  <c r="N66" i="23"/>
  <c r="E66" i="23"/>
  <c r="I66" i="22"/>
  <c r="M66" i="22"/>
  <c r="S66" i="22"/>
  <c r="K66" i="22"/>
  <c r="T66" i="22"/>
  <c r="H66" i="21"/>
  <c r="C66" i="21"/>
  <c r="D66" i="21"/>
  <c r="R66" i="21"/>
  <c r="N64" i="1"/>
  <c r="N65" i="1" s="1"/>
  <c r="M64" i="1"/>
  <c r="T64" i="1"/>
  <c r="L64" i="1"/>
  <c r="J64" i="1"/>
  <c r="K64" i="1"/>
  <c r="O64" i="1"/>
  <c r="C64" i="1"/>
  <c r="C65" i="1" s="1"/>
  <c r="I64" i="1"/>
  <c r="H64" i="1"/>
  <c r="G64" i="1"/>
  <c r="F64" i="1"/>
  <c r="E64" i="1"/>
  <c r="D64" i="1"/>
  <c r="B64" i="1"/>
  <c r="B65" i="1" s="1"/>
  <c r="D63" i="1"/>
  <c r="L63" i="1"/>
  <c r="F63" i="1"/>
  <c r="R63" i="1"/>
  <c r="J63" i="1"/>
  <c r="Q63" i="1"/>
  <c r="I63" i="1"/>
  <c r="C63" i="1"/>
  <c r="K63" i="1"/>
  <c r="P63" i="1"/>
  <c r="H63" i="1"/>
  <c r="T63" i="1"/>
  <c r="S63" i="1"/>
  <c r="O63" i="1"/>
  <c r="G63" i="1"/>
  <c r="N63" i="1"/>
  <c r="E63" i="1"/>
  <c r="B63" i="1"/>
  <c r="U63" i="1"/>
  <c r="M63" i="1"/>
  <c r="I65" i="1" l="1"/>
  <c r="Q65" i="1"/>
  <c r="G65" i="1"/>
  <c r="B66" i="30"/>
  <c r="C65" i="30"/>
  <c r="C66" i="22"/>
  <c r="D66" i="24"/>
  <c r="E66" i="30"/>
  <c r="T66" i="21"/>
  <c r="P66" i="26"/>
  <c r="K66" i="21"/>
  <c r="T65" i="27"/>
  <c r="Q65" i="27"/>
  <c r="H65" i="1"/>
  <c r="P65" i="1"/>
  <c r="O65" i="1"/>
  <c r="U65" i="1"/>
  <c r="T65" i="1"/>
  <c r="M65" i="1"/>
  <c r="K65" i="1"/>
  <c r="E65" i="1"/>
  <c r="J65" i="1"/>
  <c r="R65" i="1"/>
  <c r="D65" i="1"/>
  <c r="F65" i="1"/>
  <c r="L65" i="1"/>
  <c r="T66" i="1"/>
  <c r="S66" i="24"/>
  <c r="R66" i="27"/>
  <c r="Q66" i="28"/>
  <c r="P66" i="27"/>
  <c r="P66" i="22"/>
  <c r="L66" i="28"/>
  <c r="J66" i="23"/>
  <c r="I66" i="26"/>
  <c r="D66" i="26"/>
  <c r="R66" i="26"/>
  <c r="O66" i="21"/>
  <c r="R66" i="30"/>
  <c r="M66" i="29"/>
  <c r="M66" i="21"/>
  <c r="O66" i="23"/>
  <c r="O65" i="23"/>
  <c r="P66" i="29"/>
  <c r="P65" i="29"/>
  <c r="M66" i="28"/>
  <c r="O66" i="29"/>
  <c r="O65" i="29"/>
  <c r="O66" i="26"/>
  <c r="O65" i="26"/>
  <c r="N66" i="27"/>
  <c r="N65" i="27"/>
  <c r="U66" i="27"/>
  <c r="U65" i="27"/>
  <c r="Q66" i="23"/>
  <c r="Q65" i="23"/>
  <c r="T66" i="26"/>
  <c r="T65" i="26"/>
  <c r="M66" i="23"/>
  <c r="M65" i="23"/>
  <c r="P66" i="24"/>
  <c r="N66" i="26"/>
  <c r="N65" i="26"/>
  <c r="L66" i="29"/>
  <c r="D66" i="29"/>
  <c r="O66" i="28"/>
  <c r="O65" i="28"/>
  <c r="U66" i="29"/>
  <c r="U65" i="29"/>
  <c r="S66" i="30"/>
  <c r="S65" i="30"/>
  <c r="E66" i="27"/>
  <c r="O66" i="27"/>
  <c r="O65" i="27"/>
  <c r="U66" i="24"/>
  <c r="U65" i="24"/>
  <c r="R66" i="24"/>
  <c r="R65" i="24"/>
  <c r="M66" i="27"/>
  <c r="M65" i="27"/>
  <c r="S66" i="21"/>
  <c r="S65" i="21"/>
  <c r="U66" i="22"/>
  <c r="U65" i="22"/>
  <c r="O66" i="30"/>
  <c r="O65" i="30"/>
  <c r="N66" i="29"/>
  <c r="N65" i="29"/>
  <c r="P66" i="30"/>
  <c r="P65" i="30"/>
  <c r="U66" i="28"/>
  <c r="U65" i="28"/>
  <c r="Q66" i="1"/>
  <c r="K66" i="28"/>
  <c r="N66" i="24"/>
  <c r="N65" i="24"/>
  <c r="O66" i="24"/>
  <c r="O65" i="24"/>
  <c r="P66" i="28"/>
  <c r="P65" i="28"/>
  <c r="L66" i="22"/>
  <c r="N66" i="30"/>
  <c r="N65" i="30"/>
  <c r="M66" i="30"/>
  <c r="M65" i="30"/>
  <c r="N66" i="28"/>
  <c r="N65" i="28"/>
  <c r="R66" i="23"/>
  <c r="R65" i="23"/>
  <c r="G66" i="23"/>
  <c r="G65" i="23"/>
  <c r="G66" i="27"/>
  <c r="G65" i="27"/>
  <c r="H66" i="24"/>
  <c r="H65" i="24"/>
  <c r="G66" i="29"/>
  <c r="G65" i="29"/>
  <c r="G66" i="21"/>
  <c r="G65" i="21"/>
  <c r="K66" i="24"/>
  <c r="G66" i="30"/>
  <c r="G66" i="26"/>
  <c r="G65" i="26"/>
  <c r="I66" i="21"/>
  <c r="I65" i="21"/>
  <c r="J66" i="26"/>
  <c r="K66" i="26"/>
  <c r="K65" i="26"/>
  <c r="G66" i="24"/>
  <c r="G65" i="24"/>
  <c r="K66" i="23"/>
  <c r="K65" i="23"/>
  <c r="J66" i="21"/>
  <c r="J65" i="21"/>
  <c r="J66" i="22"/>
  <c r="J65" i="22"/>
  <c r="L66" i="27"/>
  <c r="L65" i="27"/>
  <c r="I66" i="24"/>
  <c r="J66" i="29"/>
  <c r="J65" i="29"/>
  <c r="G66" i="22"/>
  <c r="G65" i="22"/>
  <c r="G66" i="28"/>
  <c r="G65" i="28"/>
  <c r="K66" i="29"/>
  <c r="K65" i="29"/>
  <c r="H66" i="27"/>
  <c r="H65" i="27"/>
  <c r="H66" i="28"/>
  <c r="H65" i="28"/>
  <c r="H66" i="29"/>
  <c r="H65" i="29"/>
  <c r="F66" i="23"/>
  <c r="F65" i="23"/>
  <c r="F66" i="22"/>
  <c r="F65" i="22"/>
  <c r="F66" i="27"/>
  <c r="F65" i="27"/>
  <c r="F66" i="28"/>
  <c r="F65" i="28"/>
  <c r="F66" i="21"/>
  <c r="F65" i="21"/>
  <c r="F66" i="29"/>
  <c r="F65" i="29"/>
  <c r="F66" i="24"/>
  <c r="F65" i="24"/>
  <c r="F66" i="30"/>
  <c r="F65" i="30"/>
  <c r="E66" i="24"/>
  <c r="E65" i="24"/>
  <c r="D66" i="23"/>
  <c r="D66" i="22"/>
  <c r="E66" i="28"/>
  <c r="E65" i="28"/>
  <c r="E66" i="29"/>
  <c r="E65" i="29"/>
  <c r="E66" i="26"/>
  <c r="E65" i="26"/>
  <c r="C66" i="24"/>
  <c r="C65" i="24"/>
  <c r="E66" i="21"/>
  <c r="E65" i="21"/>
  <c r="C66" i="28"/>
  <c r="C65" i="28"/>
  <c r="B66" i="26"/>
  <c r="B65" i="26"/>
  <c r="B66" i="27"/>
  <c r="B65" i="27"/>
  <c r="B66" i="28"/>
  <c r="B65" i="28"/>
  <c r="B66" i="22"/>
  <c r="B65" i="22"/>
  <c r="B66" i="29"/>
  <c r="B65" i="29"/>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<sst xmlns="http://schemas.openxmlformats.org/spreadsheetml/2006/main" count="2182" uniqueCount="178">
  <si>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</si>
  <si>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</si>
  <si>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</si>
  <si>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</si>
  <si>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</si>
  <si>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</si>
  <si>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</si>
  <si>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</si>
  <si>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</si>
  <si>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</si>
  <si>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</si>
  <si>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</si>
  <si>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</si>
  <si>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</si>
  <si>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</si>
  <si>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</si>
  <si>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</si>
  <si>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</si>
  <si>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</si>
  <si>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</si>
  <si>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</si>
  <si>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</si>
  <si>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</si>
  <si>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</si>
  <si>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</si>
  <si>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</si>
  <si>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</si>
  <si>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</si>
  <si>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</si>
  <si>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</si>
  <si>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</si>
  <si>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</si>
  <si>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</si>
  <si>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</si>
  <si>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</si>
  <si>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</si>
  <si>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</si>
  <si>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</si>
  <si>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</si>
  <si>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</si>
  <si>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</si>
  <si>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</si>
  <si>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</si>
  <si>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</si>
  <si>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</si>
  <si>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</si>
  <si>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</si>
  <si>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</si>
  <si>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</si>
  <si>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</si>
  <si>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</si>
  <si>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</si>
  <si>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</si>
  <si>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</si>
  <si>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</si>
  <si>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</si>
  <si>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</si>
  <si>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</si>
  <si>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</si>
  <si>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</si>
  <si>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</si>
  <si>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</si>
  <si>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</si>
  <si>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</si>
  <si>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</si>
  <si>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</si>
  <si>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</si>
  <si>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</si>
  <si>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</si>
  <si>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</si>
  <si>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</si>
  <si>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</si>
  <si>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</si>
  <si>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</si>
  <si>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</si>
  <si>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</si>
  <si>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</si>
  <si>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</si>
  <si>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</si>
  <si>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</si>
  <si>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</si>
  <si>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</si>
  <si>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</si>
  <si>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</si>
  <si>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</si>
  <si>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</si>
  <si>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</si>
  <si>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</si>
  <si>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</si>
  <si>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</si>
  <si>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</si>
  <si>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</si>
  <si>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</si>
  <si>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</si>
  <si>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</si>
  <si>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</si>
  <si>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</si>
  <si>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</si>
  <si>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</si>
  <si>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</si>
  <si>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</si>
  <si>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</si>
  <si>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</si>
  <si>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</si>
  <si>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</si>
  <si>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</si>
  <si>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</si>
  <si>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</si>
  <si>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</si>
  <si>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</si>
  <si>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</si>
  <si>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</si>
  <si>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</si>
  <si>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</si>
  <si>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</si>
  <si>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</si>
  <si>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</si>
  <si>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</si>
  <si>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</si>
  <si>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</si>
  <si>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</si>
  <si>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</si>
  <si>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</si>
  <si>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</si>
  <si>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</si>
  <si>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</si>
  <si>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</si>
  <si>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</si>
  <si>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</si>
  <si>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</si>
  <si>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</si>
  <si>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</si>
  <si>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</si>
  <si>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</si>
  <si>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</si>
  <si>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</si>
  <si>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</si>
  <si>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</si>
  <si>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</si>
  <si>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</si>
  <si>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</si>
  <si>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</si>
  <si>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</si>
  <si>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</si>
  <si>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</si>
  <si>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</si>
  <si>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</si>
  <si>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</si>
  <si>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</si>
  <si>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</si>
  <si>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</si>
  <si>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</si>
  <si>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</si>
  <si>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</si>
  <si>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</si>
  <si>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</si>
  <si>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</si>
  <si>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</si>
  <si>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</si>
  <si>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</si>
  <si>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PAN-024612</t>
  </si>
  <si>
    <t>FB3606GC</t>
  </si>
  <si>
    <t>Agrispread</t>
  </si>
  <si>
    <t>Ethan Banfield</t>
  </si>
  <si>
    <t>Dyke Farm, Padeswood Lake Road, Padeswood, Flintshire, CH7 4HZ</t>
  </si>
  <si>
    <t>02 02 04</t>
  </si>
  <si>
    <t>Secanim</t>
  </si>
  <si>
    <t>Croda Goole</t>
  </si>
  <si>
    <t>07 07 12</t>
  </si>
  <si>
    <t>02 03 05</t>
  </si>
  <si>
    <t>Croda Widnes</t>
  </si>
  <si>
    <t xml:space="preserve">Maelor Food </t>
  </si>
  <si>
    <t>02 07 05</t>
  </si>
  <si>
    <t>Encirc</t>
  </si>
  <si>
    <t>Dwise</t>
  </si>
  <si>
    <t xml:space="preserve">A </t>
  </si>
  <si>
    <t>B</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</si>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</sst>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4" zoomScale="90" zoomScaleNormal="90" workbookViewId="0">
      <selection activeCell="C44" sqref="C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42.1</v>
      </c>
      <c r="G1" s="123" t="s">
        <v>43</v>
      </c>
      <c r="H1" s="124"/>
      <c r="I1" s="96">
        <v>6.01</v>
      </c>
      <c r="J1" s="127" t="s">
        <v>153</v>
      </c>
      <c r="K1" s="127"/>
      <c r="L1" s="96">
        <v>648</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v>1818</v>
      </c>
      <c r="J2" s="127" t="s">
        <v>158</v>
      </c>
      <c r="K2" s="127"/>
      <c r="L2" s="96">
        <v>0.3</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12720</v>
      </c>
      <c r="J3" s="123" t="s">
        <v>154</v>
      </c>
      <c r="K3" s="124"/>
      <c r="L3" s="96">
        <f>(L1/(L2*10000))*100</f>
        <v>21.6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164</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163</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22</v>
      </c>
      <c r="D8" s="15">
        <v>23</v>
      </c>
      <c r="E8" s="15">
        <v>24</v>
      </c>
      <c r="F8" s="15" t="s">
        <v>175</v>
      </c>
      <c r="G8" s="15" t="s">
        <v>176</v>
      </c>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177</v>
      </c>
      <c r="D9" s="15">
        <v>1</v>
      </c>
      <c r="E9" s="15">
        <v>1</v>
      </c>
      <c r="F9" s="15" t="s">
        <v>177</v>
      </c>
      <c r="G9" s="15" t="s">
        <v>177</v>
      </c>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5.4</v>
      </c>
      <c r="D10" s="15">
        <v>6.3</v>
      </c>
      <c r="E10" s="15">
        <v>5.9</v>
      </c>
      <c r="F10" s="15">
        <v>6.1</v>
      </c>
      <c r="G10" s="15">
        <v>5.8</v>
      </c>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2</v>
      </c>
      <c r="E11" s="15">
        <v>2</v>
      </c>
      <c r="F11" s="15">
        <v>1</v>
      </c>
      <c r="G11" s="15">
        <v>1</v>
      </c>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2</v>
      </c>
      <c r="E12" s="15">
        <v>1</v>
      </c>
      <c r="F12" s="15">
        <v>1</v>
      </c>
      <c r="G12" s="15">
        <v>1</v>
      </c>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2</v>
      </c>
      <c r="E13" s="15">
        <v>2</v>
      </c>
      <c r="F13" s="15">
        <v>2</v>
      </c>
      <c r="G13" s="15">
        <v>2</v>
      </c>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105</v>
      </c>
      <c r="E14" s="100" t="s">
        <v>105</v>
      </c>
      <c r="F14" s="100" t="s">
        <v>113</v>
      </c>
      <c r="G14" s="100" t="s">
        <v>113</v>
      </c>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40</v>
      </c>
      <c r="E15" s="15">
        <v>40</v>
      </c>
      <c r="F15" s="15">
        <v>38</v>
      </c>
      <c r="G15" s="15">
        <v>38</v>
      </c>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55.423871999999996</v>
      </c>
      <c r="D18" s="16">
        <f>$D32</f>
        <v>55.423871999999996</v>
      </c>
      <c r="E18" s="16">
        <f>$D33</f>
        <v>55.423871999999996</v>
      </c>
      <c r="F18" s="16">
        <f>$D34</f>
        <v>55.423871999999996</v>
      </c>
      <c r="G18" s="16">
        <f>$D35</f>
        <v>55.423871999999996</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-9.1761279999999985</v>
      </c>
      <c r="D19" s="16">
        <f t="shared" ref="D19:V19" si="1">D18-D17</f>
        <v>-0.57612800000000419</v>
      </c>
      <c r="E19" s="16">
        <f t="shared" si="1"/>
        <v>-0.57612800000000419</v>
      </c>
      <c r="F19" s="16">
        <f t="shared" si="1"/>
        <v>-9.1761279999999985</v>
      </c>
      <c r="G19" s="16">
        <f t="shared" si="1"/>
        <v>-9.1761279999999985</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17.612280000000002</v>
      </c>
      <c r="D22" s="16">
        <f>$E32</f>
        <v>17.612280000000002</v>
      </c>
      <c r="E22" s="16">
        <f>$E33</f>
        <v>17.612280000000002</v>
      </c>
      <c r="F22" s="16">
        <f>$E34</f>
        <v>17.612280000000002</v>
      </c>
      <c r="G22" s="16">
        <f>$E35</f>
        <v>17.612280000000002</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-210.38772</v>
      </c>
      <c r="D23" s="16">
        <f t="shared" ref="D23:V23" si="3">D22-D21</f>
        <v>-158.38772</v>
      </c>
      <c r="E23" s="16">
        <f t="shared" si="3"/>
        <v>-158.38772</v>
      </c>
      <c r="F23" s="16">
        <f t="shared" si="3"/>
        <v>-210.38772</v>
      </c>
      <c r="G23" s="16">
        <f t="shared" si="3"/>
        <v>-210.38772</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5.12</v>
      </c>
      <c r="C28" s="15">
        <v>0.3</v>
      </c>
      <c r="D28" s="15">
        <v>864</v>
      </c>
      <c r="E28" s="15">
        <v>522</v>
      </c>
      <c r="F28" s="15">
        <v>62.9</v>
      </c>
      <c r="G28" s="15">
        <v>2.34</v>
      </c>
      <c r="H28" s="15">
        <v>53.9</v>
      </c>
      <c r="I28" s="15">
        <v>3.21</v>
      </c>
      <c r="J28" s="15">
        <v>4.9000000000000002E-2</v>
      </c>
      <c r="K28" s="23">
        <v>0.05</v>
      </c>
      <c r="L28" s="15">
        <v>0.78</v>
      </c>
      <c r="M28" s="15">
        <v>0.93400000000000005</v>
      </c>
      <c r="N28" s="15"/>
      <c r="O28" s="15"/>
      <c r="P28" s="15">
        <v>1527</v>
      </c>
      <c r="Q28" s="15">
        <v>894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v>28</v>
      </c>
      <c r="C31" s="77">
        <f>IF(C$27="%w/w SAR",((C$28*10)*$B31),IF(C$27="%w/w DM",(((C$28*10)*($B$28/100))*$B31),IF(C$27="kg/t SAR",(C$28*$B31),IF(C$27="kg/t DM",((C$28*($B$28/100))*$B31),IF(C$27="mg/kg SAR",((C$28*0.001)*$B31),IF(C$27="mg/kg DM",(((C$28*0.001)*($B$28/100))*$B31),0))))))</f>
        <v>84</v>
      </c>
      <c r="D31" s="77">
        <f>(IF(D$27="%w/w SAR",((D$28*10)*$B31),IF(D$27="%w/w DM",(((D$28*10)*($B$28/100))*$B31),IF(D$27="kg/t SAR",(D$28*$B31),IF(D$27="kg/t DM",((D$28*($B$28/100))*$B31),IF(D$27="mg/kg SAR",((D$28*0.001)*$B31),IF(D$27="mg/kg DM",(((D$28*0.001)*($B$28/100))*$B31),"0")))))))*2.291</f>
        <v>55.423871999999996</v>
      </c>
      <c r="E31" s="77">
        <f>(IF(E$27="%w/w SAR",((E$28*10)*$B31),IF(E$27="%w/w DM",(((E$28*10)*($B$28/100))*$B31),IF(E$27="kg/t SAR",(E$28*$B31),IF(E$27="kg/t DM",((E$28*($B$28/100))*$B31),IF(E$27="mg/kg SAR",((E$28*0.001)*$B31),IF(E$27="mg/kg DM",(((E$28*0.001)*($B$28/100))*$B31),"0")))))))*1.205</f>
        <v>17.612280000000002</v>
      </c>
      <c r="F31" s="77">
        <f>(IF(F$27="%w/w SAR",((F$28*10)*$B31),IF(F$27="%w/w DM",(((F$28*10)*($B$28/100))*$B31),IF(F$27="kg/t SAR",(F$28*$B31),IF(F$27="kg/t DM",((F$28*($B$28/100))*$B31),IF(F$27="mg/kg SAR",((F$28*0.001)*$B31),IF(F$27="mg/kg DM",(((F$28*0.001)*($B$28/100))*$B31),"0")))))))*1.658</f>
        <v>2.9200695999999997</v>
      </c>
      <c r="G31" s="77">
        <f t="shared" ref="G31:P31" si="5">IF(G$27="%w/w SAR",((G$28*10)*$B31),IF(G$27="%w/w DM",(((G$28*10)*($B$28/100))*$B31),IF(G$27="kg/t SAR",(G$28*$B31),IF(G$27="kg/t DM",((G$28*($B$28/100))*$B31),IF(G$27="mg/kg SAR",((G$28*0.001)*$B31),IF(G$27="mg/kg DM",(((G$28*0.001)*($B$28/100))*$B31),0))))))</f>
        <v>6.5519999999999995E-2</v>
      </c>
      <c r="H31" s="77">
        <f t="shared" si="5"/>
        <v>1.5091999999999999</v>
      </c>
      <c r="I31" s="77">
        <f t="shared" si="5"/>
        <v>8.9880000000000002E-2</v>
      </c>
      <c r="J31" s="77">
        <f t="shared" si="5"/>
        <v>1.3720000000000002E-3</v>
      </c>
      <c r="K31" s="77">
        <f t="shared" si="5"/>
        <v>1.4E-3</v>
      </c>
      <c r="L31" s="77">
        <f t="shared" si="5"/>
        <v>2.1840000000000002E-2</v>
      </c>
      <c r="M31" s="77">
        <f t="shared" si="5"/>
        <v>2.6152000000000002E-2</v>
      </c>
      <c r="N31" s="77">
        <f t="shared" si="5"/>
        <v>0</v>
      </c>
      <c r="O31" s="77">
        <f t="shared" si="5"/>
        <v>0</v>
      </c>
      <c r="P31" s="77">
        <f t="shared" si="5"/>
        <v>42.756</v>
      </c>
      <c r="Q31" s="77">
        <f>(IF(Q$27="%w/w SAR",((Q$28*10)*$B31),IF(Q$27="%w/w DM",(((Q$28*10)*($B$28/100))*$B31),IF(Q$27="kg/t SAR",(Q$28*$B31),IF(Q$27="kg/t DM",((Q$28*($B$28/100))*$B31),IF(Q$27="mg/kg SAR",((Q$28*0.001)*$B31),IF(Q$27="mg/kg DM",(((Q$28*0.001)*($B$28/100))*$B31),0)))))))*2.5</f>
        <v>62.58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v>28</v>
      </c>
      <c r="C32" s="77">
        <f t="shared" ref="C32:C50" si="6">IF(C$27="%w/w SAR",((C$28*10)*$B32),IF(C$27="%w/w DM",(((C$28*10)*($B$28/100))*$B32),IF(C$27="kg/t SAR",(C$28*$B32),IF(C$27="kg/t DM",((C$28*($B$28/100))*$B32),IF(C$27="mg/kg SAR",((C$28*0.001)*$B32),IF(C$27="mg/kg DM",(((C$28*0.001)*($B$28/100))*$B32),0))))))</f>
        <v>84</v>
      </c>
      <c r="D32" s="77">
        <f t="shared" ref="D32:D50" si="7">(IF(D$27="%w/w SAR",((D$28*10)*$B32),IF(D$27="%w/w DM",(((D$28*10)*($B$28/100))*$B32),IF(D$27="kg/t SAR",(D$28*$B32),IF(D$27="kg/t DM",((D$28*($B$28/100))*$B32),IF(D$27="mg/kg SAR",((D$28*0.001)*$B32),IF(D$27="mg/kg DM",(((D$28*0.001)*($B$28/100))*$B32),"0")))))))*2.291</f>
        <v>55.423871999999996</v>
      </c>
      <c r="E32" s="77">
        <f t="shared" ref="E32:E50" si="8">(IF(E$27="%w/w SAR",((E$28*10)*$B32),IF(E$27="%w/w DM",(((E$28*10)*($B$28/100))*$B32),IF(E$27="kg/t SAR",(E$28*$B32),IF(E$27="kg/t DM",((E$28*($B$28/100))*$B32),IF(E$27="mg/kg SAR",((E$28*0.001)*$B32),IF(E$27="mg/kg DM",(((E$28*0.001)*($B$28/100))*$B32),"0")))))))*1.205</f>
        <v>17.612280000000002</v>
      </c>
      <c r="F32" s="77">
        <f t="shared" ref="F32:F50" si="9">(IF(F$27="%w/w SAR",((F$28*10)*$B32),IF(F$27="%w/w DM",(((F$28*10)*($B$28/100))*$B32),IF(F$27="kg/t SAR",(F$28*$B32),IF(F$27="kg/t DM",((F$28*($B$28/100))*$B32),IF(F$27="mg/kg SAR",((F$28*0.001)*$B32),IF(F$27="mg/kg DM",(((F$28*0.001)*($B$28/100))*$B32),"0")))))))*1.658</f>
        <v>2.9200695999999997</v>
      </c>
      <c r="G32" s="77">
        <f t="shared" ref="G32:P50" si="10">IF(G$27="%w/w SAR",((G$28*10)*$B32),IF(G$27="%w/w DM",(((G$28*10)*($B$28/100))*$B32),IF(G$27="kg/t SAR",(G$28*$B32),IF(G$27="kg/t DM",((G$28*($B$28/100))*$B32),IF(G$27="mg/kg SAR",((G$28*0.001)*$B32),IF(G$27="mg/kg DM",(((G$28*0.001)*($B$28/100))*$B32),0))))))</f>
        <v>6.5519999999999995E-2</v>
      </c>
      <c r="H32" s="77">
        <f t="shared" si="10"/>
        <v>1.5091999999999999</v>
      </c>
      <c r="I32" s="77">
        <f t="shared" si="10"/>
        <v>8.9880000000000002E-2</v>
      </c>
      <c r="J32" s="77">
        <f t="shared" si="10"/>
        <v>1.3720000000000002E-3</v>
      </c>
      <c r="K32" s="77">
        <f t="shared" si="10"/>
        <v>1.4E-3</v>
      </c>
      <c r="L32" s="77">
        <f t="shared" si="10"/>
        <v>2.1840000000000002E-2</v>
      </c>
      <c r="M32" s="77">
        <f t="shared" si="10"/>
        <v>2.6152000000000002E-2</v>
      </c>
      <c r="N32" s="77">
        <f t="shared" si="10"/>
        <v>0</v>
      </c>
      <c r="O32" s="77">
        <f t="shared" si="10"/>
        <v>0</v>
      </c>
      <c r="P32" s="77">
        <f t="shared" si="10"/>
        <v>42.756</v>
      </c>
      <c r="Q32" s="77">
        <f t="shared" ref="Q32:Q50" si="11">(IF(Q$27="%w/w SAR",((Q$28*10)*$B32),IF(Q$27="%w/w DM",(((Q$28*10)*($B$28/100))*$B32),IF(Q$27="kg/t SAR",(Q$28*$B32),IF(Q$27="kg/t DM",((Q$28*($B$28/100))*$B32),IF(Q$27="mg/kg SAR",((Q$28*0.001)*$B32),IF(Q$27="mg/kg DM",(((Q$28*0.001)*($B$28/100))*$B32),0)))))))*2.5</f>
        <v>62.58</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24</v>
      </c>
      <c r="B33" s="15">
        <v>28</v>
      </c>
      <c r="C33" s="77">
        <f t="shared" si="6"/>
        <v>84</v>
      </c>
      <c r="D33" s="77">
        <f t="shared" si="7"/>
        <v>55.423871999999996</v>
      </c>
      <c r="E33" s="77">
        <f t="shared" si="8"/>
        <v>17.612280000000002</v>
      </c>
      <c r="F33" s="77">
        <f t="shared" si="9"/>
        <v>2.9200695999999997</v>
      </c>
      <c r="G33" s="77">
        <f t="shared" si="10"/>
        <v>6.5519999999999995E-2</v>
      </c>
      <c r="H33" s="77">
        <f t="shared" si="10"/>
        <v>1.5091999999999999</v>
      </c>
      <c r="I33" s="77">
        <f t="shared" si="10"/>
        <v>8.9880000000000002E-2</v>
      </c>
      <c r="J33" s="77">
        <f t="shared" si="10"/>
        <v>1.3720000000000002E-3</v>
      </c>
      <c r="K33" s="77">
        <f t="shared" si="10"/>
        <v>1.4E-3</v>
      </c>
      <c r="L33" s="77">
        <f t="shared" si="10"/>
        <v>2.1840000000000002E-2</v>
      </c>
      <c r="M33" s="77">
        <f t="shared" si="10"/>
        <v>2.6152000000000002E-2</v>
      </c>
      <c r="N33" s="77">
        <f t="shared" si="10"/>
        <v>0</v>
      </c>
      <c r="O33" s="77">
        <f t="shared" si="10"/>
        <v>0</v>
      </c>
      <c r="P33" s="77">
        <f t="shared" si="10"/>
        <v>42.756</v>
      </c>
      <c r="Q33" s="77">
        <f t="shared" si="11"/>
        <v>62.58</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 xml:space="preserve">A </v>
      </c>
      <c r="B34" s="15">
        <v>28</v>
      </c>
      <c r="C34" s="77">
        <f t="shared" si="6"/>
        <v>84</v>
      </c>
      <c r="D34" s="77">
        <f t="shared" si="7"/>
        <v>55.423871999999996</v>
      </c>
      <c r="E34" s="77">
        <f t="shared" si="8"/>
        <v>17.612280000000002</v>
      </c>
      <c r="F34" s="77">
        <f t="shared" si="9"/>
        <v>2.9200695999999997</v>
      </c>
      <c r="G34" s="77">
        <f t="shared" si="10"/>
        <v>6.5519999999999995E-2</v>
      </c>
      <c r="H34" s="77">
        <f t="shared" si="10"/>
        <v>1.5091999999999999</v>
      </c>
      <c r="I34" s="77">
        <f t="shared" si="10"/>
        <v>8.9880000000000002E-2</v>
      </c>
      <c r="J34" s="77">
        <f t="shared" si="10"/>
        <v>1.3720000000000002E-3</v>
      </c>
      <c r="K34" s="77">
        <f t="shared" si="10"/>
        <v>1.4E-3</v>
      </c>
      <c r="L34" s="77">
        <f t="shared" si="10"/>
        <v>2.1840000000000002E-2</v>
      </c>
      <c r="M34" s="77">
        <f t="shared" si="10"/>
        <v>2.6152000000000002E-2</v>
      </c>
      <c r="N34" s="77">
        <f t="shared" si="10"/>
        <v>0</v>
      </c>
      <c r="O34" s="77">
        <f t="shared" si="10"/>
        <v>0</v>
      </c>
      <c r="P34" s="77">
        <f t="shared" si="10"/>
        <v>42.756</v>
      </c>
      <c r="Q34" s="77">
        <f t="shared" si="11"/>
        <v>62.58</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B</v>
      </c>
      <c r="B35" s="15">
        <v>28</v>
      </c>
      <c r="C35" s="77">
        <f t="shared" si="6"/>
        <v>84</v>
      </c>
      <c r="D35" s="77">
        <f t="shared" si="7"/>
        <v>55.423871999999996</v>
      </c>
      <c r="E35" s="77">
        <f t="shared" si="8"/>
        <v>17.612280000000002</v>
      </c>
      <c r="F35" s="77">
        <f t="shared" si="9"/>
        <v>2.9200695999999997</v>
      </c>
      <c r="G35" s="77">
        <f t="shared" si="10"/>
        <v>6.5519999999999995E-2</v>
      </c>
      <c r="H35" s="77">
        <f t="shared" si="10"/>
        <v>1.5091999999999999</v>
      </c>
      <c r="I35" s="77">
        <f t="shared" si="10"/>
        <v>8.9880000000000002E-2</v>
      </c>
      <c r="J35" s="77">
        <f t="shared" si="10"/>
        <v>1.3720000000000002E-3</v>
      </c>
      <c r="K35" s="77">
        <f t="shared" si="10"/>
        <v>1.4E-3</v>
      </c>
      <c r="L35" s="77">
        <f t="shared" si="10"/>
        <v>2.1840000000000002E-2</v>
      </c>
      <c r="M35" s="77">
        <f t="shared" si="10"/>
        <v>2.6152000000000002E-2</v>
      </c>
      <c r="N35" s="77">
        <f t="shared" si="10"/>
        <v>0</v>
      </c>
      <c r="O35" s="77">
        <f t="shared" si="10"/>
        <v>0</v>
      </c>
      <c r="P35" s="77">
        <f t="shared" si="10"/>
        <v>42.756</v>
      </c>
      <c r="Q35" s="77">
        <f t="shared" si="11"/>
        <v>62.58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Arable</v>
      </c>
      <c r="D58" s="13" t="str">
        <f>E16&amp;" I "&amp;(VLOOKUP(E14,Table24[],6,FALSE))</f>
        <v>Medium/Clay I Arable</v>
      </c>
      <c r="E58" s="13" t="str">
        <f>F16&amp;" I "&amp;(VLOOKUP(F14,Table24[],6,FALSE))</f>
        <v>Medium/Clay I Grass</v>
      </c>
      <c r="F58" s="13" t="str">
        <f>G16&amp;" I "&amp;(VLOOKUP(G14,Table24[],6,FALSE))</f>
        <v>Medium/Clay I Grass</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6.7</v>
      </c>
      <c r="D59" s="76">
        <f>VLOOKUP(E$14,Table24[],5,FALSE)</f>
        <v>6.7</v>
      </c>
      <c r="E59" s="76">
        <f>VLOOKUP(F$14,Table24[],5,FALSE)</f>
        <v>6.2</v>
      </c>
      <c r="F59" s="76">
        <f>VLOOKUP(G$14,Table24[],5,FALSE)</f>
        <v>6.2</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28</v>
      </c>
      <c r="C62" s="77">
        <f>B32</f>
        <v>28</v>
      </c>
      <c r="D62" s="77">
        <f>B33</f>
        <v>28</v>
      </c>
      <c r="E62" s="77">
        <f>B34</f>
        <v>28</v>
      </c>
      <c r="F62" s="77">
        <f>B35</f>
        <v>28</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 zoomScale="90" zoomScaleNormal="90" workbookViewId="0">
      <selection activeCell="B36" sqref="B36: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v>7.08</v>
      </c>
      <c r="J1" s="127" t="s">
        <v>153</v>
      </c>
      <c r="K1" s="127"/>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168</v>
      </c>
      <c r="G2" s="125" t="s">
        <v>110</v>
      </c>
      <c r="H2" s="126"/>
      <c r="I2" s="118">
        <v>2012</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45.008986</v>
      </c>
      <c r="D18" s="16">
        <f>$D32</f>
        <v>45.008986</v>
      </c>
      <c r="E18" s="16">
        <f>$D33</f>
        <v>45.008986</v>
      </c>
      <c r="F18" s="16">
        <f>$D34</f>
        <v>45.008986</v>
      </c>
      <c r="G18" s="16">
        <f>$D35</f>
        <v>45.008986</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-19.591013999999994</v>
      </c>
      <c r="D19" s="16">
        <f t="shared" ref="D19:V19" si="1">D18-D17</f>
        <v>-10.991014</v>
      </c>
      <c r="E19" s="16">
        <f t="shared" si="1"/>
        <v>-10.991014</v>
      </c>
      <c r="F19" s="16">
        <f t="shared" si="1"/>
        <v>-19.591013999999994</v>
      </c>
      <c r="G19" s="16">
        <f t="shared" si="1"/>
        <v>-19.591013999999994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7.6457250000000014</v>
      </c>
      <c r="D22" s="16">
        <f>$E32</f>
        <v>7.6457250000000014</v>
      </c>
      <c r="E22" s="16">
        <f>$E33</f>
        <v>7.6457250000000014</v>
      </c>
      <c r="F22" s="16">
        <f>$E34</f>
        <v>7.6457250000000014</v>
      </c>
      <c r="G22" s="16">
        <f>$E35</f>
        <v>7.6457250000000014</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-220.354275</v>
      </c>
      <c r="D23" s="16">
        <f t="shared" ref="D23:V23" si="3">D22-D21</f>
        <v>-168.354275</v>
      </c>
      <c r="E23" s="16">
        <f t="shared" si="3"/>
        <v>-168.354275</v>
      </c>
      <c r="F23" s="16">
        <f t="shared" si="3"/>
        <v>-220.354275</v>
      </c>
      <c r="G23" s="16">
        <f t="shared" si="3"/>
        <v>-220.354275</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v>94</v>
      </c>
      <c r="C31" s="77">
        <f>IF(C$27="%w/w SAR",((C$28*10)*$B31),IF(C$27="%w/w DM",(((C$28*10)*($B$28/100))*$B31),IF(C$27="kg/t SAR",(C$28*$B31),IF(C$27="kg/t DM",((C$28*($B$28/100))*$B31),IF(C$27="mg/kg SAR",((C$28*0.001)*$B31),IF(C$27="mg/kg DM",(((C$28*0.001)*($B$28/100))*$B31),0))))))</f>
        <v>65.800000000000011</v>
      </c>
      <c r="D31" s="77">
        <f>(IF(D$27="%w/w SAR",((D$28*10)*$B31),IF(D$27="%w/w DM",(((D$28*10)*($B$28/100))*$B31),IF(D$27="kg/t SAR",(D$28*$B31),IF(D$27="kg/t DM",((D$28*($B$28/100))*$B31),IF(D$27="mg/kg SAR",((D$28*0.001)*$B31),IF(D$27="mg/kg DM",(((D$28*0.001)*($B$28/100))*$B31),"0")))))))*2.291</f>
        <v>45.008986</v>
      </c>
      <c r="E31" s="77">
        <f>(IF(E$27="%w/w SAR",((E$28*10)*$B31),IF(E$27="%w/w DM",(((E$28*10)*($B$28/100))*$B31),IF(E$27="kg/t SAR",(E$28*$B31),IF(E$27="kg/t DM",((E$28*($B$28/100))*$B31),IF(E$27="mg/kg SAR",((E$28*0.001)*$B31),IF(E$27="mg/kg DM",(((E$28*0.001)*($B$28/100))*$B31),"0")))))))*1.205</f>
        <v>7.6457250000000014</v>
      </c>
      <c r="F31" s="77">
        <f>(IF(F$27="%w/w SAR",((F$28*10)*$B31),IF(F$27="%w/w DM",(((F$28*10)*($B$28/100))*$B31),IF(F$27="kg/t SAR",(F$28*$B31),IF(F$27="kg/t DM",((F$28*($B$28/100))*$B31),IF(F$27="mg/kg SAR",((F$28*0.001)*$B31),IF(F$27="mg/kg DM",(((F$28*0.001)*($B$28/100))*$B31),"0")))))))*1.658</f>
        <v>3.9430556000000001</v>
      </c>
      <c r="G31" s="77">
        <f t="shared" ref="G31:P46" si="5">IF(G$27="%w/w SAR",((G$28*10)*$B31),IF(G$27="%w/w DM",(((G$28*10)*($B$28/100))*$B31),IF(G$27="kg/t SAR",(G$28*$B31),IF(G$27="kg/t DM",((G$28*($B$28/100))*$B31),IF(G$27="mg/kg SAR",((G$28*0.001)*$B31),IF(G$27="mg/kg DM",(((G$28*0.001)*($B$28/100))*$B31),0))))))</f>
        <v>4.4179999999999997E-2</v>
      </c>
      <c r="H31" s="77">
        <f t="shared" si="5"/>
        <v>0.66645999999999994</v>
      </c>
      <c r="I31" s="77">
        <f t="shared" si="5"/>
        <v>4.7E-2</v>
      </c>
      <c r="J31" s="77">
        <f t="shared" si="5"/>
        <v>9.4000000000000008E-4</v>
      </c>
      <c r="K31" s="77">
        <f t="shared" si="5"/>
        <v>4.7000000000000002E-3</v>
      </c>
      <c r="L31" s="77">
        <f t="shared" si="5"/>
        <v>2.162E-2</v>
      </c>
      <c r="M31" s="77">
        <f t="shared" si="5"/>
        <v>0.188</v>
      </c>
      <c r="N31" s="77">
        <f t="shared" si="5"/>
        <v>0</v>
      </c>
      <c r="O31" s="77">
        <f t="shared" si="5"/>
        <v>0</v>
      </c>
      <c r="P31" s="77">
        <f t="shared" si="5"/>
        <v>264.98599999999999</v>
      </c>
      <c r="Q31" s="77">
        <f>(IF(Q$27="%w/w SAR",((Q$28*10)*$B31),IF(Q$27="%w/w DM",(((Q$28*10)*($B$28/100))*$B31),IF(Q$27="kg/t SAR",(Q$28*$B31),IF(Q$27="kg/t DM",((Q$28*($B$28/100))*$B31),IF(Q$27="mg/kg SAR",((Q$28*0.001)*$B31),IF(Q$27="mg/kg DM",(((Q$28*0.001)*($B$28/100))*$B31),0)))))))*2.5</f>
        <v>299.625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v>94</v>
      </c>
      <c r="C32" s="77">
        <f t="shared" ref="C32:C50" si="6">IF(C$27="%w/w SAR",((C$28*10)*$B32),IF(C$27="%w/w DM",(((C$28*10)*($B$28/100))*$B32),IF(C$27="kg/t SAR",(C$28*$B32),IF(C$27="kg/t DM",((C$28*($B$28/100))*$B32),IF(C$27="mg/kg SAR",((C$28*0.001)*$B32),IF(C$27="mg/kg DM",(((C$28*0.001)*($B$28/100))*$B32),0))))))</f>
        <v>65.800000000000011</v>
      </c>
      <c r="D32" s="77">
        <f t="shared" ref="D32:D50" si="7">(IF(D$27="%w/w SAR",((D$28*10)*$B32),IF(D$27="%w/w DM",(((D$28*10)*($B$28/100))*$B32),IF(D$27="kg/t SAR",(D$28*$B32),IF(D$27="kg/t DM",((D$28*($B$28/100))*$B32),IF(D$27="mg/kg SAR",((D$28*0.001)*$B32),IF(D$27="mg/kg DM",(((D$28*0.001)*($B$28/100))*$B32),"0")))))))*2.291</f>
        <v>45.008986</v>
      </c>
      <c r="E32" s="77">
        <f t="shared" ref="E32:E50" si="8">(IF(E$27="%w/w SAR",((E$28*10)*$B32),IF(E$27="%w/w DM",(((E$28*10)*($B$28/100))*$B32),IF(E$27="kg/t SAR",(E$28*$B32),IF(E$27="kg/t DM",((E$28*($B$28/100))*$B32),IF(E$27="mg/kg SAR",((E$28*0.001)*$B32),IF(E$27="mg/kg DM",(((E$28*0.001)*($B$28/100))*$B32),"0")))))))*1.205</f>
        <v>7.6457250000000014</v>
      </c>
      <c r="F32" s="77">
        <f t="shared" ref="F32:F50" si="9">(IF(F$27="%w/w SAR",((F$28*10)*$B32),IF(F$27="%w/w DM",(((F$28*10)*($B$28/100))*$B32),IF(F$27="kg/t SAR",(F$28*$B32),IF(F$27="kg/t DM",((F$28*($B$28/100))*$B32),IF(F$27="mg/kg SAR",((F$28*0.001)*$B32),IF(F$27="mg/kg DM",(((F$28*0.001)*($B$28/100))*$B32),"0")))))))*1.658</f>
        <v>3.9430556000000001</v>
      </c>
      <c r="G32" s="77">
        <f t="shared" si="5"/>
        <v>4.4179999999999997E-2</v>
      </c>
      <c r="H32" s="77">
        <f t="shared" si="5"/>
        <v>0.66645999999999994</v>
      </c>
      <c r="I32" s="77">
        <f t="shared" si="5"/>
        <v>4.7E-2</v>
      </c>
      <c r="J32" s="77">
        <f t="shared" si="5"/>
        <v>9.4000000000000008E-4</v>
      </c>
      <c r="K32" s="77">
        <f t="shared" si="5"/>
        <v>4.7000000000000002E-3</v>
      </c>
      <c r="L32" s="77">
        <f t="shared" si="5"/>
        <v>2.162E-2</v>
      </c>
      <c r="M32" s="77">
        <f t="shared" si="5"/>
        <v>0.188</v>
      </c>
      <c r="N32" s="77">
        <f t="shared" si="5"/>
        <v>0</v>
      </c>
      <c r="O32" s="77">
        <f t="shared" si="5"/>
        <v>0</v>
      </c>
      <c r="P32" s="77">
        <f t="shared" si="5"/>
        <v>264.98599999999999</v>
      </c>
      <c r="Q32" s="77">
        <f t="shared" ref="Q32:Q50" si="10">(IF(Q$27="%w/w SAR",((Q$28*10)*$B32),IF(Q$27="%w/w DM",(((Q$28*10)*($B$28/100))*$B32),IF(Q$27="kg/t SAR",(Q$28*$B32),IF(Q$27="kg/t DM",((Q$28*($B$28/100))*$B32),IF(Q$27="mg/kg SAR",((Q$28*0.001)*$B32),IF(Q$27="mg/kg DM",(((Q$28*0.001)*($B$28/100))*$B32),0)))))))*2.5</f>
        <v>299.625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v>94</v>
      </c>
      <c r="C33" s="77">
        <f t="shared" si="6"/>
        <v>65.800000000000011</v>
      </c>
      <c r="D33" s="77">
        <f t="shared" si="7"/>
        <v>45.008986</v>
      </c>
      <c r="E33" s="77">
        <f t="shared" si="8"/>
        <v>7.6457250000000014</v>
      </c>
      <c r="F33" s="77">
        <f t="shared" si="9"/>
        <v>3.9430556000000001</v>
      </c>
      <c r="G33" s="77">
        <f t="shared" si="5"/>
        <v>4.4179999999999997E-2</v>
      </c>
      <c r="H33" s="77">
        <f t="shared" si="5"/>
        <v>0.66645999999999994</v>
      </c>
      <c r="I33" s="77">
        <f t="shared" si="5"/>
        <v>4.7E-2</v>
      </c>
      <c r="J33" s="77">
        <f t="shared" si="5"/>
        <v>9.4000000000000008E-4</v>
      </c>
      <c r="K33" s="77">
        <f t="shared" si="5"/>
        <v>4.7000000000000002E-3</v>
      </c>
      <c r="L33" s="77">
        <f t="shared" si="5"/>
        <v>2.162E-2</v>
      </c>
      <c r="M33" s="77">
        <f t="shared" si="5"/>
        <v>0.188</v>
      </c>
      <c r="N33" s="77">
        <f t="shared" si="5"/>
        <v>0</v>
      </c>
      <c r="O33" s="77">
        <f t="shared" si="5"/>
        <v>0</v>
      </c>
      <c r="P33" s="77">
        <f t="shared" si="5"/>
        <v>264.98599999999999</v>
      </c>
      <c r="Q33" s="77">
        <f t="shared" si="10"/>
        <v>299.625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v>94</v>
      </c>
      <c r="C34" s="77">
        <f t="shared" si="6"/>
        <v>65.800000000000011</v>
      </c>
      <c r="D34" s="77">
        <f t="shared" si="7"/>
        <v>45.008986</v>
      </c>
      <c r="E34" s="77">
        <f t="shared" si="8"/>
        <v>7.6457250000000014</v>
      </c>
      <c r="F34" s="77">
        <f t="shared" si="9"/>
        <v>3.9430556000000001</v>
      </c>
      <c r="G34" s="77">
        <f t="shared" si="5"/>
        <v>4.4179999999999997E-2</v>
      </c>
      <c r="H34" s="77">
        <f t="shared" si="5"/>
        <v>0.66645999999999994</v>
      </c>
      <c r="I34" s="77">
        <f t="shared" si="5"/>
        <v>4.7E-2</v>
      </c>
      <c r="J34" s="77">
        <f t="shared" si="5"/>
        <v>9.4000000000000008E-4</v>
      </c>
      <c r="K34" s="77">
        <f t="shared" si="5"/>
        <v>4.7000000000000002E-3</v>
      </c>
      <c r="L34" s="77">
        <f t="shared" si="5"/>
        <v>2.162E-2</v>
      </c>
      <c r="M34" s="77">
        <f t="shared" si="5"/>
        <v>0.188</v>
      </c>
      <c r="N34" s="77">
        <f t="shared" si="5"/>
        <v>0</v>
      </c>
      <c r="O34" s="77">
        <f t="shared" si="5"/>
        <v>0</v>
      </c>
      <c r="P34" s="77">
        <f t="shared" si="5"/>
        <v>264.98599999999999</v>
      </c>
      <c r="Q34" s="77">
        <f t="shared" si="10"/>
        <v>299.625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v>94</v>
      </c>
      <c r="C35" s="77">
        <f t="shared" si="6"/>
        <v>65.800000000000011</v>
      </c>
      <c r="D35" s="77">
        <f t="shared" si="7"/>
        <v>45.008986</v>
      </c>
      <c r="E35" s="77">
        <f t="shared" si="8"/>
        <v>7.6457250000000014</v>
      </c>
      <c r="F35" s="77">
        <f t="shared" si="9"/>
        <v>3.9430556000000001</v>
      </c>
      <c r="G35" s="77">
        <f t="shared" si="5"/>
        <v>4.4179999999999997E-2</v>
      </c>
      <c r="H35" s="77">
        <f t="shared" si="5"/>
        <v>0.66645999999999994</v>
      </c>
      <c r="I35" s="77">
        <f t="shared" si="5"/>
        <v>4.7E-2</v>
      </c>
      <c r="J35" s="77">
        <f t="shared" si="5"/>
        <v>9.4000000000000008E-4</v>
      </c>
      <c r="K35" s="77">
        <f t="shared" si="5"/>
        <v>4.7000000000000002E-3</v>
      </c>
      <c r="L35" s="77">
        <f t="shared" si="5"/>
        <v>2.162E-2</v>
      </c>
      <c r="M35" s="77">
        <f t="shared" si="5"/>
        <v>0.188</v>
      </c>
      <c r="N35" s="77">
        <f t="shared" si="5"/>
        <v>0</v>
      </c>
      <c r="O35" s="77">
        <f t="shared" si="5"/>
        <v>0</v>
      </c>
      <c r="P35" s="77">
        <f t="shared" si="5"/>
        <v>264.98599999999999</v>
      </c>
      <c r="Q35" s="77">
        <f t="shared" si="10"/>
        <v>299.625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Arable</v>
      </c>
      <c r="D58" s="13" t="str">
        <f>E16&amp;" I "&amp;(VLOOKUP(E14,Table245[],6,FALSE))</f>
        <v>Medium/Clay I Arable</v>
      </c>
      <c r="E58" s="13" t="str">
        <f>F16&amp;" I "&amp;(VLOOKUP(F14,Table245[],6,FALSE))</f>
        <v>Medium/Clay I Grass</v>
      </c>
      <c r="F58" s="13" t="str">
        <f>G16&amp;" I "&amp;(VLOOKUP(G14,Table245[],6,FALSE))</f>
        <v>Medium/Clay I Grass</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6.7</v>
      </c>
      <c r="D59" s="76">
        <f>VLOOKUP(E$14,Table245[],5,FALSE)</f>
        <v>6.7</v>
      </c>
      <c r="E59" s="76">
        <f>VLOOKUP(F$14,Table245[],5,FALSE)</f>
        <v>6.2</v>
      </c>
      <c r="F59" s="76">
        <f>VLOOKUP(G$14,Table245[],5,FALSE)</f>
        <v>6.2</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94</v>
      </c>
      <c r="C62" s="77">
        <f>B32</f>
        <v>94</v>
      </c>
      <c r="D62" s="77">
        <f>B33</f>
        <v>94</v>
      </c>
      <c r="E62" s="77">
        <f>B34</f>
        <v>94</v>
      </c>
      <c r="F62" s="77">
        <f>B35</f>
        <v>94</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 zoomScale="90" zoomScaleNormal="90" workbookViewId="0">
      <selection activeCell="B36" sqref="B36: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v>6.8</v>
      </c>
      <c r="J1" s="127" t="s">
        <v>153</v>
      </c>
      <c r="K1" s="127"/>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169</v>
      </c>
      <c r="G2" s="125" t="s">
        <v>110</v>
      </c>
      <c r="H2" s="126"/>
      <c r="I2" s="118">
        <v>351</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51.032025000000004</v>
      </c>
      <c r="D18" s="16">
        <f>$D32</f>
        <v>51.032025000000004</v>
      </c>
      <c r="E18" s="16">
        <f>$D33</f>
        <v>51.032025000000004</v>
      </c>
      <c r="F18" s="16">
        <f>$D34</f>
        <v>51.032025000000004</v>
      </c>
      <c r="G18" s="16">
        <f>$D35</f>
        <v>51.032025000000004</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-13.56797499999999</v>
      </c>
      <c r="D19" s="16">
        <f t="shared" ref="D19:V19" si="1">D18-D17</f>
        <v>-4.9679749999999956</v>
      </c>
      <c r="E19" s="16">
        <f t="shared" si="1"/>
        <v>-4.9679749999999956</v>
      </c>
      <c r="F19" s="16">
        <f t="shared" si="1"/>
        <v>-13.56797499999999</v>
      </c>
      <c r="G19" s="16">
        <f t="shared" si="1"/>
        <v>-13.56797499999999</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15.1775775</v>
      </c>
      <c r="D22" s="16">
        <f>$E32</f>
        <v>15.1775775</v>
      </c>
      <c r="E22" s="16">
        <f>$E33</f>
        <v>15.1775775</v>
      </c>
      <c r="F22" s="16">
        <f>$E34</f>
        <v>15.1775775</v>
      </c>
      <c r="G22" s="16">
        <f>$E35</f>
        <v>15.1775775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-212.82242249999999</v>
      </c>
      <c r="D23" s="16">
        <f t="shared" ref="D23:V23" si="3">D22-D21</f>
        <v>-160.82242249999999</v>
      </c>
      <c r="E23" s="16">
        <f t="shared" si="3"/>
        <v>-160.82242249999999</v>
      </c>
      <c r="F23" s="16">
        <f t="shared" si="3"/>
        <v>-212.82242249999999</v>
      </c>
      <c r="G23" s="16">
        <f t="shared" si="3"/>
        <v>-212.82242249999999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v>135</v>
      </c>
      <c r="C31" s="77">
        <f t="shared" ref="C31:C50" si="5">IF(C$27="%w/w SAR",((C$28*10)*$B31),IF(C$27="%w/w DM",(((C$28*10)*($B$28/100))*$B31),IF(C$27="kg/t SAR",(C$28*$B31),IF(C$27="kg/t DM",((C$28*($B$28/100))*$B31),IF(C$27="mg/kg SAR",((C$28*0.001)*$B31),IF(C$27="mg/kg DM",(((C$28*0.001)*($B$28/100))*$B31),0))))))</f>
        <v>148.5</v>
      </c>
      <c r="D31" s="77">
        <f t="shared" ref="D31:D50" si="6">(IF(D$27="%w/w SAR",((D$28*10)*$B31),IF(D$27="%w/w DM",(((D$28*10)*($B$28/100))*$B31),IF(D$27="kg/t SAR",(D$28*$B31),IF(D$27="kg/t DM",((D$28*($B$28/100))*$B31),IF(D$27="mg/kg SAR",((D$28*0.001)*$B31),IF(D$27="mg/kg DM",(((D$28*0.001)*($B$28/100))*$B31),"0")))))))*2.291</f>
        <v>51.032025000000004</v>
      </c>
      <c r="E31" s="77">
        <f t="shared" ref="E31:E50" si="7">(IF(E$27="%w/w SAR",((E$28*10)*$B31),IF(E$27="%w/w DM",(((E$28*10)*($B$28/100))*$B31),IF(E$27="kg/t SAR",(E$28*$B31),IF(E$27="kg/t DM",((E$28*($B$28/100))*$B31),IF(E$27="mg/kg SAR",((E$28*0.001)*$B31),IF(E$27="mg/kg DM",(((E$28*0.001)*($B$28/100))*$B31),"0")))))))*1.205</f>
        <v>15.1775775</v>
      </c>
      <c r="F31" s="77">
        <f t="shared" ref="F31:F50" si="8">(IF(F$27="%w/w SAR",((F$28*10)*$B31),IF(F$27="%w/w DM",(((F$28*10)*($B$28/100))*$B31),IF(F$27="kg/t SAR",(F$28*$B31),IF(F$27="kg/t DM",((F$28*($B$28/100))*$B31),IF(F$27="mg/kg SAR",((F$28*0.001)*$B31),IF(F$27="mg/kg DM",(((F$28*0.001)*($B$28/100))*$B31),"0")))))))*1.658</f>
        <v>17.884017000000004</v>
      </c>
      <c r="G31" s="77">
        <f t="shared" ref="G31:P31" si="9">IF(G$27="%w/w SAR",((G$28*10)*$B31),IF(G$27="%w/w DM",(((G$28*10)*($B$28/100))*$B31),IF(G$27="kg/t SAR",(G$28*$B31),IF(G$27="kg/t DM",((G$28*($B$28/100))*$B31),IF(G$27="mg/kg SAR",((G$28*0.001)*$B31),IF(G$27="mg/kg DM",(((G$28*0.001)*($B$28/100))*$B31),0))))))</f>
        <v>9.2340000000000005E-2</v>
      </c>
      <c r="H31" s="77">
        <f t="shared" si="9"/>
        <v>0.51165000000000005</v>
      </c>
      <c r="I31" s="77">
        <f t="shared" si="9"/>
        <v>6.7500000000000004E-2</v>
      </c>
      <c r="J31" s="77">
        <f t="shared" si="9"/>
        <v>1.3500000000000001E-3</v>
      </c>
      <c r="K31" s="77">
        <f t="shared" si="9"/>
        <v>6.7499999999999999E-3</v>
      </c>
      <c r="L31" s="77">
        <f t="shared" si="9"/>
        <v>2.7E-2</v>
      </c>
      <c r="M31" s="77">
        <f t="shared" si="9"/>
        <v>3.0510000000000002E-2</v>
      </c>
      <c r="N31" s="77">
        <f t="shared" si="9"/>
        <v>0</v>
      </c>
      <c r="O31" s="77">
        <f t="shared" si="9"/>
        <v>0</v>
      </c>
      <c r="P31" s="77">
        <f t="shared" si="9"/>
        <v>45.36</v>
      </c>
      <c r="Q31" s="77">
        <f t="shared" ref="Q31:Q50" si="10">(IF(Q$27="%w/w SAR",((Q$28*10)*$B31),IF(Q$27="%w/w DM",(((Q$28*10)*($B$28/100))*$B31),IF(Q$27="kg/t SAR",(Q$28*$B31),IF(Q$27="kg/t DM",((Q$28*($B$28/100))*$B31),IF(Q$27="mg/kg SAR",((Q$28*0.001)*$B31),IF(Q$27="mg/kg DM",(((Q$28*0.001)*($B$28/100))*$B31),0)))))))*2.5</f>
        <v>65.8125</v>
      </c>
      <c r="R31" s="77">
        <f t="shared" ref="R31:U50" si="11">IF(R$27="%w/w SAR",((R$28*10)*$B31),IF(R$27="%w/w DM",(((R$28*10)*($B$28/100))*$B31),IF(R$27="kg/t SAR",(R$28*$B31),IF(R$27="kg/t DM",((R$28*($B$28/100))*$B31),IF(R$27="mg/kg SAR",((R$28*0.001)*$B31),IF(R$27="mg/kg DM",(((R$28*0.001)*($B$28/100))*$B31),0))))))</f>
        <v>0</v>
      </c>
      <c r="S31" s="77">
        <f t="shared" si="11"/>
        <v>0</v>
      </c>
      <c r="T31" s="77">
        <f t="shared" si="11"/>
        <v>0</v>
      </c>
      <c r="U31" s="77">
        <f t="shared" si="11"/>
        <v>0</v>
      </c>
      <c r="AB31" s="59"/>
      <c r="AC31" s="59"/>
      <c r="AD31" s="59"/>
      <c r="AE31" s="59"/>
      <c r="AF31" s="59"/>
      <c r="AG31" s="59"/>
      <c r="AH31" s="59"/>
      <c r="AI31" s="59"/>
    </row>
    <row r="32" spans="1:40" s="72" customFormat="1" ht="13" x14ac:dyDescent="0.35">
      <c r="A32" s="13">
        <f>D8</f>
        <v>23</v>
      </c>
      <c r="B32" s="15">
        <v>135</v>
      </c>
      <c r="C32" s="77">
        <f t="shared" si="5"/>
        <v>148.5</v>
      </c>
      <c r="D32" s="77">
        <f t="shared" si="6"/>
        <v>51.032025000000004</v>
      </c>
      <c r="E32" s="77">
        <f t="shared" si="7"/>
        <v>15.1775775</v>
      </c>
      <c r="F32" s="77">
        <f t="shared" si="8"/>
        <v>17.884017000000004</v>
      </c>
      <c r="G32" s="77">
        <f t="shared" ref="G32:P41" si="12">IF(G$27="%w/w SAR",((G$28*10)*$B32),IF(G$27="%w/w DM",(((G$28*10)*($B$28/100))*$B32),IF(G$27="kg/t SAR",(G$28*$B32),IF(G$27="kg/t DM",((G$28*($B$28/100))*$B32),IF(G$27="mg/kg SAR",((G$28*0.001)*$B32),IF(G$27="mg/kg DM",(((G$28*0.001)*($B$28/100))*$B32),0))))))</f>
        <v>9.2340000000000005E-2</v>
      </c>
      <c r="H32" s="77">
        <f t="shared" si="12"/>
        <v>0.51165000000000005</v>
      </c>
      <c r="I32" s="77">
        <f t="shared" si="12"/>
        <v>6.7500000000000004E-2</v>
      </c>
      <c r="J32" s="77">
        <f t="shared" si="12"/>
        <v>1.3500000000000001E-3</v>
      </c>
      <c r="K32" s="77">
        <f t="shared" si="12"/>
        <v>6.7499999999999999E-3</v>
      </c>
      <c r="L32" s="77">
        <f t="shared" si="12"/>
        <v>2.7E-2</v>
      </c>
      <c r="M32" s="77">
        <f t="shared" si="12"/>
        <v>3.0510000000000002E-2</v>
      </c>
      <c r="N32" s="77">
        <f t="shared" si="12"/>
        <v>0</v>
      </c>
      <c r="O32" s="77">
        <f t="shared" si="12"/>
        <v>0</v>
      </c>
      <c r="P32" s="77">
        <f t="shared" si="12"/>
        <v>45.36</v>
      </c>
      <c r="Q32" s="77">
        <f t="shared" si="10"/>
        <v>65.8125</v>
      </c>
      <c r="R32" s="77">
        <f t="shared" si="11"/>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v>135</v>
      </c>
      <c r="C33" s="77">
        <f t="shared" si="5"/>
        <v>148.5</v>
      </c>
      <c r="D33" s="77">
        <f t="shared" si="6"/>
        <v>51.032025000000004</v>
      </c>
      <c r="E33" s="77">
        <f t="shared" si="7"/>
        <v>15.1775775</v>
      </c>
      <c r="F33" s="77">
        <f t="shared" si="8"/>
        <v>17.884017000000004</v>
      </c>
      <c r="G33" s="77">
        <f t="shared" si="12"/>
        <v>9.2340000000000005E-2</v>
      </c>
      <c r="H33" s="77">
        <f t="shared" si="12"/>
        <v>0.51165000000000005</v>
      </c>
      <c r="I33" s="77">
        <f t="shared" si="12"/>
        <v>6.7500000000000004E-2</v>
      </c>
      <c r="J33" s="77">
        <f t="shared" si="12"/>
        <v>1.3500000000000001E-3</v>
      </c>
      <c r="K33" s="77">
        <f t="shared" si="12"/>
        <v>6.7499999999999999E-3</v>
      </c>
      <c r="L33" s="77">
        <f t="shared" si="12"/>
        <v>2.7E-2</v>
      </c>
      <c r="M33" s="77">
        <f t="shared" si="12"/>
        <v>3.0510000000000002E-2</v>
      </c>
      <c r="N33" s="77">
        <f t="shared" si="12"/>
        <v>0</v>
      </c>
      <c r="O33" s="77">
        <f t="shared" si="12"/>
        <v>0</v>
      </c>
      <c r="P33" s="77">
        <f t="shared" si="12"/>
        <v>45.36</v>
      </c>
      <c r="Q33" s="77">
        <f t="shared" si="10"/>
        <v>65.8125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v>135</v>
      </c>
      <c r="C34" s="77">
        <f t="shared" si="5"/>
        <v>148.5</v>
      </c>
      <c r="D34" s="77">
        <f t="shared" si="6"/>
        <v>51.032025000000004</v>
      </c>
      <c r="E34" s="77">
        <f t="shared" si="7"/>
        <v>15.1775775</v>
      </c>
      <c r="F34" s="77">
        <f t="shared" si="8"/>
        <v>17.884017000000004</v>
      </c>
      <c r="G34" s="77">
        <f t="shared" si="12"/>
        <v>9.2340000000000005E-2</v>
      </c>
      <c r="H34" s="77">
        <f t="shared" si="12"/>
        <v>0.51165000000000005</v>
      </c>
      <c r="I34" s="77">
        <f t="shared" si="12"/>
        <v>6.7500000000000004E-2</v>
      </c>
      <c r="J34" s="77">
        <f t="shared" si="12"/>
        <v>1.3500000000000001E-3</v>
      </c>
      <c r="K34" s="77">
        <f t="shared" si="12"/>
        <v>6.7499999999999999E-3</v>
      </c>
      <c r="L34" s="77">
        <f t="shared" si="12"/>
        <v>2.7E-2</v>
      </c>
      <c r="M34" s="77">
        <f t="shared" si="12"/>
        <v>3.0510000000000002E-2</v>
      </c>
      <c r="N34" s="77">
        <f t="shared" si="12"/>
        <v>0</v>
      </c>
      <c r="O34" s="77">
        <f t="shared" si="12"/>
        <v>0</v>
      </c>
      <c r="P34" s="77">
        <f t="shared" si="12"/>
        <v>45.36</v>
      </c>
      <c r="Q34" s="77">
        <f t="shared" si="10"/>
        <v>65.8125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v>135</v>
      </c>
      <c r="C35" s="77">
        <f t="shared" si="5"/>
        <v>148.5</v>
      </c>
      <c r="D35" s="77">
        <f t="shared" si="6"/>
        <v>51.032025000000004</v>
      </c>
      <c r="E35" s="77">
        <f t="shared" si="7"/>
        <v>15.1775775</v>
      </c>
      <c r="F35" s="77">
        <f t="shared" si="8"/>
        <v>17.884017000000004</v>
      </c>
      <c r="G35" s="77">
        <f t="shared" si="12"/>
        <v>9.2340000000000005E-2</v>
      </c>
      <c r="H35" s="77">
        <f t="shared" si="12"/>
        <v>0.51165000000000005</v>
      </c>
      <c r="I35" s="77">
        <f t="shared" si="12"/>
        <v>6.7500000000000004E-2</v>
      </c>
      <c r="J35" s="77">
        <f t="shared" si="12"/>
        <v>1.3500000000000001E-3</v>
      </c>
      <c r="K35" s="77">
        <f t="shared" si="12"/>
        <v>6.7499999999999999E-3</v>
      </c>
      <c r="L35" s="77">
        <f t="shared" si="12"/>
        <v>2.7E-2</v>
      </c>
      <c r="M35" s="77">
        <f t="shared" si="12"/>
        <v>3.0510000000000002E-2</v>
      </c>
      <c r="N35" s="77">
        <f t="shared" si="12"/>
        <v>0</v>
      </c>
      <c r="O35" s="77">
        <f t="shared" si="12"/>
        <v>0</v>
      </c>
      <c r="P35" s="77">
        <f t="shared" si="12"/>
        <v>45.36</v>
      </c>
      <c r="Q35" s="77">
        <f t="shared" si="10"/>
        <v>65.8125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5"/>
        <v>0</v>
      </c>
      <c r="D36" s="77">
        <f t="shared" si="6"/>
        <v>0</v>
      </c>
      <c r="E36" s="77">
        <f t="shared" si="7"/>
        <v>0</v>
      </c>
      <c r="F36" s="77">
        <f t="shared" si="8"/>
        <v>0</v>
      </c>
      <c r="G36" s="77">
        <f t="shared" si="12"/>
        <v>0</v>
      </c>
      <c r="H36" s="77">
        <f t="shared" si="12"/>
        <v>0</v>
      </c>
      <c r="I36" s="77">
        <f t="shared" si="12"/>
        <v>0</v>
      </c>
      <c r="J36" s="77">
        <f t="shared" si="12"/>
        <v>0</v>
      </c>
      <c r="K36" s="77">
        <f t="shared" si="12"/>
        <v>0</v>
      </c>
      <c r="L36" s="77">
        <f t="shared" si="12"/>
        <v>0</v>
      </c>
      <c r="M36" s="77">
        <f t="shared" si="12"/>
        <v>0</v>
      </c>
      <c r="N36" s="77">
        <f t="shared" si="12"/>
        <v>0</v>
      </c>
      <c r="O36" s="77">
        <f t="shared" si="12"/>
        <v>0</v>
      </c>
      <c r="P36" s="77">
        <f t="shared" si="12"/>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5"/>
        <v>0</v>
      </c>
      <c r="D37" s="77">
        <f t="shared" si="6"/>
        <v>0</v>
      </c>
      <c r="E37" s="77">
        <f t="shared" si="7"/>
        <v>0</v>
      </c>
      <c r="F37" s="77">
        <f t="shared" si="8"/>
        <v>0</v>
      </c>
      <c r="G37" s="77">
        <f t="shared" si="12"/>
        <v>0</v>
      </c>
      <c r="H37" s="77">
        <f t="shared" si="12"/>
        <v>0</v>
      </c>
      <c r="I37" s="77">
        <f t="shared" si="12"/>
        <v>0</v>
      </c>
      <c r="J37" s="77">
        <f t="shared" si="12"/>
        <v>0</v>
      </c>
      <c r="K37" s="77">
        <f t="shared" si="12"/>
        <v>0</v>
      </c>
      <c r="L37" s="77">
        <f t="shared" si="12"/>
        <v>0</v>
      </c>
      <c r="M37" s="77">
        <f t="shared" si="12"/>
        <v>0</v>
      </c>
      <c r="N37" s="77">
        <f t="shared" si="12"/>
        <v>0</v>
      </c>
      <c r="O37" s="77">
        <f t="shared" si="12"/>
        <v>0</v>
      </c>
      <c r="P37" s="77">
        <f t="shared" si="12"/>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5"/>
        <v>0</v>
      </c>
      <c r="D38" s="77">
        <f t="shared" si="6"/>
        <v>0</v>
      </c>
      <c r="E38" s="77">
        <f t="shared" si="7"/>
        <v>0</v>
      </c>
      <c r="F38" s="77">
        <f t="shared" si="8"/>
        <v>0</v>
      </c>
      <c r="G38" s="77">
        <f t="shared" si="12"/>
        <v>0</v>
      </c>
      <c r="H38" s="77">
        <f t="shared" si="12"/>
        <v>0</v>
      </c>
      <c r="I38" s="77">
        <f t="shared" si="12"/>
        <v>0</v>
      </c>
      <c r="J38" s="77">
        <f t="shared" si="12"/>
        <v>0</v>
      </c>
      <c r="K38" s="77">
        <f t="shared" si="12"/>
        <v>0</v>
      </c>
      <c r="L38" s="77">
        <f t="shared" si="12"/>
        <v>0</v>
      </c>
      <c r="M38" s="77">
        <f t="shared" si="12"/>
        <v>0</v>
      </c>
      <c r="N38" s="77">
        <f t="shared" si="12"/>
        <v>0</v>
      </c>
      <c r="O38" s="77">
        <f t="shared" si="12"/>
        <v>0</v>
      </c>
      <c r="P38" s="77">
        <f t="shared" si="12"/>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5"/>
        <v>0</v>
      </c>
      <c r="D39" s="77">
        <f t="shared" si="6"/>
        <v>0</v>
      </c>
      <c r="E39" s="77">
        <f t="shared" si="7"/>
        <v>0</v>
      </c>
      <c r="F39" s="77">
        <f t="shared" si="8"/>
        <v>0</v>
      </c>
      <c r="G39" s="77">
        <f t="shared" si="12"/>
        <v>0</v>
      </c>
      <c r="H39" s="77">
        <f t="shared" si="12"/>
        <v>0</v>
      </c>
      <c r="I39" s="77">
        <f t="shared" si="12"/>
        <v>0</v>
      </c>
      <c r="J39" s="77">
        <f t="shared" si="12"/>
        <v>0</v>
      </c>
      <c r="K39" s="77">
        <f t="shared" si="12"/>
        <v>0</v>
      </c>
      <c r="L39" s="77">
        <f t="shared" si="12"/>
        <v>0</v>
      </c>
      <c r="M39" s="77">
        <f t="shared" si="12"/>
        <v>0</v>
      </c>
      <c r="N39" s="77">
        <f t="shared" si="12"/>
        <v>0</v>
      </c>
      <c r="O39" s="77">
        <f t="shared" si="12"/>
        <v>0</v>
      </c>
      <c r="P39" s="77">
        <f t="shared" si="12"/>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5"/>
        <v>0</v>
      </c>
      <c r="D40" s="77">
        <f t="shared" si="6"/>
        <v>0</v>
      </c>
      <c r="E40" s="77">
        <f t="shared" si="7"/>
        <v>0</v>
      </c>
      <c r="F40" s="77">
        <f t="shared" si="8"/>
        <v>0</v>
      </c>
      <c r="G40" s="77">
        <f t="shared" si="12"/>
        <v>0</v>
      </c>
      <c r="H40" s="77">
        <f t="shared" si="12"/>
        <v>0</v>
      </c>
      <c r="I40" s="77">
        <f t="shared" si="12"/>
        <v>0</v>
      </c>
      <c r="J40" s="77">
        <f t="shared" si="12"/>
        <v>0</v>
      </c>
      <c r="K40" s="77">
        <f t="shared" si="12"/>
        <v>0</v>
      </c>
      <c r="L40" s="77">
        <f t="shared" si="12"/>
        <v>0</v>
      </c>
      <c r="M40" s="77">
        <f t="shared" si="12"/>
        <v>0</v>
      </c>
      <c r="N40" s="77">
        <f t="shared" si="12"/>
        <v>0</v>
      </c>
      <c r="O40" s="77">
        <f t="shared" si="12"/>
        <v>0</v>
      </c>
      <c r="P40" s="77">
        <f t="shared" si="12"/>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5"/>
        <v>0</v>
      </c>
      <c r="D41" s="77">
        <f t="shared" si="6"/>
        <v>0</v>
      </c>
      <c r="E41" s="77">
        <f t="shared" si="7"/>
        <v>0</v>
      </c>
      <c r="F41" s="77">
        <f t="shared" si="8"/>
        <v>0</v>
      </c>
      <c r="G41" s="77">
        <f t="shared" si="12"/>
        <v>0</v>
      </c>
      <c r="H41" s="77">
        <f t="shared" si="12"/>
        <v>0</v>
      </c>
      <c r="I41" s="77">
        <f t="shared" si="12"/>
        <v>0</v>
      </c>
      <c r="J41" s="77">
        <f t="shared" si="12"/>
        <v>0</v>
      </c>
      <c r="K41" s="77">
        <f t="shared" si="12"/>
        <v>0</v>
      </c>
      <c r="L41" s="77">
        <f t="shared" si="12"/>
        <v>0</v>
      </c>
      <c r="M41" s="77">
        <f t="shared" si="12"/>
        <v>0</v>
      </c>
      <c r="N41" s="77">
        <f t="shared" si="12"/>
        <v>0</v>
      </c>
      <c r="O41" s="77">
        <f t="shared" si="12"/>
        <v>0</v>
      </c>
      <c r="P41" s="77">
        <f t="shared" si="12"/>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5"/>
        <v>0</v>
      </c>
      <c r="D42" s="77">
        <f t="shared" si="6"/>
        <v>0</v>
      </c>
      <c r="E42" s="77">
        <f t="shared" si="7"/>
        <v>0</v>
      </c>
      <c r="F42" s="77">
        <f t="shared" si="8"/>
        <v>0</v>
      </c>
      <c r="G42" s="77">
        <f t="shared" ref="G42:P50" si="13">IF(G$27="%w/w SAR",((G$28*10)*$B42),IF(G$27="%w/w DM",(((G$28*10)*($B$28/100))*$B42),IF(G$27="kg/t SAR",(G$28*$B42),IF(G$27="kg/t DM",((G$28*($B$28/100))*$B42),IF(G$27="mg/kg SAR",((G$28*0.001)*$B42),IF(G$27="mg/kg DM",(((G$28*0.001)*($B$28/100))*$B42),0))))))</f>
        <v>0</v>
      </c>
      <c r="H42" s="77">
        <f t="shared" si="13"/>
        <v>0</v>
      </c>
      <c r="I42" s="77">
        <f t="shared" si="13"/>
        <v>0</v>
      </c>
      <c r="J42" s="77">
        <f t="shared" si="13"/>
        <v>0</v>
      </c>
      <c r="K42" s="77">
        <f t="shared" si="13"/>
        <v>0</v>
      </c>
      <c r="L42" s="77">
        <f t="shared" si="13"/>
        <v>0</v>
      </c>
      <c r="M42" s="77">
        <f t="shared" si="13"/>
        <v>0</v>
      </c>
      <c r="N42" s="77">
        <f t="shared" si="13"/>
        <v>0</v>
      </c>
      <c r="O42" s="77">
        <f t="shared" si="13"/>
        <v>0</v>
      </c>
      <c r="P42" s="77">
        <f t="shared" si="13"/>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5"/>
        <v>0</v>
      </c>
      <c r="D43" s="77">
        <f t="shared" si="6"/>
        <v>0</v>
      </c>
      <c r="E43" s="77">
        <f t="shared" si="7"/>
        <v>0</v>
      </c>
      <c r="F43" s="77">
        <f t="shared" si="8"/>
        <v>0</v>
      </c>
      <c r="G43" s="77">
        <f t="shared" si="13"/>
        <v>0</v>
      </c>
      <c r="H43" s="77">
        <f t="shared" si="13"/>
        <v>0</v>
      </c>
      <c r="I43" s="77">
        <f t="shared" si="13"/>
        <v>0</v>
      </c>
      <c r="J43" s="77">
        <f t="shared" si="13"/>
        <v>0</v>
      </c>
      <c r="K43" s="77">
        <f t="shared" si="13"/>
        <v>0</v>
      </c>
      <c r="L43" s="77">
        <f t="shared" si="13"/>
        <v>0</v>
      </c>
      <c r="M43" s="77">
        <f t="shared" si="13"/>
        <v>0</v>
      </c>
      <c r="N43" s="77">
        <f t="shared" si="13"/>
        <v>0</v>
      </c>
      <c r="O43" s="77">
        <f t="shared" si="13"/>
        <v>0</v>
      </c>
      <c r="P43" s="77">
        <f t="shared" si="13"/>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5"/>
        <v>0</v>
      </c>
      <c r="D44" s="77">
        <f t="shared" si="6"/>
        <v>0</v>
      </c>
      <c r="E44" s="77">
        <f t="shared" si="7"/>
        <v>0</v>
      </c>
      <c r="F44" s="77">
        <f t="shared" si="8"/>
        <v>0</v>
      </c>
      <c r="G44" s="77">
        <f t="shared" si="13"/>
        <v>0</v>
      </c>
      <c r="H44" s="77">
        <f t="shared" si="13"/>
        <v>0</v>
      </c>
      <c r="I44" s="77">
        <f t="shared" si="13"/>
        <v>0</v>
      </c>
      <c r="J44" s="77">
        <f t="shared" si="13"/>
        <v>0</v>
      </c>
      <c r="K44" s="77">
        <f t="shared" si="13"/>
        <v>0</v>
      </c>
      <c r="L44" s="77">
        <f t="shared" si="13"/>
        <v>0</v>
      </c>
      <c r="M44" s="77">
        <f t="shared" si="13"/>
        <v>0</v>
      </c>
      <c r="N44" s="77">
        <f t="shared" si="13"/>
        <v>0</v>
      </c>
      <c r="O44" s="77">
        <f t="shared" si="13"/>
        <v>0</v>
      </c>
      <c r="P44" s="77">
        <f t="shared" si="13"/>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5"/>
        <v>0</v>
      </c>
      <c r="D45" s="77">
        <f t="shared" si="6"/>
        <v>0</v>
      </c>
      <c r="E45" s="77">
        <f t="shared" si="7"/>
        <v>0</v>
      </c>
      <c r="F45" s="77">
        <f t="shared" si="8"/>
        <v>0</v>
      </c>
      <c r="G45" s="77">
        <f t="shared" si="13"/>
        <v>0</v>
      </c>
      <c r="H45" s="77">
        <f t="shared" si="13"/>
        <v>0</v>
      </c>
      <c r="I45" s="77">
        <f t="shared" si="13"/>
        <v>0</v>
      </c>
      <c r="J45" s="77">
        <f t="shared" si="13"/>
        <v>0</v>
      </c>
      <c r="K45" s="77">
        <f t="shared" si="13"/>
        <v>0</v>
      </c>
      <c r="L45" s="77">
        <f t="shared" si="13"/>
        <v>0</v>
      </c>
      <c r="M45" s="77">
        <f t="shared" si="13"/>
        <v>0</v>
      </c>
      <c r="N45" s="77">
        <f t="shared" si="13"/>
        <v>0</v>
      </c>
      <c r="O45" s="77">
        <f t="shared" si="13"/>
        <v>0</v>
      </c>
      <c r="P45" s="77">
        <f t="shared" si="13"/>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5"/>
        <v>0</v>
      </c>
      <c r="D46" s="77">
        <f t="shared" si="6"/>
        <v>0</v>
      </c>
      <c r="E46" s="77">
        <f t="shared" si="7"/>
        <v>0</v>
      </c>
      <c r="F46" s="77">
        <f t="shared" si="8"/>
        <v>0</v>
      </c>
      <c r="G46" s="77">
        <f t="shared" si="13"/>
        <v>0</v>
      </c>
      <c r="H46" s="77">
        <f t="shared" si="13"/>
        <v>0</v>
      </c>
      <c r="I46" s="77">
        <f t="shared" si="13"/>
        <v>0</v>
      </c>
      <c r="J46" s="77">
        <f t="shared" si="13"/>
        <v>0</v>
      </c>
      <c r="K46" s="77">
        <f t="shared" si="13"/>
        <v>0</v>
      </c>
      <c r="L46" s="77">
        <f t="shared" si="13"/>
        <v>0</v>
      </c>
      <c r="M46" s="77">
        <f t="shared" si="13"/>
        <v>0</v>
      </c>
      <c r="N46" s="77">
        <f t="shared" si="13"/>
        <v>0</v>
      </c>
      <c r="O46" s="77">
        <f t="shared" si="13"/>
        <v>0</v>
      </c>
      <c r="P46" s="77">
        <f t="shared" si="13"/>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5"/>
        <v>0</v>
      </c>
      <c r="D47" s="77">
        <f t="shared" si="6"/>
        <v>0</v>
      </c>
      <c r="E47" s="77">
        <f t="shared" si="7"/>
        <v>0</v>
      </c>
      <c r="F47" s="77">
        <f t="shared" si="8"/>
        <v>0</v>
      </c>
      <c r="G47" s="77">
        <f t="shared" si="13"/>
        <v>0</v>
      </c>
      <c r="H47" s="77">
        <f t="shared" si="13"/>
        <v>0</v>
      </c>
      <c r="I47" s="77">
        <f t="shared" si="13"/>
        <v>0</v>
      </c>
      <c r="J47" s="77">
        <f t="shared" si="13"/>
        <v>0</v>
      </c>
      <c r="K47" s="77">
        <f t="shared" si="13"/>
        <v>0</v>
      </c>
      <c r="L47" s="77">
        <f t="shared" si="13"/>
        <v>0</v>
      </c>
      <c r="M47" s="77">
        <f t="shared" si="13"/>
        <v>0</v>
      </c>
      <c r="N47" s="77">
        <f t="shared" si="13"/>
        <v>0</v>
      </c>
      <c r="O47" s="77">
        <f t="shared" si="13"/>
        <v>0</v>
      </c>
      <c r="P47" s="77">
        <f t="shared" si="13"/>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5"/>
        <v>0</v>
      </c>
      <c r="D48" s="77">
        <f t="shared" si="6"/>
        <v>0</v>
      </c>
      <c r="E48" s="77">
        <f t="shared" si="7"/>
        <v>0</v>
      </c>
      <c r="F48" s="77">
        <f t="shared" si="8"/>
        <v>0</v>
      </c>
      <c r="G48" s="77">
        <f t="shared" si="13"/>
        <v>0</v>
      </c>
      <c r="H48" s="77">
        <f t="shared" si="13"/>
        <v>0</v>
      </c>
      <c r="I48" s="77">
        <f t="shared" si="13"/>
        <v>0</v>
      </c>
      <c r="J48" s="77">
        <f t="shared" si="13"/>
        <v>0</v>
      </c>
      <c r="K48" s="77">
        <f t="shared" si="13"/>
        <v>0</v>
      </c>
      <c r="L48" s="77">
        <f t="shared" si="13"/>
        <v>0</v>
      </c>
      <c r="M48" s="77">
        <f t="shared" si="13"/>
        <v>0</v>
      </c>
      <c r="N48" s="77">
        <f t="shared" si="13"/>
        <v>0</v>
      </c>
      <c r="O48" s="77">
        <f t="shared" si="13"/>
        <v>0</v>
      </c>
      <c r="P48" s="77">
        <f t="shared" si="13"/>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5"/>
        <v>0</v>
      </c>
      <c r="D49" s="77">
        <f t="shared" si="6"/>
        <v>0</v>
      </c>
      <c r="E49" s="77">
        <f t="shared" si="7"/>
        <v>0</v>
      </c>
      <c r="F49" s="77">
        <f t="shared" si="8"/>
        <v>0</v>
      </c>
      <c r="G49" s="77">
        <f t="shared" si="13"/>
        <v>0</v>
      </c>
      <c r="H49" s="77">
        <f t="shared" si="13"/>
        <v>0</v>
      </c>
      <c r="I49" s="77">
        <f t="shared" si="13"/>
        <v>0</v>
      </c>
      <c r="J49" s="77">
        <f t="shared" si="13"/>
        <v>0</v>
      </c>
      <c r="K49" s="77">
        <f t="shared" si="13"/>
        <v>0</v>
      </c>
      <c r="L49" s="77">
        <f t="shared" si="13"/>
        <v>0</v>
      </c>
      <c r="M49" s="77">
        <f t="shared" si="13"/>
        <v>0</v>
      </c>
      <c r="N49" s="77">
        <f t="shared" si="13"/>
        <v>0</v>
      </c>
      <c r="O49" s="77">
        <f t="shared" si="13"/>
        <v>0</v>
      </c>
      <c r="P49" s="77">
        <f t="shared" si="13"/>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5"/>
        <v>0</v>
      </c>
      <c r="D50" s="98">
        <f t="shared" si="6"/>
        <v>0</v>
      </c>
      <c r="E50" s="98">
        <f t="shared" si="7"/>
        <v>0</v>
      </c>
      <c r="F50" s="98">
        <f t="shared" si="8"/>
        <v>0</v>
      </c>
      <c r="G50" s="98">
        <f t="shared" si="13"/>
        <v>0</v>
      </c>
      <c r="H50" s="98">
        <f t="shared" si="13"/>
        <v>0</v>
      </c>
      <c r="I50" s="98">
        <f t="shared" si="13"/>
        <v>0</v>
      </c>
      <c r="J50" s="98">
        <f t="shared" si="13"/>
        <v>0</v>
      </c>
      <c r="K50" s="98">
        <f t="shared" si="13"/>
        <v>0</v>
      </c>
      <c r="L50" s="98">
        <f t="shared" si="13"/>
        <v>0</v>
      </c>
      <c r="M50" s="98">
        <f t="shared" si="13"/>
        <v>0</v>
      </c>
      <c r="N50" s="98">
        <f t="shared" si="13"/>
        <v>0</v>
      </c>
      <c r="O50" s="98">
        <f t="shared" si="13"/>
        <v>0</v>
      </c>
      <c r="P50" s="98">
        <f t="shared" si="13"/>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4">D8</f>
        <v>23</v>
      </c>
      <c r="D57" s="8">
        <f t="shared" si="14"/>
        <v>24</v>
      </c>
      <c r="E57" s="8" t="str">
        <f t="shared" si="14"/>
        <v xml:space="preserve">A </v>
      </c>
      <c r="F57" s="8" t="str">
        <f t="shared" si="14"/>
        <v>B</v>
      </c>
      <c r="G57" s="8">
        <f t="shared" si="14"/>
        <v>0</v>
      </c>
      <c r="H57" s="8">
        <f t="shared" si="14"/>
        <v>0</v>
      </c>
      <c r="I57" s="8">
        <f t="shared" si="14"/>
        <v>0</v>
      </c>
      <c r="J57" s="8">
        <f t="shared" si="14"/>
        <v>0</v>
      </c>
      <c r="K57" s="8">
        <f t="shared" si="14"/>
        <v>0</v>
      </c>
      <c r="L57" s="8">
        <f t="shared" si="14"/>
        <v>0</v>
      </c>
      <c r="M57" s="8">
        <f t="shared" si="14"/>
        <v>0</v>
      </c>
      <c r="N57" s="8">
        <f t="shared" si="14"/>
        <v>0</v>
      </c>
      <c r="O57" s="8">
        <f t="shared" si="14"/>
        <v>0</v>
      </c>
      <c r="P57" s="8">
        <f t="shared" si="14"/>
        <v>0</v>
      </c>
      <c r="Q57" s="8">
        <f t="shared" si="14"/>
        <v>0</v>
      </c>
      <c r="R57" s="8">
        <f t="shared" si="14"/>
        <v>0</v>
      </c>
      <c r="S57" s="8">
        <f t="shared" si="14"/>
        <v>0</v>
      </c>
      <c r="T57" s="8">
        <f t="shared" si="14"/>
        <v>0</v>
      </c>
      <c r="U57" s="8">
        <f t="shared" si="14"/>
        <v>0</v>
      </c>
    </row>
    <row r="58" spans="1:35" s="19" customFormat="1" ht="13" x14ac:dyDescent="0.35">
      <c r="A58" s="92" t="s">
        <v>136</v>
      </c>
      <c r="B58" s="13" t="str">
        <f>C16&amp;" I "&amp;(VLOOKUP(C14,Table245811[],6,FALSE))</f>
        <v>Medium/Clay I Grass</v>
      </c>
      <c r="C58" s="13" t="str">
        <f>D16&amp;" I "&amp;(VLOOKUP(D14,Table245811[],6,FALSE))</f>
        <v>Medium/Clay I Arable</v>
      </c>
      <c r="D58" s="13" t="str">
        <f>E16&amp;" I "&amp;(VLOOKUP(E14,Table245811[],6,FALSE))</f>
        <v>Medium/Clay I Arable</v>
      </c>
      <c r="E58" s="13" t="str">
        <f>F16&amp;" I "&amp;(VLOOKUP(F14,Table245811[],6,FALSE))</f>
        <v>Medium/Clay I Grass</v>
      </c>
      <c r="F58" s="13" t="str">
        <f>G16&amp;" I "&amp;(VLOOKUP(G14,Table245811[],6,FALSE))</f>
        <v>Medium/Clay I Grass</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6.7</v>
      </c>
      <c r="D59" s="76">
        <f>VLOOKUP(E$14,Table245811[],5,FALSE)</f>
        <v>6.7</v>
      </c>
      <c r="E59" s="76">
        <f>VLOOKUP(F$14,Table245811[],5,FALSE)</f>
        <v>6.2</v>
      </c>
      <c r="F59" s="76">
        <f>VLOOKUP(G$14,Table245811[],5,FALSE)</f>
        <v>6.2</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5.4</v>
      </c>
      <c r="C60" s="76">
        <f t="shared" ref="C60:U60" si="15">D10</f>
        <v>6.3</v>
      </c>
      <c r="D60" s="76">
        <f t="shared" si="15"/>
        <v>5.9</v>
      </c>
      <c r="E60" s="76">
        <f t="shared" si="15"/>
        <v>6.1</v>
      </c>
      <c r="F60" s="76">
        <f t="shared" si="15"/>
        <v>5.8</v>
      </c>
      <c r="G60" s="76">
        <f t="shared" si="15"/>
        <v>0</v>
      </c>
      <c r="H60" s="76">
        <f t="shared" si="15"/>
        <v>0</v>
      </c>
      <c r="I60" s="76">
        <f t="shared" si="15"/>
        <v>0</v>
      </c>
      <c r="J60" s="76">
        <f t="shared" si="15"/>
        <v>0</v>
      </c>
      <c r="K60" s="76">
        <f t="shared" si="15"/>
        <v>0</v>
      </c>
      <c r="L60" s="76">
        <f t="shared" si="15"/>
        <v>0</v>
      </c>
      <c r="M60" s="76">
        <f t="shared" si="15"/>
        <v>0</v>
      </c>
      <c r="N60" s="76">
        <f t="shared" si="15"/>
        <v>0</v>
      </c>
      <c r="O60" s="76">
        <f t="shared" si="15"/>
        <v>0</v>
      </c>
      <c r="P60" s="76">
        <f t="shared" si="15"/>
        <v>0</v>
      </c>
      <c r="Q60" s="76">
        <f t="shared" si="15"/>
        <v>0</v>
      </c>
      <c r="R60" s="76">
        <f t="shared" si="15"/>
        <v>0</v>
      </c>
      <c r="S60" s="76">
        <f t="shared" si="15"/>
        <v>0</v>
      </c>
      <c r="T60" s="76">
        <f t="shared" si="15"/>
        <v>0</v>
      </c>
      <c r="U60" s="76">
        <f t="shared" si="15"/>
        <v>0</v>
      </c>
    </row>
    <row r="61" spans="1:35" s="19" customFormat="1" ht="13" x14ac:dyDescent="0.3">
      <c r="A61" s="111" t="s">
        <v>133</v>
      </c>
      <c r="B61" s="76">
        <f t="shared" ref="B61:U61" si="16">VLOOKUP(B58,$AD9:$AE18,2,FALSE)</f>
        <v>6</v>
      </c>
      <c r="C61" s="76">
        <f t="shared" si="16"/>
        <v>8</v>
      </c>
      <c r="D61" s="76">
        <f t="shared" si="16"/>
        <v>8</v>
      </c>
      <c r="E61" s="76">
        <f t="shared" si="16"/>
        <v>6</v>
      </c>
      <c r="F61" s="76">
        <f t="shared" si="16"/>
        <v>6</v>
      </c>
      <c r="G61" s="76" t="e">
        <f t="shared" si="16"/>
        <v>#N/A</v>
      </c>
      <c r="H61" s="76" t="e">
        <f t="shared" si="16"/>
        <v>#N/A</v>
      </c>
      <c r="I61" s="76" t="e">
        <f t="shared" si="16"/>
        <v>#N/A</v>
      </c>
      <c r="J61" s="76" t="e">
        <f t="shared" si="16"/>
        <v>#N/A</v>
      </c>
      <c r="K61" s="76" t="e">
        <f t="shared" si="16"/>
        <v>#N/A</v>
      </c>
      <c r="L61" s="76" t="e">
        <f t="shared" si="16"/>
        <v>#N/A</v>
      </c>
      <c r="M61" s="76" t="e">
        <f t="shared" si="16"/>
        <v>#N/A</v>
      </c>
      <c r="N61" s="76" t="e">
        <f t="shared" si="16"/>
        <v>#N/A</v>
      </c>
      <c r="O61" s="76" t="e">
        <f t="shared" si="16"/>
        <v>#N/A</v>
      </c>
      <c r="P61" s="76" t="e">
        <f t="shared" si="16"/>
        <v>#N/A</v>
      </c>
      <c r="Q61" s="76" t="e">
        <f t="shared" si="16"/>
        <v>#N/A</v>
      </c>
      <c r="R61" s="76" t="e">
        <f t="shared" si="16"/>
        <v>#N/A</v>
      </c>
      <c r="S61" s="76" t="e">
        <f t="shared" si="16"/>
        <v>#N/A</v>
      </c>
      <c r="T61" s="76" t="e">
        <f t="shared" si="16"/>
        <v>#N/A</v>
      </c>
      <c r="U61" s="76" t="e">
        <f t="shared" si="16"/>
        <v>#N/A</v>
      </c>
    </row>
    <row r="62" spans="1:35" s="19" customFormat="1" ht="13" x14ac:dyDescent="0.3">
      <c r="A62" s="111" t="s">
        <v>134</v>
      </c>
      <c r="B62" s="77">
        <f>B31</f>
        <v>135</v>
      </c>
      <c r="C62" s="77">
        <f>B32</f>
        <v>135</v>
      </c>
      <c r="D62" s="77">
        <f>B33</f>
        <v>135</v>
      </c>
      <c r="E62" s="77">
        <f>B34</f>
        <v>135</v>
      </c>
      <c r="F62" s="77">
        <f>B35</f>
        <v>135</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7">$E55*(C62/100)</f>
        <v>0</v>
      </c>
      <c r="D63" s="77">
        <f t="shared" si="17"/>
        <v>0</v>
      </c>
      <c r="E63" s="77">
        <f t="shared" si="17"/>
        <v>0</v>
      </c>
      <c r="F63" s="77">
        <f>$E55*(F62/100)</f>
        <v>0</v>
      </c>
      <c r="G63" s="77">
        <f t="shared" si="17"/>
        <v>0</v>
      </c>
      <c r="H63" s="77">
        <f t="shared" si="17"/>
        <v>0</v>
      </c>
      <c r="I63" s="77">
        <f t="shared" si="17"/>
        <v>0</v>
      </c>
      <c r="J63" s="77">
        <f t="shared" si="17"/>
        <v>0</v>
      </c>
      <c r="K63" s="77">
        <f t="shared" si="17"/>
        <v>0</v>
      </c>
      <c r="L63" s="77">
        <f t="shared" si="17"/>
        <v>0</v>
      </c>
      <c r="M63" s="77">
        <f t="shared" si="17"/>
        <v>0</v>
      </c>
      <c r="N63" s="77">
        <f t="shared" si="17"/>
        <v>0</v>
      </c>
      <c r="O63" s="77">
        <f t="shared" si="17"/>
        <v>0</v>
      </c>
      <c r="P63" s="77">
        <f t="shared" si="17"/>
        <v>0</v>
      </c>
      <c r="Q63" s="77">
        <f t="shared" si="17"/>
        <v>0</v>
      </c>
      <c r="R63" s="77">
        <f t="shared" si="17"/>
        <v>0</v>
      </c>
      <c r="S63" s="77">
        <f t="shared" si="17"/>
        <v>0</v>
      </c>
      <c r="T63" s="77">
        <f t="shared" si="17"/>
        <v>0</v>
      </c>
      <c r="U63" s="77">
        <f t="shared" si="17"/>
        <v>0</v>
      </c>
    </row>
    <row r="64" spans="1:35" s="19" customFormat="1" ht="52" x14ac:dyDescent="0.3">
      <c r="A64" s="112" t="s">
        <v>156</v>
      </c>
      <c r="B64" s="77">
        <f>(B59-B60)*B61</f>
        <v>4.7999999999999989</v>
      </c>
      <c r="C64" s="77">
        <f t="shared" ref="C64:U64" si="18">(C59-C60)*C61</f>
        <v>3.2000000000000028</v>
      </c>
      <c r="D64" s="77">
        <f t="shared" si="18"/>
        <v>6.3999999999999986</v>
      </c>
      <c r="E64" s="77">
        <f t="shared" si="18"/>
        <v>0.6000000000000032</v>
      </c>
      <c r="F64" s="77">
        <f t="shared" si="18"/>
        <v>2.4000000000000021</v>
      </c>
      <c r="G64" s="77" t="e">
        <f t="shared" si="18"/>
        <v>#N/A</v>
      </c>
      <c r="H64" s="77" t="e">
        <f t="shared" si="18"/>
        <v>#N/A</v>
      </c>
      <c r="I64" s="77" t="e">
        <f t="shared" si="18"/>
        <v>#N/A</v>
      </c>
      <c r="J64" s="77" t="e">
        <f t="shared" si="18"/>
        <v>#N/A</v>
      </c>
      <c r="K64" s="77" t="e">
        <f t="shared" si="18"/>
        <v>#N/A</v>
      </c>
      <c r="L64" s="77" t="e">
        <f t="shared" si="18"/>
        <v>#N/A</v>
      </c>
      <c r="M64" s="77" t="e">
        <f t="shared" si="18"/>
        <v>#N/A</v>
      </c>
      <c r="N64" s="77" t="e">
        <f t="shared" si="18"/>
        <v>#N/A</v>
      </c>
      <c r="O64" s="77" t="e">
        <f t="shared" si="18"/>
        <v>#N/A</v>
      </c>
      <c r="P64" s="77" t="e">
        <f t="shared" si="18"/>
        <v>#N/A</v>
      </c>
      <c r="Q64" s="77" t="e">
        <f t="shared" si="18"/>
        <v>#N/A</v>
      </c>
      <c r="R64" s="77" t="e">
        <f t="shared" si="18"/>
        <v>#N/A</v>
      </c>
      <c r="S64" s="77" t="e">
        <f t="shared" si="18"/>
        <v>#N/A</v>
      </c>
      <c r="T64" s="77" t="e">
        <f t="shared" si="18"/>
        <v>#N/A</v>
      </c>
      <c r="U64" s="77" t="e">
        <f t="shared" si="18"/>
        <v>#N/A</v>
      </c>
    </row>
    <row r="65" spans="1:21" s="19" customFormat="1" ht="52" x14ac:dyDescent="0.3">
      <c r="A65" s="112" t="s">
        <v>157</v>
      </c>
      <c r="B65" s="77">
        <f>B63-B64</f>
        <v>-4.7999999999999989</v>
      </c>
      <c r="C65" s="77">
        <f t="shared" ref="C65:U65" si="19">C63-C64</f>
        <v>-3.2000000000000028</v>
      </c>
      <c r="D65" s="77">
        <f t="shared" si="19"/>
        <v>-6.3999999999999986</v>
      </c>
      <c r="E65" s="77">
        <f t="shared" si="19"/>
        <v>-0.6000000000000032</v>
      </c>
      <c r="F65" s="77">
        <f t="shared" si="19"/>
        <v>-2.4000000000000021</v>
      </c>
      <c r="G65" s="77" t="e">
        <f t="shared" si="19"/>
        <v>#N/A</v>
      </c>
      <c r="H65" s="77" t="e">
        <f t="shared" si="19"/>
        <v>#N/A</v>
      </c>
      <c r="I65" s="77" t="e">
        <f t="shared" si="19"/>
        <v>#N/A</v>
      </c>
      <c r="J65" s="77" t="e">
        <f t="shared" si="19"/>
        <v>#N/A</v>
      </c>
      <c r="K65" s="77" t="e">
        <f t="shared" si="19"/>
        <v>#N/A</v>
      </c>
      <c r="L65" s="77" t="e">
        <f t="shared" si="19"/>
        <v>#N/A</v>
      </c>
      <c r="M65" s="77" t="e">
        <f t="shared" si="19"/>
        <v>#N/A</v>
      </c>
      <c r="N65" s="77" t="e">
        <f t="shared" si="19"/>
        <v>#N/A</v>
      </c>
      <c r="O65" s="77" t="e">
        <f t="shared" si="19"/>
        <v>#N/A</v>
      </c>
      <c r="P65" s="77" t="e">
        <f t="shared" si="19"/>
        <v>#N/A</v>
      </c>
      <c r="Q65" s="77" t="e">
        <f t="shared" si="19"/>
        <v>#N/A</v>
      </c>
      <c r="R65" s="77" t="e">
        <f t="shared" si="19"/>
        <v>#N/A</v>
      </c>
      <c r="S65" s="77" t="e">
        <f t="shared" si="19"/>
        <v>#N/A</v>
      </c>
      <c r="T65" s="77" t="e">
        <f t="shared" si="19"/>
        <v>#N/A</v>
      </c>
      <c r="U65" s="77" t="e">
        <f t="shared" si="19"/>
        <v>#N/A</v>
      </c>
    </row>
    <row r="66" spans="1:21" s="19" customFormat="1" ht="26" x14ac:dyDescent="0.3">
      <c r="A66" s="112" t="s">
        <v>148</v>
      </c>
      <c r="B66" s="78" t="str">
        <f>IF(B64&lt;=B63,"OVER","UNDER")</f>
        <v>UNDER</v>
      </c>
      <c r="C66" s="78" t="str">
        <f t="shared" ref="C66:U66" si="20">IF(C64&lt;=C63,"OVER","UNDER")</f>
        <v>UNDER</v>
      </c>
      <c r="D66" s="78" t="str">
        <f t="shared" si="20"/>
        <v>UNDER</v>
      </c>
      <c r="E66" s="78" t="str">
        <f t="shared" si="20"/>
        <v>UNDER</v>
      </c>
      <c r="F66" s="78" t="str">
        <f t="shared" si="20"/>
        <v>UNDER</v>
      </c>
      <c r="G66" s="78" t="e">
        <f t="shared" si="20"/>
        <v>#N/A</v>
      </c>
      <c r="H66" s="78" t="e">
        <f t="shared" si="20"/>
        <v>#N/A</v>
      </c>
      <c r="I66" s="78" t="e">
        <f t="shared" si="20"/>
        <v>#N/A</v>
      </c>
      <c r="J66" s="78" t="e">
        <f t="shared" si="20"/>
        <v>#N/A</v>
      </c>
      <c r="K66" s="78" t="e">
        <f t="shared" si="20"/>
        <v>#N/A</v>
      </c>
      <c r="L66" s="78" t="e">
        <f t="shared" si="20"/>
        <v>#N/A</v>
      </c>
      <c r="M66" s="78" t="e">
        <f t="shared" si="20"/>
        <v>#N/A</v>
      </c>
      <c r="N66" s="78" t="e">
        <f t="shared" si="20"/>
        <v>#N/A</v>
      </c>
      <c r="O66" s="78" t="e">
        <f t="shared" si="20"/>
        <v>#N/A</v>
      </c>
      <c r="P66" s="78" t="e">
        <f t="shared" si="20"/>
        <v>#N/A</v>
      </c>
      <c r="Q66" s="78" t="e">
        <f t="shared" si="20"/>
        <v>#N/A</v>
      </c>
      <c r="R66" s="78" t="e">
        <f t="shared" si="20"/>
        <v>#N/A</v>
      </c>
      <c r="S66" s="78" t="e">
        <f t="shared" si="20"/>
        <v>#N/A</v>
      </c>
      <c r="T66" s="78" t="e">
        <f t="shared" si="20"/>
        <v>#N/A</v>
      </c>
      <c r="U66" s="78" t="e">
        <f t="shared" si="20"/>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3" zoomScale="90" zoomScaleNormal="90" workbookViewId="0">
      <selection activeCell="B36" sqref="B36: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v>7.13</v>
      </c>
      <c r="J1" s="127" t="s">
        <v>153</v>
      </c>
      <c r="K1" s="127"/>
      <c r="L1" s="97">
        <v>669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165</v>
      </c>
      <c r="G2" s="125" t="s">
        <v>110</v>
      </c>
      <c r="H2" s="126"/>
      <c r="I2" s="118">
        <v>1253</v>
      </c>
      <c r="J2" s="127" t="s">
        <v>158</v>
      </c>
      <c r="K2" s="127"/>
      <c r="L2" s="97">
        <v>0.18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1300</v>
      </c>
      <c r="J3" s="123" t="s">
        <v>154</v>
      </c>
      <c r="K3" s="124"/>
      <c r="L3" s="97">
        <f>(L1/(L2*10000))*100</f>
        <v>37.166666666666664</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1.61820203</v>
      </c>
      <c r="D18" s="16">
        <f>$D32</f>
        <v>1.61820203</v>
      </c>
      <c r="E18" s="16">
        <f>$D33</f>
        <v>1.61820203</v>
      </c>
      <c r="F18" s="16">
        <f>$D34</f>
        <v>1.61820203</v>
      </c>
      <c r="G18" s="16">
        <f>$D35</f>
        <v>1.61820203</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-62.981797969999995</v>
      </c>
      <c r="D19" s="16">
        <f t="shared" ref="D19:V19" si="1">D18-D17</f>
        <v>-54.381797970000001</v>
      </c>
      <c r="E19" s="16">
        <f t="shared" si="1"/>
        <v>-54.381797970000001</v>
      </c>
      <c r="F19" s="16">
        <f t="shared" si="1"/>
        <v>-62.981797969999995</v>
      </c>
      <c r="G19" s="16">
        <f t="shared" si="1"/>
        <v>-62.981797969999995</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8.6012900000000023</v>
      </c>
      <c r="D22" s="16">
        <f>$E32</f>
        <v>8.6012900000000023</v>
      </c>
      <c r="E22" s="16">
        <f>$E33</f>
        <v>8.6012900000000023</v>
      </c>
      <c r="F22" s="16">
        <f>$E34</f>
        <v>8.6012900000000023</v>
      </c>
      <c r="G22" s="16">
        <f>$E35</f>
        <v>8.6012900000000023</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-219.39870999999999</v>
      </c>
      <c r="D23" s="16">
        <f t="shared" ref="D23:V23" si="3">D22-D21</f>
        <v>-167.39870999999999</v>
      </c>
      <c r="E23" s="16">
        <f t="shared" si="3"/>
        <v>-167.39870999999999</v>
      </c>
      <c r="F23" s="16">
        <f t="shared" si="3"/>
        <v>-219.39870999999999</v>
      </c>
      <c r="G23" s="16">
        <f t="shared" si="3"/>
        <v>-219.39870999999999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2.67</v>
      </c>
      <c r="C28" s="15">
        <v>0.18</v>
      </c>
      <c r="D28" s="15">
        <v>8.51</v>
      </c>
      <c r="E28" s="15">
        <v>86</v>
      </c>
      <c r="F28" s="15">
        <v>66.8</v>
      </c>
      <c r="G28" s="15">
        <v>0.2</v>
      </c>
      <c r="H28" s="15">
        <v>0.58799999999999997</v>
      </c>
      <c r="I28" s="15">
        <v>0.5</v>
      </c>
      <c r="J28" s="15">
        <v>0.01</v>
      </c>
      <c r="K28" s="23">
        <v>0.05</v>
      </c>
      <c r="L28" s="15">
        <v>0.2</v>
      </c>
      <c r="M28" s="15">
        <v>0.2</v>
      </c>
      <c r="N28" s="15"/>
      <c r="O28" s="15"/>
      <c r="P28" s="15">
        <v>449</v>
      </c>
      <c r="Q28" s="15">
        <v>23.1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v>83</v>
      </c>
      <c r="C31" s="77">
        <f>IF(C$27="%w/w SAR",((C$28*10)*$B31),IF(C$27="%w/w DM",(((C$28*10)*($B$28/100))*$B31),IF(C$27="kg/t SAR",(C$28*$B31),IF(C$27="kg/t DM",((C$28*($B$28/100))*$B31),IF(C$27="mg/kg SAR",((C$28*0.001)*$B31),IF(C$27="mg/kg DM",(((C$28*0.001)*($B$28/100))*$B31),0))))))</f>
        <v>149.39999999999998</v>
      </c>
      <c r="D31" s="77">
        <f>(IF(D$27="%w/w SAR",((D$28*10)*$B31),IF(D$27="%w/w DM",(((D$28*10)*($B$28/100))*$B31),IF(D$27="kg/t SAR",(D$28*$B31),IF(D$27="kg/t DM",((D$28*($B$28/100))*$B31),IF(D$27="mg/kg SAR",((D$28*0.001)*$B31),IF(D$27="mg/kg DM",(((D$28*0.001)*($B$28/100))*$B31),"0")))))))*2.291</f>
        <v>1.61820203</v>
      </c>
      <c r="E31" s="77">
        <f>(IF(E$27="%w/w SAR",((E$28*10)*$B31),IF(E$27="%w/w DM",(((E$28*10)*($B$28/100))*$B31),IF(E$27="kg/t SAR",(E$28*$B31),IF(E$27="kg/t DM",((E$28*($B$28/100))*$B31),IF(E$27="mg/kg SAR",((E$28*0.001)*$B31),IF(E$27="mg/kg DM",(((E$28*0.001)*($B$28/100))*$B31),"0")))))))*1.205</f>
        <v>8.6012900000000023</v>
      </c>
      <c r="F31" s="77">
        <f>(IF(F$27="%w/w SAR",((F$28*10)*$B31),IF(F$27="%w/w DM",(((F$28*10)*($B$28/100))*$B31),IF(F$27="kg/t SAR",(F$28*$B31),IF(F$27="kg/t DM",((F$28*($B$28/100))*$B31),IF(F$27="mg/kg SAR",((F$28*0.001)*$B31),IF(F$27="mg/kg DM",(((F$28*0.001)*($B$28/100))*$B31),"0")))))))*1.658</f>
        <v>9.1926151999999988</v>
      </c>
      <c r="G31" s="77">
        <f t="shared" ref="G31:P46" si="5">IF(G$27="%w/w SAR",((G$28*10)*$B31),IF(G$27="%w/w DM",(((G$28*10)*($B$28/100))*$B31),IF(G$27="kg/t SAR",(G$28*$B31),IF(G$27="kg/t DM",((G$28*($B$28/100))*$B31),IF(G$27="mg/kg SAR",((G$28*0.001)*$B31),IF(G$27="mg/kg DM",(((G$28*0.001)*($B$28/100))*$B31),0))))))</f>
        <v>1.66E-2</v>
      </c>
      <c r="H31" s="77">
        <f t="shared" si="5"/>
        <v>4.8804E-2</v>
      </c>
      <c r="I31" s="77">
        <f t="shared" si="5"/>
        <v>4.1500000000000002E-2</v>
      </c>
      <c r="J31" s="77">
        <f t="shared" si="5"/>
        <v>8.3000000000000012E-4</v>
      </c>
      <c r="K31" s="77">
        <f t="shared" si="5"/>
        <v>4.15E-3</v>
      </c>
      <c r="L31" s="77">
        <f t="shared" si="5"/>
        <v>1.66E-2</v>
      </c>
      <c r="M31" s="77">
        <f t="shared" si="5"/>
        <v>1.66E-2</v>
      </c>
      <c r="N31" s="77">
        <f t="shared" si="5"/>
        <v>0</v>
      </c>
      <c r="O31" s="77">
        <f t="shared" si="5"/>
        <v>0</v>
      </c>
      <c r="P31" s="77">
        <f t="shared" si="5"/>
        <v>37.267000000000003</v>
      </c>
      <c r="Q31" s="77">
        <f>(IF(Q$27="%w/w SAR",((Q$28*10)*$B31),IF(Q$27="%w/w DM",(((Q$28*10)*($B$28/100))*$B31),IF(Q$27="kg/t SAR",(Q$28*$B31),IF(Q$27="kg/t DM",((Q$28*($B$28/100))*$B31),IF(Q$27="mg/kg SAR",((Q$28*0.001)*$B31),IF(Q$27="mg/kg DM",(((Q$28*0.001)*($B$28/100))*$B31),0)))))))*2.5</f>
        <v>4.7932500000000005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v>83</v>
      </c>
      <c r="C32" s="77">
        <f t="shared" ref="C32:C50" si="6">IF(C$27="%w/w SAR",((C$28*10)*$B32),IF(C$27="%w/w DM",(((C$28*10)*($B$28/100))*$B32),IF(C$27="kg/t SAR",(C$28*$B32),IF(C$27="kg/t DM",((C$28*($B$28/100))*$B32),IF(C$27="mg/kg SAR",((C$28*0.001)*$B32),IF(C$27="mg/kg DM",(((C$28*0.001)*($B$28/100))*$B32),0))))))</f>
        <v>149.39999999999998</v>
      </c>
      <c r="D32" s="77">
        <f t="shared" ref="D32:D50" si="7">(IF(D$27="%w/w SAR",((D$28*10)*$B32),IF(D$27="%w/w DM",(((D$28*10)*($B$28/100))*$B32),IF(D$27="kg/t SAR",(D$28*$B32),IF(D$27="kg/t DM",((D$28*($B$28/100))*$B32),IF(D$27="mg/kg SAR",((D$28*0.001)*$B32),IF(D$27="mg/kg DM",(((D$28*0.001)*($B$28/100))*$B32),"0")))))))*2.291</f>
        <v>1.61820203</v>
      </c>
      <c r="E32" s="77">
        <f t="shared" ref="E32:E50" si="8">(IF(E$27="%w/w SAR",((E$28*10)*$B32),IF(E$27="%w/w DM",(((E$28*10)*($B$28/100))*$B32),IF(E$27="kg/t SAR",(E$28*$B32),IF(E$27="kg/t DM",((E$28*($B$28/100))*$B32),IF(E$27="mg/kg SAR",((E$28*0.001)*$B32),IF(E$27="mg/kg DM",(((E$28*0.001)*($B$28/100))*$B32),"0")))))))*1.205</f>
        <v>8.6012900000000023</v>
      </c>
      <c r="F32" s="77">
        <f t="shared" ref="F32:F50" si="9">(IF(F$27="%w/w SAR",((F$28*10)*$B32),IF(F$27="%w/w DM",(((F$28*10)*($B$28/100))*$B32),IF(F$27="kg/t SAR",(F$28*$B32),IF(F$27="kg/t DM",((F$28*($B$28/100))*$B32),IF(F$27="mg/kg SAR",((F$28*0.001)*$B32),IF(F$27="mg/kg DM",(((F$28*0.001)*($B$28/100))*$B32),"0")))))))*1.658</f>
        <v>9.1926151999999988</v>
      </c>
      <c r="G32" s="77">
        <f t="shared" si="5"/>
        <v>1.66E-2</v>
      </c>
      <c r="H32" s="77">
        <f t="shared" si="5"/>
        <v>4.8804E-2</v>
      </c>
      <c r="I32" s="77">
        <f t="shared" si="5"/>
        <v>4.1500000000000002E-2</v>
      </c>
      <c r="J32" s="77">
        <f t="shared" si="5"/>
        <v>8.3000000000000012E-4</v>
      </c>
      <c r="K32" s="77">
        <f t="shared" si="5"/>
        <v>4.15E-3</v>
      </c>
      <c r="L32" s="77">
        <f t="shared" si="5"/>
        <v>1.66E-2</v>
      </c>
      <c r="M32" s="77">
        <f t="shared" si="5"/>
        <v>1.66E-2</v>
      </c>
      <c r="N32" s="77">
        <f t="shared" si="5"/>
        <v>0</v>
      </c>
      <c r="O32" s="77">
        <f t="shared" si="5"/>
        <v>0</v>
      </c>
      <c r="P32" s="77">
        <f t="shared" si="5"/>
        <v>37.267000000000003</v>
      </c>
      <c r="Q32" s="77">
        <f t="shared" ref="Q32:Q50" si="10">(IF(Q$27="%w/w SAR",((Q$28*10)*$B32),IF(Q$27="%w/w DM",(((Q$28*10)*($B$28/100))*$B32),IF(Q$27="kg/t SAR",(Q$28*$B32),IF(Q$27="kg/t DM",((Q$28*($B$28/100))*$B32),IF(Q$27="mg/kg SAR",((Q$28*0.001)*$B32),IF(Q$27="mg/kg DM",(((Q$28*0.001)*($B$28/100))*$B32),0)))))))*2.5</f>
        <v>4.7932500000000005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v>83</v>
      </c>
      <c r="C33" s="77">
        <f t="shared" si="6"/>
        <v>149.39999999999998</v>
      </c>
      <c r="D33" s="77">
        <f t="shared" si="7"/>
        <v>1.61820203</v>
      </c>
      <c r="E33" s="77">
        <f t="shared" si="8"/>
        <v>8.6012900000000023</v>
      </c>
      <c r="F33" s="77">
        <f t="shared" si="9"/>
        <v>9.1926151999999988</v>
      </c>
      <c r="G33" s="77">
        <f t="shared" si="5"/>
        <v>1.66E-2</v>
      </c>
      <c r="H33" s="77">
        <f t="shared" si="5"/>
        <v>4.8804E-2</v>
      </c>
      <c r="I33" s="77">
        <f t="shared" si="5"/>
        <v>4.1500000000000002E-2</v>
      </c>
      <c r="J33" s="77">
        <f t="shared" si="5"/>
        <v>8.3000000000000012E-4</v>
      </c>
      <c r="K33" s="77">
        <f t="shared" si="5"/>
        <v>4.15E-3</v>
      </c>
      <c r="L33" s="77">
        <f t="shared" si="5"/>
        <v>1.66E-2</v>
      </c>
      <c r="M33" s="77">
        <f t="shared" si="5"/>
        <v>1.66E-2</v>
      </c>
      <c r="N33" s="77">
        <f t="shared" si="5"/>
        <v>0</v>
      </c>
      <c r="O33" s="77">
        <f t="shared" si="5"/>
        <v>0</v>
      </c>
      <c r="P33" s="77">
        <f t="shared" si="5"/>
        <v>37.267000000000003</v>
      </c>
      <c r="Q33" s="77">
        <f t="shared" si="10"/>
        <v>4.7932500000000005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v>83</v>
      </c>
      <c r="C34" s="77">
        <f t="shared" si="6"/>
        <v>149.39999999999998</v>
      </c>
      <c r="D34" s="77">
        <f t="shared" si="7"/>
        <v>1.61820203</v>
      </c>
      <c r="E34" s="77">
        <f t="shared" si="8"/>
        <v>8.6012900000000023</v>
      </c>
      <c r="F34" s="77">
        <f t="shared" si="9"/>
        <v>9.1926151999999988</v>
      </c>
      <c r="G34" s="77">
        <f t="shared" si="5"/>
        <v>1.66E-2</v>
      </c>
      <c r="H34" s="77">
        <f t="shared" si="5"/>
        <v>4.8804E-2</v>
      </c>
      <c r="I34" s="77">
        <f t="shared" si="5"/>
        <v>4.1500000000000002E-2</v>
      </c>
      <c r="J34" s="77">
        <f t="shared" si="5"/>
        <v>8.3000000000000012E-4</v>
      </c>
      <c r="K34" s="77">
        <f t="shared" si="5"/>
        <v>4.15E-3</v>
      </c>
      <c r="L34" s="77">
        <f t="shared" si="5"/>
        <v>1.66E-2</v>
      </c>
      <c r="M34" s="77">
        <f t="shared" si="5"/>
        <v>1.66E-2</v>
      </c>
      <c r="N34" s="77">
        <f t="shared" si="5"/>
        <v>0</v>
      </c>
      <c r="O34" s="77">
        <f t="shared" si="5"/>
        <v>0</v>
      </c>
      <c r="P34" s="77">
        <f t="shared" si="5"/>
        <v>37.267000000000003</v>
      </c>
      <c r="Q34" s="77">
        <f t="shared" si="10"/>
        <v>4.7932500000000005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v>83</v>
      </c>
      <c r="C35" s="77">
        <f t="shared" si="6"/>
        <v>149.39999999999998</v>
      </c>
      <c r="D35" s="77">
        <f t="shared" si="7"/>
        <v>1.61820203</v>
      </c>
      <c r="E35" s="77">
        <f t="shared" si="8"/>
        <v>8.6012900000000023</v>
      </c>
      <c r="F35" s="77">
        <f t="shared" si="9"/>
        <v>9.1926151999999988</v>
      </c>
      <c r="G35" s="77">
        <f t="shared" si="5"/>
        <v>1.66E-2</v>
      </c>
      <c r="H35" s="77">
        <f t="shared" si="5"/>
        <v>4.8804E-2</v>
      </c>
      <c r="I35" s="77">
        <f t="shared" si="5"/>
        <v>4.1500000000000002E-2</v>
      </c>
      <c r="J35" s="77">
        <f t="shared" si="5"/>
        <v>8.3000000000000012E-4</v>
      </c>
      <c r="K35" s="77">
        <f t="shared" si="5"/>
        <v>4.15E-3</v>
      </c>
      <c r="L35" s="77">
        <f t="shared" si="5"/>
        <v>1.66E-2</v>
      </c>
      <c r="M35" s="77">
        <f t="shared" si="5"/>
        <v>1.66E-2</v>
      </c>
      <c r="N35" s="77">
        <f t="shared" si="5"/>
        <v>0</v>
      </c>
      <c r="O35" s="77">
        <f t="shared" si="5"/>
        <v>0</v>
      </c>
      <c r="P35" s="77">
        <f t="shared" si="5"/>
        <v>37.267000000000003</v>
      </c>
      <c r="Q35" s="77">
        <f t="shared" si="10"/>
        <v>4.7932500000000005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Arable</v>
      </c>
      <c r="D58" s="13" t="str">
        <f>E16&amp;" I "&amp;(VLOOKUP(E14,Table24581112[],6,FALSE))</f>
        <v>Medium/Clay I Arable</v>
      </c>
      <c r="E58" s="13" t="str">
        <f>F16&amp;" I "&amp;(VLOOKUP(F14,Table24581112[],6,FALSE))</f>
        <v>Medium/Clay I Grass</v>
      </c>
      <c r="F58" s="13" t="str">
        <f>G16&amp;" I "&amp;(VLOOKUP(G14,Table24581112[],6,FALSE))</f>
        <v>Medium/Clay I Grass</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6.7</v>
      </c>
      <c r="D59" s="76">
        <f>VLOOKUP(E$14,Table24581112[],5,FALSE)</f>
        <v>6.7</v>
      </c>
      <c r="E59" s="76">
        <f>VLOOKUP(F$14,Table24581112[],5,FALSE)</f>
        <v>6.2</v>
      </c>
      <c r="F59" s="76">
        <f>VLOOKUP(G$14,Table24581112[],5,FALSE)</f>
        <v>6.2</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83</v>
      </c>
      <c r="C62" s="77">
        <f>B32</f>
        <v>83</v>
      </c>
      <c r="D62" s="77">
        <f>B33</f>
        <v>83</v>
      </c>
      <c r="E62" s="77">
        <f>B34</f>
        <v>83</v>
      </c>
      <c r="F62" s="77">
        <f>B35</f>
        <v>83</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5" zoomScale="90" zoomScaleNormal="90" workbookViewId="0">
      <selection activeCell="B36" sqref="B36: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v>7.01</v>
      </c>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172</v>
      </c>
      <c r="G2" s="125" t="s">
        <v>110</v>
      </c>
      <c r="H2" s="126"/>
      <c r="I2" s="118">
        <v>508</v>
      </c>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54.729882279999991</v>
      </c>
      <c r="D18" s="16">
        <f>$D32</f>
        <v>54.729882279999991</v>
      </c>
      <c r="E18" s="16">
        <f>$D33</f>
        <v>54.729882279999991</v>
      </c>
      <c r="F18" s="16">
        <f>$D34</f>
        <v>54.729882279999991</v>
      </c>
      <c r="G18" s="16">
        <f>$D35</f>
        <v>54.729882279999991</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-9.8701177200000032</v>
      </c>
      <c r="D19" s="16">
        <f t="shared" ref="D19:V19" si="1">D18-D17</f>
        <v>-1.2701177200000089</v>
      </c>
      <c r="E19" s="16">
        <f t="shared" si="1"/>
        <v>-1.2701177200000089</v>
      </c>
      <c r="F19" s="16">
        <f t="shared" si="1"/>
        <v>-9.8701177200000032</v>
      </c>
      <c r="G19" s="16">
        <f t="shared" si="1"/>
        <v>-9.8701177200000032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12.535447505</v>
      </c>
      <c r="D22" s="16">
        <f>$E32</f>
        <v>12.535447505</v>
      </c>
      <c r="E22" s="16">
        <f>$E33</f>
        <v>12.535447505</v>
      </c>
      <c r="F22" s="16">
        <f>$E34</f>
        <v>12.535447505</v>
      </c>
      <c r="G22" s="16">
        <f>$E35</f>
        <v>12.535447505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-215.46455249499999</v>
      </c>
      <c r="D23" s="16">
        <f t="shared" ref="D23:V23" si="3">D22-D21</f>
        <v>-163.46455249499999</v>
      </c>
      <c r="E23" s="16">
        <f t="shared" si="3"/>
        <v>-163.46455249499999</v>
      </c>
      <c r="F23" s="16">
        <f t="shared" si="3"/>
        <v>-215.46455249499999</v>
      </c>
      <c r="G23" s="16">
        <f t="shared" si="3"/>
        <v>-215.46455249499999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35">
      <c r="A28" s="108"/>
      <c r="B28" s="24">
        <v>8.17</v>
      </c>
      <c r="C28" s="15">
        <v>7.45</v>
      </c>
      <c r="D28" s="15">
        <v>1.72</v>
      </c>
      <c r="E28" s="15">
        <v>0.749</v>
      </c>
      <c r="F28" s="15">
        <v>0.252</v>
      </c>
      <c r="G28" s="15">
        <v>23.9</v>
      </c>
      <c r="H28" s="15">
        <v>177</v>
      </c>
      <c r="I28" s="15">
        <v>2.33</v>
      </c>
      <c r="J28" s="15">
        <v>0.1</v>
      </c>
      <c r="K28" s="23">
        <v>0.1</v>
      </c>
      <c r="L28" s="15">
        <v>16.3</v>
      </c>
      <c r="M28" s="15">
        <v>42.4</v>
      </c>
      <c r="N28" s="15"/>
      <c r="O28" s="15"/>
      <c r="P28" s="15">
        <v>1.06</v>
      </c>
      <c r="Q28" s="15">
        <v>1.86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v>17</v>
      </c>
      <c r="C31" s="77">
        <f>IF(C$27="%w/w SAR",((C$28*10)*$B31),IF(C$27="%w/w DM",(((C$28*10)*($B$28/100))*$B31),IF(C$27="kg/t SAR",(C$28*$B31),IF(C$27="kg/t DM",((C$28*($B$28/100))*$B31),IF(C$27="mg/kg SAR",((C$28*0.001)*$B31),IF(C$27="mg/kg DM",(((C$28*0.001)*($B$28/100))*$B31),0))))))</f>
        <v>103.47305</v>
      </c>
      <c r="D31" s="77">
        <f>(IF(D$27="%w/w SAR",((D$28*10)*$B31),IF(D$27="%w/w DM",(((D$28*10)*($B$28/100))*$B31),IF(D$27="kg/t SAR",(D$28*$B31),IF(D$27="kg/t DM",((D$28*($B$28/100))*$B31),IF(D$27="mg/kg SAR",((D$28*0.001)*$B31),IF(D$27="mg/kg DM",(((D$28*0.001)*($B$28/100))*$B31),"0")))))))*2.291</f>
        <v>54.729882279999991</v>
      </c>
      <c r="E31" s="77">
        <f>(IF(E$27="%w/w SAR",((E$28*10)*$B31),IF(E$27="%w/w DM",(((E$28*10)*($B$28/100))*$B31),IF(E$27="kg/t SAR",(E$28*$B31),IF(E$27="kg/t DM",((E$28*($B$28/100))*$B31),IF(E$27="mg/kg SAR",((E$28*0.001)*$B31),IF(E$27="mg/kg DM",(((E$28*0.001)*($B$28/100))*$B31),"0")))))))*1.205</f>
        <v>12.535447505</v>
      </c>
      <c r="F31" s="77">
        <f>(IF(F$27="%w/w SAR",((F$28*10)*$B31),IF(F$27="%w/w DM",(((F$28*10)*($B$28/100))*$B31),IF(F$27="kg/t SAR",(F$28*$B31),IF(F$27="kg/t DM",((F$28*($B$28/100))*$B31),IF(F$27="mg/kg SAR",((F$28*0.001)*$B31),IF(F$27="mg/kg DM",(((F$28*0.001)*($B$28/100))*$B31),"0")))))))*1.658</f>
        <v>5.8030464239999997</v>
      </c>
      <c r="G31" s="77">
        <f t="shared" ref="G31:P46" si="5">IF(G$27="%w/w SAR",((G$28*10)*$B31),IF(G$27="%w/w DM",(((G$28*10)*($B$28/100))*$B31),IF(G$27="kg/t SAR",(G$28*$B31),IF(G$27="kg/t DM",((G$28*($B$28/100))*$B31),IF(G$27="mg/kg SAR",((G$28*0.001)*$B31),IF(G$27="mg/kg DM",(((G$28*0.001)*($B$28/100))*$B31),0))))))</f>
        <v>3.3194709999999995E-2</v>
      </c>
      <c r="H31" s="77">
        <f t="shared" si="5"/>
        <v>0.24583529999999998</v>
      </c>
      <c r="I31" s="77">
        <f t="shared" si="5"/>
        <v>3.236137E-3</v>
      </c>
      <c r="J31" s="77">
        <f t="shared" si="5"/>
        <v>1.3888999999999999E-4</v>
      </c>
      <c r="K31" s="77">
        <f t="shared" si="5"/>
        <v>1.3888999999999999E-4</v>
      </c>
      <c r="L31" s="77">
        <f t="shared" si="5"/>
        <v>2.2639070000000001E-2</v>
      </c>
      <c r="M31" s="77">
        <f t="shared" si="5"/>
        <v>5.8889359999999995E-2</v>
      </c>
      <c r="N31" s="77">
        <f t="shared" si="5"/>
        <v>0</v>
      </c>
      <c r="O31" s="77">
        <f t="shared" si="5"/>
        <v>0</v>
      </c>
      <c r="P31" s="77">
        <f t="shared" si="5"/>
        <v>14.722340000000001</v>
      </c>
      <c r="Q31" s="77">
        <f>(IF(Q$27="%w/w SAR",((Q$28*10)*$B31),IF(Q$27="%w/w DM",(((Q$28*10)*($B$28/100))*$B31),IF(Q$27="kg/t SAR",(Q$28*$B31),IF(Q$27="kg/t DM",((Q$28*($B$28/100))*$B31),IF(Q$27="mg/kg SAR",((Q$28*0.001)*$B31),IF(Q$27="mg/kg DM",(((Q$28*0.001)*($B$28/100))*$B31),0)))))))*2.5</f>
        <v>64.583849999999998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v>17</v>
      </c>
      <c r="C32" s="77">
        <f t="shared" ref="C32:C50" si="6">IF(C$27="%w/w SAR",((C$28*10)*$B32),IF(C$27="%w/w DM",(((C$28*10)*($B$28/100))*$B32),IF(C$27="kg/t SAR",(C$28*$B32),IF(C$27="kg/t DM",((C$28*($B$28/100))*$B32),IF(C$27="mg/kg SAR",((C$28*0.001)*$B32),IF(C$27="mg/kg DM",(((C$28*0.001)*($B$28/100))*$B32),0))))))</f>
        <v>103.47305</v>
      </c>
      <c r="D32" s="77">
        <f t="shared" ref="D32:D50" si="7">(IF(D$27="%w/w SAR",((D$28*10)*$B32),IF(D$27="%w/w DM",(((D$28*10)*($B$28/100))*$B32),IF(D$27="kg/t SAR",(D$28*$B32),IF(D$27="kg/t DM",((D$28*($B$28/100))*$B32),IF(D$27="mg/kg SAR",((D$28*0.001)*$B32),IF(D$27="mg/kg DM",(((D$28*0.001)*($B$28/100))*$B32),"0")))))))*2.291</f>
        <v>54.729882279999991</v>
      </c>
      <c r="E32" s="77">
        <f t="shared" ref="E32:E50" si="8">(IF(E$27="%w/w SAR",((E$28*10)*$B32),IF(E$27="%w/w DM",(((E$28*10)*($B$28/100))*$B32),IF(E$27="kg/t SAR",(E$28*$B32),IF(E$27="kg/t DM",((E$28*($B$28/100))*$B32),IF(E$27="mg/kg SAR",((E$28*0.001)*$B32),IF(E$27="mg/kg DM",(((E$28*0.001)*($B$28/100))*$B32),"0")))))))*1.205</f>
        <v>12.535447505</v>
      </c>
      <c r="F32" s="77">
        <f t="shared" ref="F32:F50" si="9">(IF(F$27="%w/w SAR",((F$28*10)*$B32),IF(F$27="%w/w DM",(((F$28*10)*($B$28/100))*$B32),IF(F$27="kg/t SAR",(F$28*$B32),IF(F$27="kg/t DM",((F$28*($B$28/100))*$B32),IF(F$27="mg/kg SAR",((F$28*0.001)*$B32),IF(F$27="mg/kg DM",(((F$28*0.001)*($B$28/100))*$B32),"0")))))))*1.658</f>
        <v>5.8030464239999997</v>
      </c>
      <c r="G32" s="77">
        <f t="shared" si="5"/>
        <v>3.3194709999999995E-2</v>
      </c>
      <c r="H32" s="77">
        <f t="shared" si="5"/>
        <v>0.24583529999999998</v>
      </c>
      <c r="I32" s="77">
        <f t="shared" si="5"/>
        <v>3.236137E-3</v>
      </c>
      <c r="J32" s="77">
        <f t="shared" si="5"/>
        <v>1.3888999999999999E-4</v>
      </c>
      <c r="K32" s="77">
        <f t="shared" si="5"/>
        <v>1.3888999999999999E-4</v>
      </c>
      <c r="L32" s="77">
        <f t="shared" si="5"/>
        <v>2.2639070000000001E-2</v>
      </c>
      <c r="M32" s="77">
        <f t="shared" si="5"/>
        <v>5.8889359999999995E-2</v>
      </c>
      <c r="N32" s="77">
        <f t="shared" si="5"/>
        <v>0</v>
      </c>
      <c r="O32" s="77">
        <f t="shared" si="5"/>
        <v>0</v>
      </c>
      <c r="P32" s="77">
        <f t="shared" si="5"/>
        <v>14.722340000000001</v>
      </c>
      <c r="Q32" s="77">
        <f t="shared" ref="Q32:Q50" si="10">(IF(Q$27="%w/w SAR",((Q$28*10)*$B32),IF(Q$27="%w/w DM",(((Q$28*10)*($B$28/100))*$B32),IF(Q$27="kg/t SAR",(Q$28*$B32),IF(Q$27="kg/t DM",((Q$28*($B$28/100))*$B32),IF(Q$27="mg/kg SAR",((Q$28*0.001)*$B32),IF(Q$27="mg/kg DM",(((Q$28*0.001)*($B$28/100))*$B32),0)))))))*2.5</f>
        <v>64.583849999999998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v>17</v>
      </c>
      <c r="C33" s="77">
        <f t="shared" si="6"/>
        <v>103.47305</v>
      </c>
      <c r="D33" s="77">
        <f t="shared" si="7"/>
        <v>54.729882279999991</v>
      </c>
      <c r="E33" s="77">
        <f t="shared" si="8"/>
        <v>12.535447505</v>
      </c>
      <c r="F33" s="77">
        <f t="shared" si="9"/>
        <v>5.8030464239999997</v>
      </c>
      <c r="G33" s="77">
        <f t="shared" si="5"/>
        <v>3.3194709999999995E-2</v>
      </c>
      <c r="H33" s="77">
        <f t="shared" si="5"/>
        <v>0.24583529999999998</v>
      </c>
      <c r="I33" s="77">
        <f t="shared" si="5"/>
        <v>3.236137E-3</v>
      </c>
      <c r="J33" s="77">
        <f t="shared" si="5"/>
        <v>1.3888999999999999E-4</v>
      </c>
      <c r="K33" s="77">
        <f t="shared" si="5"/>
        <v>1.3888999999999999E-4</v>
      </c>
      <c r="L33" s="77">
        <f t="shared" si="5"/>
        <v>2.2639070000000001E-2</v>
      </c>
      <c r="M33" s="77">
        <f t="shared" si="5"/>
        <v>5.8889359999999995E-2</v>
      </c>
      <c r="N33" s="77">
        <f t="shared" si="5"/>
        <v>0</v>
      </c>
      <c r="O33" s="77">
        <f t="shared" si="5"/>
        <v>0</v>
      </c>
      <c r="P33" s="77">
        <f t="shared" si="5"/>
        <v>14.722340000000001</v>
      </c>
      <c r="Q33" s="77">
        <f t="shared" si="10"/>
        <v>64.583849999999998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v>17</v>
      </c>
      <c r="C34" s="77">
        <f t="shared" si="6"/>
        <v>103.47305</v>
      </c>
      <c r="D34" s="77">
        <f t="shared" si="7"/>
        <v>54.729882279999991</v>
      </c>
      <c r="E34" s="77">
        <f t="shared" si="8"/>
        <v>12.535447505</v>
      </c>
      <c r="F34" s="77">
        <f t="shared" si="9"/>
        <v>5.8030464239999997</v>
      </c>
      <c r="G34" s="77">
        <f t="shared" si="5"/>
        <v>3.3194709999999995E-2</v>
      </c>
      <c r="H34" s="77">
        <f t="shared" si="5"/>
        <v>0.24583529999999998</v>
      </c>
      <c r="I34" s="77">
        <f t="shared" si="5"/>
        <v>3.236137E-3</v>
      </c>
      <c r="J34" s="77">
        <f t="shared" si="5"/>
        <v>1.3888999999999999E-4</v>
      </c>
      <c r="K34" s="77">
        <f t="shared" si="5"/>
        <v>1.3888999999999999E-4</v>
      </c>
      <c r="L34" s="77">
        <f t="shared" si="5"/>
        <v>2.2639070000000001E-2</v>
      </c>
      <c r="M34" s="77">
        <f t="shared" si="5"/>
        <v>5.8889359999999995E-2</v>
      </c>
      <c r="N34" s="77">
        <f t="shared" si="5"/>
        <v>0</v>
      </c>
      <c r="O34" s="77">
        <f t="shared" si="5"/>
        <v>0</v>
      </c>
      <c r="P34" s="77">
        <f t="shared" si="5"/>
        <v>14.722340000000001</v>
      </c>
      <c r="Q34" s="77">
        <f t="shared" si="10"/>
        <v>64.583849999999998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v>17</v>
      </c>
      <c r="C35" s="77">
        <f t="shared" si="6"/>
        <v>103.47305</v>
      </c>
      <c r="D35" s="77">
        <f t="shared" si="7"/>
        <v>54.729882279999991</v>
      </c>
      <c r="E35" s="77">
        <f t="shared" si="8"/>
        <v>12.535447505</v>
      </c>
      <c r="F35" s="77">
        <f t="shared" si="9"/>
        <v>5.8030464239999997</v>
      </c>
      <c r="G35" s="77">
        <f t="shared" si="5"/>
        <v>3.3194709999999995E-2</v>
      </c>
      <c r="H35" s="77">
        <f t="shared" si="5"/>
        <v>0.24583529999999998</v>
      </c>
      <c r="I35" s="77">
        <f t="shared" si="5"/>
        <v>3.236137E-3</v>
      </c>
      <c r="J35" s="77">
        <f t="shared" si="5"/>
        <v>1.3888999999999999E-4</v>
      </c>
      <c r="K35" s="77">
        <f t="shared" si="5"/>
        <v>1.3888999999999999E-4</v>
      </c>
      <c r="L35" s="77">
        <f t="shared" si="5"/>
        <v>2.2639070000000001E-2</v>
      </c>
      <c r="M35" s="77">
        <f t="shared" si="5"/>
        <v>5.8889359999999995E-2</v>
      </c>
      <c r="N35" s="77">
        <f t="shared" si="5"/>
        <v>0</v>
      </c>
      <c r="O35" s="77">
        <f t="shared" si="5"/>
        <v>0</v>
      </c>
      <c r="P35" s="77">
        <f t="shared" si="5"/>
        <v>14.722340000000001</v>
      </c>
      <c r="Q35" s="77">
        <f t="shared" si="10"/>
        <v>64.583849999999998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Arable</v>
      </c>
      <c r="D58" s="13" t="str">
        <f>E16&amp;" I "&amp;(VLOOKUP(E14,Table24581114[],6,FALSE))</f>
        <v>Medium/Clay I Arable</v>
      </c>
      <c r="E58" s="13" t="str">
        <f>F16&amp;" I "&amp;(VLOOKUP(F14,Table24581114[],6,FALSE))</f>
        <v>Medium/Clay I Grass</v>
      </c>
      <c r="F58" s="13" t="str">
        <f>G16&amp;" I "&amp;(VLOOKUP(G14,Table24581114[],6,FALSE))</f>
        <v>Medium/Clay I Grass</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6.7</v>
      </c>
      <c r="D59" s="76">
        <f>VLOOKUP(E$14,Table24581114[],5,FALSE)</f>
        <v>6.7</v>
      </c>
      <c r="E59" s="76">
        <f>VLOOKUP(F$14,Table24581114[],5,FALSE)</f>
        <v>6.2</v>
      </c>
      <c r="F59" s="76">
        <f>VLOOKUP(G$14,Table24581114[],5,FALSE)</f>
        <v>6.2</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v>
      </c>
      <c r="C62" s="77">
        <f>B32</f>
        <v>17</v>
      </c>
      <c r="D62" s="77">
        <f>B33</f>
        <v>17</v>
      </c>
      <c r="E62" s="77">
        <f>B34</f>
        <v>17</v>
      </c>
      <c r="F62" s="77">
        <f>B35</f>
        <v>17</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5" zoomScale="90" zoomScaleNormal="90" workbookViewId="0">
      <selection activeCell="E32" sqref="E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v>9.89</v>
      </c>
      <c r="J1" s="127" t="s">
        <v>153</v>
      </c>
      <c r="K1" s="127"/>
      <c r="L1" s="97">
        <v>34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t="s">
        <v>165</v>
      </c>
      <c r="G2" s="125" t="s">
        <v>110</v>
      </c>
      <c r="H2" s="126"/>
      <c r="I2" s="118">
        <v>296</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5.6666666666666661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t="s">
        <v>174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15.910995</v>
      </c>
      <c r="D18" s="16">
        <f>$D32</f>
        <v>15.910995</v>
      </c>
      <c r="E18" s="16">
        <f>$D33</f>
        <v>15.910995</v>
      </c>
      <c r="F18" s="16">
        <f>$D34</f>
        <v>15.910995</v>
      </c>
      <c r="G18" s="16">
        <f>$D35</f>
        <v>15.910995</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-48.689004999999995</v>
      </c>
      <c r="D19" s="16">
        <f t="shared" ref="D19:V19" si="1">D18-D17</f>
        <v>-40.089005</v>
      </c>
      <c r="E19" s="16">
        <f t="shared" si="1"/>
        <v>-40.089005</v>
      </c>
      <c r="F19" s="16">
        <f t="shared" si="1"/>
        <v>-48.689004999999995</v>
      </c>
      <c r="G19" s="16">
        <f t="shared" si="1"/>
        <v>-48.689004999999995</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8.5314000000000014</v>
      </c>
      <c r="D22" s="16">
        <f>$E32</f>
        <v>8.5314000000000014</v>
      </c>
      <c r="E22" s="16">
        <f>$E33</f>
        <v>8.5314000000000014</v>
      </c>
      <c r="F22" s="16">
        <f>$E34</f>
        <v>8.5314000000000014</v>
      </c>
      <c r="G22" s="16">
        <f>$E35</f>
        <v>8.5314000000000014</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-219.46860000000001</v>
      </c>
      <c r="D23" s="16">
        <f t="shared" ref="D23:V23" si="3">D22-D21</f>
        <v>-167.46860000000001</v>
      </c>
      <c r="E23" s="16">
        <f t="shared" si="3"/>
        <v>-167.46860000000001</v>
      </c>
      <c r="F23" s="16">
        <f t="shared" si="3"/>
        <v>-219.46860000000001</v>
      </c>
      <c r="G23" s="16">
        <f t="shared" si="3"/>
        <v>-219.46860000000001</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0.79</v>
      </c>
      <c r="C28" s="15">
        <v>0.06</v>
      </c>
      <c r="D28" s="15">
        <v>46.3</v>
      </c>
      <c r="E28" s="15">
        <v>47.2</v>
      </c>
      <c r="F28" s="15">
        <v>10</v>
      </c>
      <c r="G28" s="15">
        <v>0.2</v>
      </c>
      <c r="H28" s="15">
        <v>0.5</v>
      </c>
      <c r="I28" s="15">
        <v>0.5</v>
      </c>
      <c r="J28" s="15">
        <v>0.01</v>
      </c>
      <c r="K28" s="23">
        <v>0.05</v>
      </c>
      <c r="L28" s="15">
        <v>0.2</v>
      </c>
      <c r="M28" s="15">
        <v>0.2</v>
      </c>
      <c r="N28" s="15"/>
      <c r="O28" s="15"/>
      <c r="P28" s="15">
        <v>388</v>
      </c>
      <c r="Q28" s="15">
        <v>65.5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v>150</v>
      </c>
      <c r="C31" s="77">
        <f>IF(C$27="%w/w SAR",((C$28*10)*$B31),IF(C$27="%w/w DM",(((C$28*10)*($B$28/100))*$B31),IF(C$27="kg/t SAR",(C$28*$B31),IF(C$27="kg/t DM",((C$28*($B$28/100))*$B31),IF(C$27="mg/kg SAR",((C$28*0.001)*$B31),IF(C$27="mg/kg DM",(((C$28*0.001)*($B$28/100))*$B31),0))))))</f>
        <v>90</v>
      </c>
      <c r="D31" s="77">
        <f>(IF(D$27="%w/w SAR",((D$28*10)*$B31),IF(D$27="%w/w DM",(((D$28*10)*($B$28/100))*$B31),IF(D$27="kg/t SAR",(D$28*$B31),IF(D$27="kg/t DM",((D$28*($B$28/100))*$B31),IF(D$27="mg/kg SAR",((D$28*0.001)*$B31),IF(D$27="mg/kg DM",(((D$28*0.001)*($B$28/100))*$B31),"0")))))))*2.291</f>
        <v>15.910995</v>
      </c>
      <c r="E31" s="77">
        <f>(IF(E$27="%w/w SAR",((E$28*10)*$B31),IF(E$27="%w/w DM",(((E$28*10)*($B$28/100))*$B31),IF(E$27="kg/t SAR",(E$28*$B31),IF(E$27="kg/t DM",((E$28*($B$28/100))*$B31),IF(E$27="mg/kg SAR",((E$28*0.001)*$B31),IF(E$27="mg/kg DM",(((E$28*0.001)*($B$28/100))*$B31),"0")))))))*1.205</f>
        <v>8.5314000000000014</v>
      </c>
      <c r="F31" s="77">
        <f>(IF(F$27="%w/w SAR",((F$28*10)*$B31),IF(F$27="%w/w DM",(((F$28*10)*($B$28/100))*$B31),IF(F$27="kg/t SAR",(F$28*$B31),IF(F$27="kg/t DM",((F$28*($B$28/100))*$B31),IF(F$27="mg/kg SAR",((F$28*0.001)*$B31),IF(F$27="mg/kg DM",(((F$28*0.001)*($B$28/100))*$B31),"0")))))))*1.658</f>
        <v>2.4870000000000001</v>
      </c>
      <c r="G31" s="77">
        <f t="shared" ref="G31:P46" si="5">IF(G$27="%w/w SAR",((G$28*10)*$B31),IF(G$27="%w/w DM",(((G$28*10)*($B$28/100))*$B31),IF(G$27="kg/t SAR",(G$28*$B31),IF(G$27="kg/t DM",((G$28*($B$28/100))*$B31),IF(G$27="mg/kg SAR",((G$28*0.001)*$B31),IF(G$27="mg/kg DM",(((G$28*0.001)*($B$28/100))*$B31),0))))))</f>
        <v>3.0000000000000002E-2</v>
      </c>
      <c r="H31" s="77">
        <f t="shared" si="5"/>
        <v>7.4999999999999997E-2</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58.2</v>
      </c>
      <c r="Q31" s="77">
        <f>(IF(Q$27="%w/w SAR",((Q$28*10)*$B31),IF(Q$27="%w/w DM",(((Q$28*10)*($B$28/100))*$B31),IF(Q$27="kg/t SAR",(Q$28*$B31),IF(Q$27="kg/t DM",((Q$28*($B$28/100))*$B31),IF(Q$27="mg/kg SAR",((Q$28*0.001)*$B31),IF(Q$27="mg/kg DM",(((Q$28*0.001)*($B$28/100))*$B31),0)))))))*2.5</f>
        <v>24.562500000000004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v>150</v>
      </c>
      <c r="C32" s="77">
        <f t="shared" ref="C32:C50" si="6">IF(C$27="%w/w SAR",((C$28*10)*$B32),IF(C$27="%w/w DM",(((C$28*10)*($B$28/100))*$B32),IF(C$27="kg/t SAR",(C$28*$B32),IF(C$27="kg/t DM",((C$28*($B$28/100))*$B32),IF(C$27="mg/kg SAR",((C$28*0.001)*$B32),IF(C$27="mg/kg DM",(((C$28*0.001)*($B$28/100))*$B32),0))))))</f>
        <v>90</v>
      </c>
      <c r="D32" s="77">
        <f t="shared" ref="D32:D50" si="7">(IF(D$27="%w/w SAR",((D$28*10)*$B32),IF(D$27="%w/w DM",(((D$28*10)*($B$28/100))*$B32),IF(D$27="kg/t SAR",(D$28*$B32),IF(D$27="kg/t DM",((D$28*($B$28/100))*$B32),IF(D$27="mg/kg SAR",((D$28*0.001)*$B32),IF(D$27="mg/kg DM",(((D$28*0.001)*($B$28/100))*$B32),"0")))))))*2.291</f>
        <v>15.910995</v>
      </c>
      <c r="E32" s="77">
        <f t="shared" ref="E32:E50" si="8">(IF(E$27="%w/w SAR",((E$28*10)*$B32),IF(E$27="%w/w DM",(((E$28*10)*($B$28/100))*$B32),IF(E$27="kg/t SAR",(E$28*$B32),IF(E$27="kg/t DM",((E$28*($B$28/100))*$B32),IF(E$27="mg/kg SAR",((E$28*0.001)*$B32),IF(E$27="mg/kg DM",(((E$28*0.001)*($B$28/100))*$B32),"0")))))))*1.205</f>
        <v>8.5314000000000014</v>
      </c>
      <c r="F32" s="77">
        <f t="shared" ref="F32:F50" si="9">(IF(F$27="%w/w SAR",((F$28*10)*$B32),IF(F$27="%w/w DM",(((F$28*10)*($B$28/100))*$B32),IF(F$27="kg/t SAR",(F$28*$B32),IF(F$27="kg/t DM",((F$28*($B$28/100))*$B32),IF(F$27="mg/kg SAR",((F$28*0.001)*$B32),IF(F$27="mg/kg DM",(((F$28*0.001)*($B$28/100))*$B32),"0")))))))*1.658</f>
        <v>2.4870000000000001</v>
      </c>
      <c r="G32" s="77">
        <f t="shared" si="5"/>
        <v>3.0000000000000002E-2</v>
      </c>
      <c r="H32" s="77">
        <f t="shared" si="5"/>
        <v>7.4999999999999997E-2</v>
      </c>
      <c r="I32" s="77">
        <f t="shared" si="5"/>
        <v>7.4999999999999997E-2</v>
      </c>
      <c r="J32" s="77">
        <f t="shared" si="5"/>
        <v>1.5E-3</v>
      </c>
      <c r="K32" s="77">
        <f t="shared" si="5"/>
        <v>7.5000000000000006E-3</v>
      </c>
      <c r="L32" s="77">
        <f t="shared" si="5"/>
        <v>3.0000000000000002E-2</v>
      </c>
      <c r="M32" s="77">
        <f t="shared" si="5"/>
        <v>3.0000000000000002E-2</v>
      </c>
      <c r="N32" s="77">
        <f t="shared" si="5"/>
        <v>0</v>
      </c>
      <c r="O32" s="77">
        <f t="shared" si="5"/>
        <v>0</v>
      </c>
      <c r="P32" s="77">
        <f t="shared" si="5"/>
        <v>58.2</v>
      </c>
      <c r="Q32" s="77">
        <f t="shared" ref="Q32:Q50" si="10">(IF(Q$27="%w/w SAR",((Q$28*10)*$B32),IF(Q$27="%w/w DM",(((Q$28*10)*($B$28/100))*$B32),IF(Q$27="kg/t SAR",(Q$28*$B32),IF(Q$27="kg/t DM",((Q$28*($B$28/100))*$B32),IF(Q$27="mg/kg SAR",((Q$28*0.001)*$B32),IF(Q$27="mg/kg DM",(((Q$28*0.001)*($B$28/100))*$B32),0)))))))*2.5</f>
        <v>24.562500000000004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v>150</v>
      </c>
      <c r="C33" s="77">
        <f t="shared" si="6"/>
        <v>90</v>
      </c>
      <c r="D33" s="77">
        <f t="shared" si="7"/>
        <v>15.910995</v>
      </c>
      <c r="E33" s="77">
        <f t="shared" si="8"/>
        <v>8.5314000000000014</v>
      </c>
      <c r="F33" s="77">
        <f t="shared" si="9"/>
        <v>2.4870000000000001</v>
      </c>
      <c r="G33" s="77">
        <f t="shared" si="5"/>
        <v>3.0000000000000002E-2</v>
      </c>
      <c r="H33" s="77">
        <f t="shared" si="5"/>
        <v>7.4999999999999997E-2</v>
      </c>
      <c r="I33" s="77">
        <f t="shared" si="5"/>
        <v>7.4999999999999997E-2</v>
      </c>
      <c r="J33" s="77">
        <f t="shared" si="5"/>
        <v>1.5E-3</v>
      </c>
      <c r="K33" s="77">
        <f t="shared" si="5"/>
        <v>7.5000000000000006E-3</v>
      </c>
      <c r="L33" s="77">
        <f t="shared" si="5"/>
        <v>3.0000000000000002E-2</v>
      </c>
      <c r="M33" s="77">
        <f t="shared" si="5"/>
        <v>3.0000000000000002E-2</v>
      </c>
      <c r="N33" s="77">
        <f t="shared" si="5"/>
        <v>0</v>
      </c>
      <c r="O33" s="77">
        <f t="shared" si="5"/>
        <v>0</v>
      </c>
      <c r="P33" s="77">
        <f t="shared" si="5"/>
        <v>58.2</v>
      </c>
      <c r="Q33" s="77">
        <f t="shared" si="10"/>
        <v>24.562500000000004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v>150</v>
      </c>
      <c r="C34" s="77">
        <f t="shared" si="6"/>
        <v>90</v>
      </c>
      <c r="D34" s="77">
        <f t="shared" si="7"/>
        <v>15.910995</v>
      </c>
      <c r="E34" s="77">
        <f t="shared" si="8"/>
        <v>8.5314000000000014</v>
      </c>
      <c r="F34" s="77">
        <f t="shared" si="9"/>
        <v>2.4870000000000001</v>
      </c>
      <c r="G34" s="77">
        <f t="shared" si="5"/>
        <v>3.0000000000000002E-2</v>
      </c>
      <c r="H34" s="77">
        <f t="shared" si="5"/>
        <v>7.4999999999999997E-2</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58.2</v>
      </c>
      <c r="Q34" s="77">
        <f t="shared" si="10"/>
        <v>24.562500000000004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v>150</v>
      </c>
      <c r="C35" s="77">
        <f t="shared" si="6"/>
        <v>90</v>
      </c>
      <c r="D35" s="77">
        <f t="shared" si="7"/>
        <v>15.910995</v>
      </c>
      <c r="E35" s="77">
        <f t="shared" si="8"/>
        <v>8.5314000000000014</v>
      </c>
      <c r="F35" s="77">
        <f t="shared" si="9"/>
        <v>2.4870000000000001</v>
      </c>
      <c r="G35" s="77">
        <f t="shared" si="5"/>
        <v>3.0000000000000002E-2</v>
      </c>
      <c r="H35" s="77">
        <f t="shared" si="5"/>
        <v>7.4999999999999997E-2</v>
      </c>
      <c r="I35" s="77">
        <f t="shared" si="5"/>
        <v>7.4999999999999997E-2</v>
      </c>
      <c r="J35" s="77">
        <f t="shared" si="5"/>
        <v>1.5E-3</v>
      </c>
      <c r="K35" s="77">
        <f t="shared" si="5"/>
        <v>7.5000000000000006E-3</v>
      </c>
      <c r="L35" s="77">
        <f t="shared" si="5"/>
        <v>3.0000000000000002E-2</v>
      </c>
      <c r="M35" s="77">
        <f t="shared" si="5"/>
        <v>3.0000000000000002E-2</v>
      </c>
      <c r="N35" s="77">
        <f t="shared" si="5"/>
        <v>0</v>
      </c>
      <c r="O35" s="77">
        <f t="shared" si="5"/>
        <v>0</v>
      </c>
      <c r="P35" s="77">
        <f t="shared" si="5"/>
        <v>58.2</v>
      </c>
      <c r="Q35" s="77">
        <f t="shared" si="10"/>
        <v>24.562500000000004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Arable</v>
      </c>
      <c r="D58" s="13" t="str">
        <f>E16&amp;" I "&amp;(VLOOKUP(E14,Table245810[],6,FALSE))</f>
        <v>Medium/Clay I Arable</v>
      </c>
      <c r="E58" s="13" t="str">
        <f>F16&amp;" I "&amp;(VLOOKUP(F14,Table245810[],6,FALSE))</f>
        <v>Medium/Clay I Grass</v>
      </c>
      <c r="F58" s="13" t="str">
        <f>G16&amp;" I "&amp;(VLOOKUP(G14,Table245810[],6,FALSE))</f>
        <v>Medium/Clay I Grass</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6.7</v>
      </c>
      <c r="D59" s="76">
        <f>VLOOKUP(E$14,Table245810[],5,FALSE)</f>
        <v>6.7</v>
      </c>
      <c r="E59" s="76">
        <f>VLOOKUP(F$14,Table245810[],5,FALSE)</f>
        <v>6.2</v>
      </c>
      <c r="F59" s="76">
        <f>VLOOKUP(G$14,Table245810[],5,FALSE)</f>
        <v>6.2</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-56</v>
      </c>
      <c r="F19" s="16">
        <f t="shared" si="1"/>
        <v>-64.599999999999994</v>
      </c>
      <c r="G19" s="16">
        <f t="shared" si="1"/>
        <v>-64.599999999999994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-176</v>
      </c>
      <c r="F23" s="16">
        <f t="shared" si="3"/>
        <v>-228</v>
      </c>
      <c r="G23" s="16">
        <f t="shared" si="3"/>
        <v>-228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Arable</v>
      </c>
      <c r="D58" s="13" t="str">
        <f>E16&amp;" I "&amp;(VLOOKUP(E14,Table2458[],6,FALSE))</f>
        <v>Medium/Clay I Arable</v>
      </c>
      <c r="E58" s="13" t="str">
        <f>F16&amp;" I "&amp;(VLOOKUP(F14,Table2458[],6,FALSE))</f>
        <v>Medium/Clay I Grass</v>
      </c>
      <c r="F58" s="13" t="str">
        <f>G16&amp;" I "&amp;(VLOOKUP(G14,Table2458[],6,FALSE))</f>
        <v>Medium/Clay I Grass</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6.7</v>
      </c>
      <c r="D59" s="76">
        <f>VLOOKUP(E$14,Table2458[],5,FALSE)</f>
        <v>6.7</v>
      </c>
      <c r="E59" s="76">
        <f>VLOOKUP(F$14,Table2458[],5,FALSE)</f>
        <v>6.2</v>
      </c>
      <c r="F59" s="76">
        <f>VLOOKUP(G$14,Table2458[],5,FALSE)</f>
        <v>6.2</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-56</v>
      </c>
      <c r="F19" s="16">
        <f t="shared" si="1"/>
        <v>-64.599999999999994</v>
      </c>
      <c r="G19" s="16">
        <f t="shared" si="1"/>
        <v>-64.599999999999994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-176</v>
      </c>
      <c r="F23" s="16">
        <f t="shared" si="3"/>
        <v>-228</v>
      </c>
      <c r="G23" s="16">
        <f t="shared" si="3"/>
        <v>-228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Arable</v>
      </c>
      <c r="D58" s="13" t="str">
        <f>E16&amp;" I "&amp;(VLOOKUP(E14,Table24581113[],6,FALSE))</f>
        <v>Medium/Clay I Arable</v>
      </c>
      <c r="E58" s="13" t="str">
        <f>F16&amp;" I "&amp;(VLOOKUP(F14,Table24581113[],6,FALSE))</f>
        <v>Medium/Clay I Grass</v>
      </c>
      <c r="F58" s="13" t="str">
        <f>G16&amp;" I "&amp;(VLOOKUP(G14,Table24581113[],6,FALSE))</f>
        <v>Medium/Clay I Grass</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6.7</v>
      </c>
      <c r="D59" s="76">
        <f>VLOOKUP(E$14,Table24581113[],5,FALSE)</f>
        <v>6.7</v>
      </c>
      <c r="E59" s="76">
        <f>VLOOKUP(F$14,Table24581113[],5,FALSE)</f>
        <v>6.2</v>
      </c>
      <c r="F59" s="76">
        <f>VLOOKUP(G$14,Table24581113[],5,FALSE)</f>
        <v>6.2</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-56</v>
      </c>
      <c r="F19" s="16">
        <f t="shared" si="1"/>
        <v>-64.599999999999994</v>
      </c>
      <c r="G19" s="16">
        <f t="shared" si="1"/>
        <v>-64.599999999999994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-176</v>
      </c>
      <c r="F23" s="16">
        <f t="shared" si="3"/>
        <v>-228</v>
      </c>
      <c r="G23" s="16">
        <f t="shared" si="3"/>
        <v>-228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Arable</v>
      </c>
      <c r="D58" s="13" t="str">
        <f>E16&amp;" I "&amp;(VLOOKUP(E14,Table24567[],6,FALSE))</f>
        <v>Medium/Clay I Arable</v>
      </c>
      <c r="E58" s="13" t="str">
        <f>F16&amp;" I "&amp;(VLOOKUP(F14,Table24567[],6,FALSE))</f>
        <v>Medium/Clay I Grass</v>
      </c>
      <c r="F58" s="13" t="str">
        <f>G16&amp;" I "&amp;(VLOOKUP(G14,Table24567[],6,FALSE))</f>
        <v>Medium/Clay I Grass</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6.7</v>
      </c>
      <c r="D59" s="76">
        <f>VLOOKUP(E$14,Table24567[],5,FALSE)</f>
        <v>6.7</v>
      </c>
      <c r="E59" s="76">
        <f>VLOOKUP(F$14,Table24567[],5,FALSE)</f>
        <v>6.2</v>
      </c>
      <c r="F59" s="76">
        <f>VLOOKUP(G$14,Table24567[],5,FALSE)</f>
        <v>6.2</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PAN-024612</v>
      </c>
      <c r="D1" s="141"/>
      <c r="E1" s="93" t="s">
        <v>45</v>
      </c>
      <c r="F1" s="39">
        <f>'Field data and Waste 1'!F1</f>
        <v>42.1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Dyke Farm, Padeswood Lake Road, Padeswood, Flintshire, CH7 4HZ</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22</v>
      </c>
      <c r="D8" s="60">
        <f>'Field data and Waste 1'!D8</f>
        <v>23</v>
      </c>
      <c r="E8" s="60">
        <f>'Field data and Waste 1'!E8</f>
        <v>24</v>
      </c>
      <c r="F8" s="60" t="str">
        <f>'Field data and Waste 1'!F8</f>
        <v xml:space="preserve">A </v>
      </c>
      <c r="G8" s="60" t="str">
        <f>'Field data and Waste 1'!G8</f>
        <v>B</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f>'Field data and Waste 1'!D9</f>
        <v>1</v>
      </c>
      <c r="E9" s="60">
        <f>'Field data and Waste 1'!E9</f>
        <v>1</v>
      </c>
      <c r="F9" s="60" t="str">
        <f>'Field data and Waste 1'!F9</f>
        <v xml:space="preserve">Moderate </v>
      </c>
      <c r="G9" s="60" t="str">
        <f>'Field data and Waste 1'!G9</f>
        <v xml:space="preserve">Moderate </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5.4</v>
      </c>
      <c r="D10" s="60">
        <f>'Field data and Waste 1'!D10</f>
        <v>6.3</v>
      </c>
      <c r="E10" s="60">
        <f>'Field data and Waste 1'!E10</f>
        <v>5.9</v>
      </c>
      <c r="F10" s="60">
        <f>'Field data and Waste 1'!F10</f>
        <v>6.1</v>
      </c>
      <c r="G10" s="60">
        <f>'Field data and Waste 1'!G10</f>
        <v>5.8</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2</v>
      </c>
      <c r="E11" s="60">
        <f>'Field data and Waste 1'!E11</f>
        <v>2</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1</v>
      </c>
      <c r="F12" s="60">
        <f>'Field data and Waste 1'!F12</f>
        <v>1</v>
      </c>
      <c r="G12" s="60">
        <f>'Field data and Waste 1'!G12</f>
        <v>1</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Maize- Silage (30% DM)</v>
      </c>
      <c r="E14" s="102" t="str">
        <f>'Field data and Waste 1'!E14</f>
        <v>Maize- Silage (30% DM)</v>
      </c>
      <c r="F14" s="102" t="str">
        <f>'Field data and Waste 1'!F14</f>
        <v xml:space="preserve">Grass Silage (25% DM) </v>
      </c>
      <c r="G14" s="102" t="str">
        <f>'Field data and Waste 1'!G14</f>
        <v xml:space="preserve">Grass Silage (25% DM) </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40</v>
      </c>
      <c r="E15" s="60">
        <f>'Field data and Waste 1'!E15</f>
        <v>40</v>
      </c>
      <c r="F15" s="60">
        <f>'Field data and Waste 1'!F15</f>
        <v>38</v>
      </c>
      <c r="G15" s="60">
        <f>'Field data and Waste 1'!G15</f>
        <v>38</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56</v>
      </c>
      <c r="E17" s="28">
        <f t="shared" si="0"/>
        <v>56</v>
      </c>
      <c r="F17" s="28">
        <f t="shared" si="0"/>
        <v>64.599999999999994</v>
      </c>
      <c r="G17" s="28">
        <f t="shared" si="0"/>
        <v>64.599999999999994</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-56</v>
      </c>
      <c r="E19" s="16">
        <f t="shared" si="1"/>
        <v>-56</v>
      </c>
      <c r="F19" s="16">
        <f t="shared" si="1"/>
        <v>-64.599999999999994</v>
      </c>
      <c r="G19" s="16">
        <f t="shared" si="1"/>
        <v>-64.599999999999994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176</v>
      </c>
      <c r="E21" s="28">
        <f t="shared" si="2"/>
        <v>176</v>
      </c>
      <c r="F21" s="28">
        <f t="shared" si="2"/>
        <v>228</v>
      </c>
      <c r="G21" s="28">
        <f t="shared" si="2"/>
        <v>228</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-176</v>
      </c>
      <c r="E23" s="16">
        <f t="shared" si="3"/>
        <v>-176</v>
      </c>
      <c r="F23" s="16">
        <f t="shared" si="3"/>
        <v>-228</v>
      </c>
      <c r="G23" s="16">
        <f t="shared" si="3"/>
        <v>-228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24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 xml:space="preserve">A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22</v>
      </c>
      <c r="C57" s="8">
        <f t="shared" ref="C57:U57" si="13">D8</f>
        <v>23</v>
      </c>
      <c r="D57" s="8">
        <f t="shared" si="13"/>
        <v>24</v>
      </c>
      <c r="E57" s="8" t="str">
        <f t="shared" si="13"/>
        <v xml:space="preserve">A </v>
      </c>
      <c r="F57" s="8" t="str">
        <f t="shared" si="13"/>
        <v>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Arable</v>
      </c>
      <c r="D58" s="13" t="str">
        <f>E16&amp;" I "&amp;(VLOOKUP(E14,Table2456[],6,FALSE))</f>
        <v>Medium/Clay I Arable</v>
      </c>
      <c r="E58" s="13" t="str">
        <f>F16&amp;" I "&amp;(VLOOKUP(F14,Table2456[],6,FALSE))</f>
        <v>Medium/Clay I Grass</v>
      </c>
      <c r="F58" s="13" t="str">
        <f>G16&amp;" I "&amp;(VLOOKUP(G14,Table2456[],6,FALSE))</f>
        <v>Medium/Clay I Grass</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6.7</v>
      </c>
      <c r="D59" s="76">
        <f>VLOOKUP(E$14,Table2456[],5,FALSE)</f>
        <v>6.7</v>
      </c>
      <c r="E59" s="76">
        <f>VLOOKUP(F$14,Table2456[],5,FALSE)</f>
        <v>6.2</v>
      </c>
      <c r="F59" s="76">
        <f>VLOOKUP(G$14,Table2456[],5,FALSE)</f>
        <v>6.2</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5.4</v>
      </c>
      <c r="C60" s="76">
        <f t="shared" ref="C60:U60" si="14">D10</f>
        <v>6.3</v>
      </c>
      <c r="D60" s="76">
        <f t="shared" si="14"/>
        <v>5.9</v>
      </c>
      <c r="E60" s="76">
        <f t="shared" si="14"/>
        <v>6.1</v>
      </c>
      <c r="F60" s="76">
        <f t="shared" si="14"/>
        <v>5.8</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8</v>
      </c>
      <c r="E61" s="76">
        <f t="shared" si="15"/>
        <v>6</v>
      </c>
      <c r="F61" s="76">
        <f t="shared" si="15"/>
        <v>6</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4.7999999999999989</v>
      </c>
      <c r="C64" s="77">
        <f t="shared" ref="C64:U64" si="17">(C59-C60)*C61</f>
        <v>3.2000000000000028</v>
      </c>
      <c r="D64" s="77">
        <f t="shared" si="17"/>
        <v>6.3999999999999986</v>
      </c>
      <c r="E64" s="77">
        <f t="shared" si="17"/>
        <v>0.6000000000000032</v>
      </c>
      <c r="F64" s="77">
        <f t="shared" si="17"/>
        <v>2.4000000000000021</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-4.7999999999999989</v>
      </c>
      <c r="C65" s="77">
        <f t="shared" ref="C65:U65" si="18">C63-C64</f>
        <v>-3.2000000000000028</v>
      </c>
      <c r="D65" s="77">
        <f t="shared" si="18"/>
        <v>-6.3999999999999986</v>
      </c>
      <c r="E65" s="77">
        <f t="shared" si="18"/>
        <v>-0.6000000000000032</v>
      </c>
      <c r="F65" s="77">
        <f t="shared" si="18"/>
        <v>-2.4000000000000021</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28</v>
      </c>
      <c r="C3" s="33">
        <f>'Field data and Waste 1'!C31</f>
        <v>84</v>
      </c>
      <c r="D3" s="33">
        <f>'Field data and Waste 1'!D31</f>
        <v>55.423871999999996</v>
      </c>
      <c r="E3" s="33">
        <f>'Field data and Waste 1'!E31</f>
        <v>17.612280000000002</v>
      </c>
      <c r="F3" s="33">
        <f>'Field data and Waste 1'!F31</f>
        <v>2.9200695999999997</v>
      </c>
      <c r="G3" s="33">
        <f>'Field data and Waste 1'!G31</f>
        <v>6.5519999999999995E-2</v>
      </c>
      <c r="H3" s="33">
        <f>'Field data and Waste 1'!H31</f>
        <v>1.5091999999999999</v>
      </c>
      <c r="I3" s="33">
        <f>'Field data and Waste 1'!I31</f>
        <v>8.9880000000000002E-2</v>
      </c>
      <c r="J3" s="33">
        <f>'Field data and Waste 1'!J31</f>
        <v>1.3720000000000002E-3</v>
      </c>
      <c r="K3" s="33">
        <f>'Field data and Waste 1'!K31</f>
        <v>1.4E-3</v>
      </c>
      <c r="L3" s="33">
        <f>'Field data and Waste 1'!L31</f>
        <v>2.1840000000000002E-2</v>
      </c>
      <c r="M3" s="33">
        <f>'Field data and Waste 1'!M31</f>
        <v>2.6152000000000002E-2</v>
      </c>
      <c r="N3" s="33">
        <f>'Field data and Waste 1'!N31</f>
        <v>0</v>
      </c>
      <c r="O3" s="33">
        <f>'Field data and Waste 1'!O31</f>
        <v>0</v>
      </c>
      <c r="P3" s="33">
        <f>'Field data and Waste 1'!P31</f>
        <v>42.756</v>
      </c>
      <c r="Q3" s="33">
        <f>'Field data and Waste 1'!Q31</f>
        <v>62.58</v>
      </c>
      <c r="R3" s="33">
        <f>'Field data and Waste 1'!R31</f>
        <v>0</v>
      </c>
      <c r="S3" s="33">
        <f>'Field data and Waste 1'!S31</f>
        <v>0</v>
      </c>
      <c r="T3" s="33">
        <f>'Field data and Waste 1'!T31</f>
        <v>0</v>
      </c>
      <c r="U3" s="33">
        <f>'Field data and Waste 1'!U31</f>
        <v>0</v>
      </c>
    </row>
    <row r="4" spans="1:21" x14ac:dyDescent="0.25">
      <c r="A4" s="36">
        <v>2</v>
      </c>
      <c r="B4" s="33">
        <f>'Waste 2'!B31</f>
        <v>94</v>
      </c>
      <c r="C4" s="33">
        <f>'Waste 2'!C31</f>
        <v>65.800000000000011</v>
      </c>
      <c r="D4" s="33">
        <f>'Waste 2'!D31</f>
        <v>45.008986</v>
      </c>
      <c r="E4" s="33">
        <f>'Waste 2'!E31</f>
        <v>7.6457250000000014</v>
      </c>
      <c r="F4" s="33">
        <f>'Waste 2'!F31</f>
        <v>3.9430556000000001</v>
      </c>
      <c r="G4" s="33">
        <f>'Waste 2'!G31</f>
        <v>4.4179999999999997E-2</v>
      </c>
      <c r="H4" s="33">
        <f>'Waste 2'!H31</f>
        <v>0.66645999999999994</v>
      </c>
      <c r="I4" s="33">
        <f>'Waste 2'!I31</f>
        <v>4.7E-2</v>
      </c>
      <c r="J4" s="33">
        <f>'Waste 2'!J31</f>
        <v>9.4000000000000008E-4</v>
      </c>
      <c r="K4" s="33">
        <f>'Waste 2'!K31</f>
        <v>4.7000000000000002E-3</v>
      </c>
      <c r="L4" s="33">
        <f>'Waste 2'!L31</f>
        <v>2.162E-2</v>
      </c>
      <c r="M4" s="33">
        <f>'Waste 2'!M31</f>
        <v>0.188</v>
      </c>
      <c r="N4" s="33">
        <f>'Waste 2'!N31</f>
        <v>0</v>
      </c>
      <c r="O4" s="33">
        <f>'Waste 2'!O31</f>
        <v>0</v>
      </c>
      <c r="P4" s="33">
        <f>'Waste 2'!P31</f>
        <v>264.98599999999999</v>
      </c>
      <c r="Q4" s="33">
        <f>'Waste 2'!Q31</f>
        <v>299.625</v>
      </c>
      <c r="R4" s="33">
        <f>'Waste 2'!R31</f>
        <v>0</v>
      </c>
      <c r="S4" s="33">
        <f>'Waste 2'!S31</f>
        <v>0</v>
      </c>
      <c r="T4" s="33">
        <f>'Waste 2'!T31</f>
        <v>0</v>
      </c>
      <c r="U4" s="33">
        <f>'Waste 2'!U31</f>
        <v>0</v>
      </c>
    </row>
    <row r="5" spans="1:21" x14ac:dyDescent="0.25">
      <c r="A5" s="36">
        <v>3</v>
      </c>
      <c r="B5" s="33">
        <f>'Waste 3'!B31</f>
        <v>135</v>
      </c>
      <c r="C5" s="33">
        <f>'Waste 3'!C31</f>
        <v>148.5</v>
      </c>
      <c r="D5" s="33">
        <f>'Waste 3'!D31</f>
        <v>51.032025000000004</v>
      </c>
      <c r="E5" s="33">
        <f>'Waste 3'!E31</f>
        <v>15.1775775</v>
      </c>
      <c r="F5" s="33">
        <f>'Waste 3'!F31</f>
        <v>17.884017000000004</v>
      </c>
      <c r="G5" s="33">
        <f>'Waste 3'!G31</f>
        <v>9.2340000000000005E-2</v>
      </c>
      <c r="H5" s="33">
        <f>'Waste 3'!H31</f>
        <v>0.51165000000000005</v>
      </c>
      <c r="I5" s="33">
        <f>'Waste 3'!I31</f>
        <v>6.7500000000000004E-2</v>
      </c>
      <c r="J5" s="33">
        <f>'Waste 3'!J31</f>
        <v>1.3500000000000001E-3</v>
      </c>
      <c r="K5" s="33">
        <f>'Waste 3'!K31</f>
        <v>6.7499999999999999E-3</v>
      </c>
      <c r="L5" s="33">
        <f>'Waste 3'!L31</f>
        <v>2.7E-2</v>
      </c>
      <c r="M5" s="33">
        <f>'Waste 3'!M31</f>
        <v>3.0510000000000002E-2</v>
      </c>
      <c r="N5" s="33">
        <f>'Waste 3'!N31</f>
        <v>0</v>
      </c>
      <c r="O5" s="33">
        <f>'Waste 3'!O31</f>
        <v>0</v>
      </c>
      <c r="P5" s="33">
        <f>'Waste 3'!P31</f>
        <v>45.36</v>
      </c>
      <c r="Q5" s="33">
        <f>'Waste 3'!Q31</f>
        <v>65.8125</v>
      </c>
      <c r="R5" s="33">
        <f>'Waste 3'!R31</f>
        <v>0</v>
      </c>
      <c r="S5" s="33">
        <f>'Waste 3'!S31</f>
        <v>0</v>
      </c>
      <c r="T5" s="33">
        <f>'Waste 3'!T31</f>
        <v>0</v>
      </c>
      <c r="U5" s="33">
        <f>'Waste 3'!U31</f>
        <v>0</v>
      </c>
    </row>
    <row r="6" spans="1:21" x14ac:dyDescent="0.25">
      <c r="A6" s="36">
        <v>4</v>
      </c>
      <c r="B6" s="33">
        <f>'Waste 4'!B31</f>
        <v>83</v>
      </c>
      <c r="C6" s="33">
        <f>'Waste 4'!C31</f>
        <v>149.39999999999998</v>
      </c>
      <c r="D6" s="33">
        <f>'Waste 4'!D31</f>
        <v>1.61820203</v>
      </c>
      <c r="E6" s="33">
        <f>'Waste 4'!E31</f>
        <v>8.6012900000000023</v>
      </c>
      <c r="F6" s="33">
        <f>'Waste 4'!F31</f>
        <v>9.1926151999999988</v>
      </c>
      <c r="G6" s="33">
        <f>'Waste 4'!G31</f>
        <v>1.66E-2</v>
      </c>
      <c r="H6" s="33">
        <f>'Waste 4'!H31</f>
        <v>4.8804E-2</v>
      </c>
      <c r="I6" s="33">
        <f>'Waste 4'!I31</f>
        <v>4.1500000000000002E-2</v>
      </c>
      <c r="J6" s="33">
        <f>'Waste 4'!J31</f>
        <v>8.3000000000000012E-4</v>
      </c>
      <c r="K6" s="33">
        <f>'Waste 4'!K31</f>
        <v>4.15E-3</v>
      </c>
      <c r="L6" s="33">
        <f>'Waste 4'!L31</f>
        <v>1.66E-2</v>
      </c>
      <c r="M6" s="33">
        <f>'Waste 4'!M31</f>
        <v>1.66E-2</v>
      </c>
      <c r="N6" s="33">
        <f>'Waste 4'!N31</f>
        <v>0</v>
      </c>
      <c r="O6" s="33">
        <f>'Waste 4'!O31</f>
        <v>0</v>
      </c>
      <c r="P6" s="33">
        <f>'Waste 4'!P31</f>
        <v>37.267000000000003</v>
      </c>
      <c r="Q6" s="33">
        <f>'Waste 4'!Q31</f>
        <v>4.7932500000000005</v>
      </c>
      <c r="R6" s="33">
        <f>'Waste 4'!R31</f>
        <v>0</v>
      </c>
      <c r="S6" s="33">
        <f>'Waste 4'!S31</f>
        <v>0</v>
      </c>
      <c r="T6" s="33">
        <f>'Waste 4'!T31</f>
        <v>0</v>
      </c>
      <c r="U6" s="33">
        <f>'Waste 4'!U31</f>
        <v>0</v>
      </c>
    </row>
    <row r="7" spans="1:21" x14ac:dyDescent="0.25">
      <c r="A7" s="36">
        <v>5</v>
      </c>
      <c r="B7" s="33">
        <f>'Waste 5'!B31</f>
        <v>17</v>
      </c>
      <c r="C7" s="33">
        <f>'Waste 5'!C31</f>
        <v>103.47305</v>
      </c>
      <c r="D7" s="33">
        <f>'Waste 5'!D31</f>
        <v>54.729882279999991</v>
      </c>
      <c r="E7" s="33">
        <f>'Waste 5'!E31</f>
        <v>12.535447505</v>
      </c>
      <c r="F7" s="33">
        <f>'Waste 5'!F31</f>
        <v>5.8030464239999997</v>
      </c>
      <c r="G7" s="33">
        <f>'Waste 5'!G31</f>
        <v>3.3194709999999995E-2</v>
      </c>
      <c r="H7" s="33">
        <f>'Waste 5'!H31</f>
        <v>0.24583529999999998</v>
      </c>
      <c r="I7" s="33">
        <f>'Waste 5'!I31</f>
        <v>3.236137E-3</v>
      </c>
      <c r="J7" s="33">
        <f>'Waste 5'!J31</f>
        <v>1.3888999999999999E-4</v>
      </c>
      <c r="K7" s="33">
        <f>'Waste 5'!K31</f>
        <v>1.3888999999999999E-4</v>
      </c>
      <c r="L7" s="33">
        <f>'Waste 5'!L31</f>
        <v>2.2639070000000001E-2</v>
      </c>
      <c r="M7" s="33">
        <f>'Waste 5'!M31</f>
        <v>5.8889359999999995E-2</v>
      </c>
      <c r="N7" s="33">
        <f>'Waste 5'!N31</f>
        <v>0</v>
      </c>
      <c r="O7" s="33">
        <f>'Waste 5'!O31</f>
        <v>0</v>
      </c>
      <c r="P7" s="33">
        <f>'Waste 5'!P31</f>
        <v>14.722340000000001</v>
      </c>
      <c r="Q7" s="33">
        <f>'Waste 5'!Q31</f>
        <v>64.583849999999998</v>
      </c>
      <c r="R7" s="33">
        <f>'Waste 5'!R31</f>
        <v>0</v>
      </c>
      <c r="S7" s="33">
        <f>'Waste 5'!S31</f>
        <v>0</v>
      </c>
      <c r="T7" s="33">
        <f>'Waste 5'!T31</f>
        <v>0</v>
      </c>
      <c r="U7" s="33">
        <f>'Waste 5'!U31</f>
        <v>0</v>
      </c>
    </row>
    <row r="8" spans="1:21" x14ac:dyDescent="0.25">
      <c r="A8" s="36">
        <v>6</v>
      </c>
      <c r="B8" s="33">
        <f>'Waste 6'!B31</f>
        <v>150</v>
      </c>
      <c r="C8" s="33">
        <f>'Waste 6'!C31</f>
        <v>90</v>
      </c>
      <c r="D8" s="33">
        <f>'Waste 6'!D31</f>
        <v>15.910995</v>
      </c>
      <c r="E8" s="33">
        <f>'Waste 6'!E31</f>
        <v>8.5314000000000014</v>
      </c>
      <c r="F8" s="33">
        <f>'Waste 6'!F31</f>
        <v>2.4870000000000001</v>
      </c>
      <c r="G8" s="33">
        <f>'Waste 6'!G31</f>
        <v>3.0000000000000002E-2</v>
      </c>
      <c r="H8" s="33">
        <f>'Waste 6'!H31</f>
        <v>7.4999999999999997E-2</v>
      </c>
      <c r="I8" s="33">
        <f>'Waste 6'!I31</f>
        <v>7.4999999999999997E-2</v>
      </c>
      <c r="J8" s="33">
        <f>'Waste 6'!J31</f>
        <v>1.5E-3</v>
      </c>
      <c r="K8" s="33">
        <f>'Waste 6'!K31</f>
        <v>7.5000000000000006E-3</v>
      </c>
      <c r="L8" s="33">
        <f>'Waste 6'!L31</f>
        <v>3.0000000000000002E-2</v>
      </c>
      <c r="M8" s="33">
        <f>'Waste 6'!M31</f>
        <v>3.0000000000000002E-2</v>
      </c>
      <c r="N8" s="33">
        <f>'Waste 6'!N31</f>
        <v>0</v>
      </c>
      <c r="O8" s="33">
        <f>'Waste 6'!O31</f>
        <v>0</v>
      </c>
      <c r="P8" s="33">
        <f>'Waste 6'!P31</f>
        <v>58.2</v>
      </c>
      <c r="Q8" s="33">
        <f>'Waste 6'!Q31</f>
        <v>24.562500000000004</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507</v>
      </c>
      <c r="C13" s="81">
        <f t="shared" ref="C13:U13" si="0">SUM(C3:C12)</f>
        <v>641.17304999999999</v>
      </c>
      <c r="D13" s="81">
        <f t="shared" si="0"/>
        <v>223.72396230999999</v>
      </c>
      <c r="E13" s="81">
        <f t="shared" si="0"/>
        <v>70.103720005</v>
      </c>
      <c r="F13" s="81">
        <f t="shared" si="0"/>
        <v>42.229803824000008</v>
      </c>
      <c r="G13" s="81">
        <f t="shared" si="0"/>
        <v>0.28183471000000004</v>
      </c>
      <c r="H13" s="81">
        <f t="shared" si="0"/>
        <v>3.0569492999999999</v>
      </c>
      <c r="I13" s="81">
        <f t="shared" si="0"/>
        <v>0.32411613700000003</v>
      </c>
      <c r="J13" s="81">
        <f t="shared" si="0"/>
        <v>6.13089E-3</v>
      </c>
      <c r="K13" s="81">
        <f t="shared" si="0"/>
        <v>2.463889E-2</v>
      </c>
      <c r="L13" s="81">
        <f t="shared" si="0"/>
        <v>0.13969907000000001</v>
      </c>
      <c r="M13" s="81">
        <f t="shared" si="0"/>
        <v>0.35015136000000002</v>
      </c>
      <c r="N13" s="81">
        <f t="shared" si="0"/>
        <v>0</v>
      </c>
      <c r="O13" s="81">
        <f t="shared" si="0"/>
        <v>0</v>
      </c>
      <c r="P13" s="81">
        <f t="shared" si="0"/>
        <v>463.29133999999993</v>
      </c>
      <c r="Q13" s="81">
        <f t="shared" si="0"/>
        <v>521.95709999999997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28</v>
      </c>
      <c r="D3" s="33">
        <f>'Field data and Waste 1'!C31</f>
        <v>84</v>
      </c>
      <c r="E3" s="33">
        <f>'Field data and Waste 1'!D31</f>
        <v>55.423871999999996</v>
      </c>
      <c r="F3" s="33">
        <f>'Field data and Waste 1'!E31</f>
        <v>17.612280000000002</v>
      </c>
      <c r="G3" s="33">
        <f>'Field data and Waste 1'!F31</f>
        <v>2.9200695999999997</v>
      </c>
      <c r="H3" s="33">
        <f>'Field data and Waste 1'!G31</f>
        <v>6.5519999999999995E-2</v>
      </c>
      <c r="I3" s="33">
        <f>'Field data and Waste 1'!H31</f>
        <v>1.5091999999999999</v>
      </c>
      <c r="J3" s="33">
        <f>'Field data and Waste 1'!I31</f>
        <v>8.9880000000000002E-2</v>
      </c>
      <c r="K3" s="33">
        <f>'Field data and Waste 1'!J31</f>
        <v>1.3720000000000002E-3</v>
      </c>
      <c r="L3" s="33">
        <f>'Field data and Waste 1'!K31</f>
        <v>1.4E-3</v>
      </c>
      <c r="M3" s="33">
        <f>'Field data and Waste 1'!L31</f>
        <v>2.1840000000000002E-2</v>
      </c>
      <c r="N3" s="33">
        <f>'Field data and Waste 1'!M31</f>
        <v>2.6152000000000002E-2</v>
      </c>
      <c r="O3" s="33">
        <f>'Field data and Waste 1'!N31</f>
        <v>0</v>
      </c>
      <c r="P3" s="33">
        <f>'Field data and Waste 1'!O31</f>
        <v>0</v>
      </c>
      <c r="Q3" s="33">
        <f>'Field data and Waste 1'!P31</f>
        <v>42.756</v>
      </c>
      <c r="R3" s="33">
        <f>'Field data and Waste 1'!Q31</f>
        <v>62.58</v>
      </c>
      <c r="S3" s="33">
        <f>'Field data and Waste 1'!R31</f>
        <v>0</v>
      </c>
      <c r="T3" s="33">
        <f>'Field data and Waste 1'!S31</f>
        <v>0</v>
      </c>
      <c r="U3" s="33">
        <f>'Field data and Waste 1'!T31</f>
        <v>0</v>
      </c>
      <c r="V3" s="33">
        <f>'Field data and Waste 1'!U31</f>
        <v>0</v>
      </c>
    </row>
    <row r="4" spans="1:22" x14ac:dyDescent="0.25">
      <c r="A4" s="36">
        <v>2</v>
      </c>
      <c r="B4" s="91"/>
      <c r="C4" s="33">
        <f>'Waste 2'!B31</f>
        <v>94</v>
      </c>
      <c r="D4" s="33">
        <f>'Waste 2'!C31</f>
        <v>65.800000000000011</v>
      </c>
      <c r="E4" s="33">
        <f>'Waste 2'!D31</f>
        <v>45.008986</v>
      </c>
      <c r="F4" s="33">
        <f>'Waste 2'!E31</f>
        <v>7.6457250000000014</v>
      </c>
      <c r="G4" s="33">
        <f>'Waste 2'!F31</f>
        <v>3.9430556000000001</v>
      </c>
      <c r="H4" s="33">
        <f>'Waste 2'!G31</f>
        <v>4.4179999999999997E-2</v>
      </c>
      <c r="I4" s="33">
        <f>'Waste 2'!H31</f>
        <v>0.66645999999999994</v>
      </c>
      <c r="J4" s="33">
        <f>'Waste 2'!I31</f>
        <v>4.7E-2</v>
      </c>
      <c r="K4" s="33">
        <f>'Waste 2'!J31</f>
        <v>9.4000000000000008E-4</v>
      </c>
      <c r="L4" s="33">
        <f>'Waste 2'!K31</f>
        <v>4.7000000000000002E-3</v>
      </c>
      <c r="M4" s="33">
        <f>'Waste 2'!L31</f>
        <v>2.162E-2</v>
      </c>
      <c r="N4" s="33">
        <f>'Waste 2'!M31</f>
        <v>0.188</v>
      </c>
      <c r="O4" s="33">
        <f>'Waste 2'!N31</f>
        <v>0</v>
      </c>
      <c r="P4" s="33">
        <f>'Waste 2'!O31</f>
        <v>0</v>
      </c>
      <c r="Q4" s="33">
        <f>'Waste 2'!P31</f>
        <v>264.98599999999999</v>
      </c>
      <c r="R4" s="33">
        <f>'Waste 2'!Q31</f>
        <v>299.625</v>
      </c>
      <c r="S4" s="33">
        <f>'Waste 2'!R31</f>
        <v>0</v>
      </c>
      <c r="T4" s="33">
        <f>'Waste 2'!S31</f>
        <v>0</v>
      </c>
      <c r="U4" s="33">
        <f>'Waste 2'!T31</f>
        <v>0</v>
      </c>
      <c r="V4" s="33">
        <f>'Waste 2'!U31</f>
        <v>0</v>
      </c>
    </row>
    <row r="5" spans="1:22" x14ac:dyDescent="0.25">
      <c r="A5" s="36">
        <v>3</v>
      </c>
      <c r="B5" s="91"/>
      <c r="C5" s="33">
        <f>'Waste 3'!B31</f>
        <v>135</v>
      </c>
      <c r="D5" s="33">
        <f>'Waste 3'!C31</f>
        <v>148.5</v>
      </c>
      <c r="E5" s="33">
        <f>'Waste 3'!D31</f>
        <v>51.032025000000004</v>
      </c>
      <c r="F5" s="33">
        <f>'Waste 3'!E31</f>
        <v>15.1775775</v>
      </c>
      <c r="G5" s="33">
        <f>'Waste 3'!F31</f>
        <v>17.884017000000004</v>
      </c>
      <c r="H5" s="33">
        <f>'Waste 3'!G31</f>
        <v>9.2340000000000005E-2</v>
      </c>
      <c r="I5" s="33">
        <f>'Waste 3'!H31</f>
        <v>0.51165000000000005</v>
      </c>
      <c r="J5" s="33">
        <f>'Waste 3'!I31</f>
        <v>6.7500000000000004E-2</v>
      </c>
      <c r="K5" s="33">
        <f>'Waste 3'!J31</f>
        <v>1.3500000000000001E-3</v>
      </c>
      <c r="L5" s="33">
        <f>'Waste 3'!K31</f>
        <v>6.7499999999999999E-3</v>
      </c>
      <c r="M5" s="33">
        <f>'Waste 3'!L31</f>
        <v>2.7E-2</v>
      </c>
      <c r="N5" s="33">
        <f>'Waste 3'!M31</f>
        <v>3.0510000000000002E-2</v>
      </c>
      <c r="O5" s="33">
        <f>'Waste 3'!N31</f>
        <v>0</v>
      </c>
      <c r="P5" s="33">
        <f>'Waste 3'!O31</f>
        <v>0</v>
      </c>
      <c r="Q5" s="33">
        <f>'Waste 3'!P31</f>
        <v>45.36</v>
      </c>
      <c r="R5" s="33">
        <f>'Waste 3'!Q31</f>
        <v>65.8125</v>
      </c>
      <c r="S5" s="33">
        <f>'Waste 3'!R31</f>
        <v>0</v>
      </c>
      <c r="T5" s="33">
        <f>'Waste 3'!S31</f>
        <v>0</v>
      </c>
      <c r="U5" s="33">
        <f>'Waste 3'!T31</f>
        <v>0</v>
      </c>
      <c r="V5" s="33">
        <f>'Waste 3'!U31</f>
        <v>0</v>
      </c>
    </row>
    <row r="6" spans="1:22" x14ac:dyDescent="0.25">
      <c r="A6" s="36">
        <v>4</v>
      </c>
      <c r="B6" s="91"/>
      <c r="C6" s="33">
        <f>'Waste 4'!B31</f>
        <v>83</v>
      </c>
      <c r="D6" s="33">
        <f>'Waste 4'!C31</f>
        <v>149.39999999999998</v>
      </c>
      <c r="E6" s="33">
        <f>'Waste 4'!D31</f>
        <v>1.61820203</v>
      </c>
      <c r="F6" s="33">
        <f>'Waste 4'!E31</f>
        <v>8.6012900000000023</v>
      </c>
      <c r="G6" s="33">
        <f>'Waste 4'!F31</f>
        <v>9.1926151999999988</v>
      </c>
      <c r="H6" s="33">
        <f>'Waste 4'!G31</f>
        <v>1.66E-2</v>
      </c>
      <c r="I6" s="33">
        <f>'Waste 4'!H31</f>
        <v>4.8804E-2</v>
      </c>
      <c r="J6" s="33">
        <f>'Waste 4'!I31</f>
        <v>4.1500000000000002E-2</v>
      </c>
      <c r="K6" s="33">
        <f>'Waste 4'!J31</f>
        <v>8.3000000000000012E-4</v>
      </c>
      <c r="L6" s="33">
        <f>'Waste 4'!K31</f>
        <v>4.15E-3</v>
      </c>
      <c r="M6" s="33">
        <f>'Waste 4'!L31</f>
        <v>1.66E-2</v>
      </c>
      <c r="N6" s="33">
        <f>'Waste 4'!M31</f>
        <v>1.66E-2</v>
      </c>
      <c r="O6" s="33">
        <f>'Waste 4'!N31</f>
        <v>0</v>
      </c>
      <c r="P6" s="33">
        <f>'Waste 4'!O31</f>
        <v>0</v>
      </c>
      <c r="Q6" s="33">
        <f>'Waste 4'!P31</f>
        <v>37.267000000000003</v>
      </c>
      <c r="R6" s="33">
        <f>'Waste 4'!Q31</f>
        <v>4.7932500000000005</v>
      </c>
      <c r="S6" s="33">
        <f>'Waste 4'!R31</f>
        <v>0</v>
      </c>
      <c r="T6" s="33">
        <f>'Waste 4'!S31</f>
        <v>0</v>
      </c>
      <c r="U6" s="33">
        <f>'Waste 4'!T31</f>
        <v>0</v>
      </c>
      <c r="V6" s="33">
        <f>'Waste 4'!U31</f>
        <v>0</v>
      </c>
    </row>
    <row r="7" spans="1:22" x14ac:dyDescent="0.25">
      <c r="A7" s="36">
        <v>5</v>
      </c>
      <c r="B7" s="91"/>
      <c r="C7" s="33">
        <f>'Waste 5'!B31</f>
        <v>17</v>
      </c>
      <c r="D7" s="33">
        <f>'Waste 5'!C31</f>
        <v>103.47305</v>
      </c>
      <c r="E7" s="33">
        <f>'Waste 5'!D31</f>
        <v>54.729882279999991</v>
      </c>
      <c r="F7" s="33">
        <f>'Waste 5'!E31</f>
        <v>12.535447505</v>
      </c>
      <c r="G7" s="33">
        <f>'Waste 5'!F31</f>
        <v>5.8030464239999997</v>
      </c>
      <c r="H7" s="33">
        <f>'Waste 5'!G31</f>
        <v>3.3194709999999995E-2</v>
      </c>
      <c r="I7" s="33">
        <f>'Waste 5'!H31</f>
        <v>0.24583529999999998</v>
      </c>
      <c r="J7" s="33">
        <f>'Waste 5'!I31</f>
        <v>3.236137E-3</v>
      </c>
      <c r="K7" s="33">
        <f>'Waste 5'!J31</f>
        <v>1.3888999999999999E-4</v>
      </c>
      <c r="L7" s="33">
        <f>'Waste 5'!K31</f>
        <v>1.3888999999999999E-4</v>
      </c>
      <c r="M7" s="33">
        <f>'Waste 5'!L31</f>
        <v>2.2639070000000001E-2</v>
      </c>
      <c r="N7" s="33">
        <f>'Waste 5'!M31</f>
        <v>5.8889359999999995E-2</v>
      </c>
      <c r="O7" s="33">
        <f>'Waste 5'!N31</f>
        <v>0</v>
      </c>
      <c r="P7" s="33">
        <f>'Waste 5'!O31</f>
        <v>0</v>
      </c>
      <c r="Q7" s="33">
        <f>'Waste 5'!P31</f>
        <v>14.722340000000001</v>
      </c>
      <c r="R7" s="33">
        <f>'Waste 5'!Q31</f>
        <v>64.583849999999998</v>
      </c>
      <c r="S7" s="33">
        <f>'Waste 5'!R31</f>
        <v>0</v>
      </c>
      <c r="T7" s="33">
        <f>'Waste 5'!S31</f>
        <v>0</v>
      </c>
      <c r="U7" s="33">
        <f>'Waste 5'!T31</f>
        <v>0</v>
      </c>
      <c r="V7" s="33">
        <f>'Waste 5'!U31</f>
        <v>0</v>
      </c>
    </row>
    <row r="8" spans="1:22" x14ac:dyDescent="0.25">
      <c r="A8" s="36">
        <v>6</v>
      </c>
      <c r="B8" s="91"/>
      <c r="C8" s="33">
        <f>'Waste 6'!B31</f>
        <v>150</v>
      </c>
      <c r="D8" s="33">
        <f>'Waste 6'!C31</f>
        <v>90</v>
      </c>
      <c r="E8" s="33">
        <f>'Waste 6'!D31</f>
        <v>15.910995</v>
      </c>
      <c r="F8" s="33">
        <f>'Waste 6'!E31</f>
        <v>8.5314000000000014</v>
      </c>
      <c r="G8" s="33">
        <f>'Waste 6'!F31</f>
        <v>2.4870000000000001</v>
      </c>
      <c r="H8" s="33">
        <f>'Waste 6'!G31</f>
        <v>3.0000000000000002E-2</v>
      </c>
      <c r="I8" s="33">
        <f>'Waste 6'!H31</f>
        <v>7.4999999999999997E-2</v>
      </c>
      <c r="J8" s="33">
        <f>'Waste 6'!I31</f>
        <v>7.4999999999999997E-2</v>
      </c>
      <c r="K8" s="33">
        <f>'Waste 6'!J31</f>
        <v>1.5E-3</v>
      </c>
      <c r="L8" s="33">
        <f>'Waste 6'!K31</f>
        <v>7.5000000000000006E-3</v>
      </c>
      <c r="M8" s="33">
        <f>'Waste 6'!L31</f>
        <v>3.0000000000000002E-2</v>
      </c>
      <c r="N8" s="33">
        <f>'Waste 6'!M31</f>
        <v>3.0000000000000002E-2</v>
      </c>
      <c r="O8" s="33">
        <f>'Waste 6'!N31</f>
        <v>0</v>
      </c>
      <c r="P8" s="33">
        <f>'Waste 6'!O31</f>
        <v>0</v>
      </c>
      <c r="Q8" s="33">
        <f>'Waste 6'!P31</f>
        <v>58.2</v>
      </c>
      <c r="R8" s="33">
        <f>'Waste 6'!Q31</f>
        <v>24.562500000000004</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94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83</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17</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REGU-415-1631625</_dlc_DocId>
    <_dlc_DocIdUrl xmlns="9be56660-2c31-41ef-bc00-23e72f632f2a">
      <Url>https://cyfoethnaturiolcymru.sharepoint.com/teams/Regulatory/Permitting/_layouts/15/DocIdRedir.aspx?ID=REGU-415-1631625</Url>
      <Description>REGU-415-1631625</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2024-03-28T00:00:00+00:00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40D568A5-D827-46F7-9D8F-F740485AE033}"/>
</file>

<file path=customXml/itemProps3.xml><?xml version="1.0" encoding="utf-8"?>
<ds:datastoreItem xmlns:ds="http://schemas.openxmlformats.org/officeDocument/2006/customXml" ds:itemID="{3EB88BFD-E29A-4849-A8E6-116EB74B98EA}">
  <ds:schemaRef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C78191D0-2594-4BD4-8023-B9183111FEBA}"/>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PAN-024612  NRW Nutrient Calculator</dc:title>
  <dc:creator>Louise Bailey</dc:creator>
  <cp:keywords>NRW Nutrient Calculator</cp:keywords>
  <cp:lastModifiedBy>Banfield, Ethan</cp:lastModifiedBy>
  <dcterms:created xsi:type="dcterms:W3CDTF">2016-09-26T10:07:59Z</dcterms:created>
  <dcterms:modified xsi:type="dcterms:W3CDTF">2024-03-27T15:44:18Z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7e3ea0e9-1a73-42b6-bf90-940c9b743acf</vt:lpwstr>
  </property>
  <property fmtid="{D5CDD505-2E9C-101B-9397-08002B2CF9AE}" pid="4" name="Order">
    <vt:r8>163162500</vt:r8>
  </property>
  <property fmtid="{D5CDD505-2E9C-101B-9397-08002B2CF9AE}" pid="5" name="MediaServiceImageTags">
    <vt:lpwstr/>
  </property>
</Properties>
</file>