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Ethan Banfield/PAN-024813/"/>
    </mc:Choice>
  </mc:AlternateContent>
  <xr:revisionPtr revIDLastSave="0" documentId="13_ncr:1_{86C0A6E0-4FFA-4335-834B-0C6FBF376DA1}" xr6:coauthVersionLast="47" xr6:coauthVersionMax="47" xr10:uidLastSave="{00000000-0000-0000-0000-000000000000}"/>
  <bookViews>
    <workbookView xWindow="-28920" yWindow="-120" windowWidth="29040" windowHeight="15840" tabRatio="870" activeTab="6" xr2:uid="{00000000-000D-0000-FFFF-FFFF00000000}"/>
  </bookViews>
  <sheets>
    <sheet name="Field data and Waste 1" sheetId="1" r:id="rId1"/>
    <sheet name="Waste 2" sheetId="21" r:id="rId2"/>
    <sheet name="Waste 3" sheetId="27" r:id="rId3"/>
    <sheet name="Waste 4" sheetId="28" r:id="rId4"/>
    <sheet name="Waste 5" sheetId="30" r:id="rId5"/>
    <sheet name="Waste 6" sheetId="26" r:id="rId6"/>
    <sheet name="Waste 7" sheetId="24" r:id="rId7"/>
    <sheet name="Waste 8" sheetId="29" r:id="rId8"/>
    <sheet name="Waste 9" sheetId="23" r:id="rId9"/>
    <sheet name="Waste 10"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U22" i="30"/>
  <c r="S22" i="30"/>
  <c r="Q22" i="30"/>
  <c r="M22" i="30"/>
  <c r="K22" i="30"/>
  <c r="I22" i="30"/>
  <c r="V20" i="30"/>
  <c r="U20" i="30"/>
  <c r="V18" i="30"/>
  <c r="T18" i="30"/>
  <c r="N18" i="30"/>
  <c r="F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D48" i="29"/>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C46" i="29"/>
  <c r="U45" i="29"/>
  <c r="T45" i="29"/>
  <c r="S45" i="29"/>
  <c r="R45" i="29"/>
  <c r="Q45" i="29"/>
  <c r="P45" i="29"/>
  <c r="O45" i="29"/>
  <c r="N45" i="29"/>
  <c r="M45" i="29"/>
  <c r="L45" i="29"/>
  <c r="K45" i="29"/>
  <c r="J45" i="29"/>
  <c r="I45" i="29"/>
  <c r="H45" i="29"/>
  <c r="G45" i="29"/>
  <c r="F45" i="29"/>
  <c r="E45" i="29"/>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D38" i="29"/>
  <c r="J18" i="29" s="1"/>
  <c r="C38" i="29"/>
  <c r="U37" i="29"/>
  <c r="T37" i="29"/>
  <c r="S37" i="29"/>
  <c r="R37" i="29"/>
  <c r="Q37" i="29"/>
  <c r="P37" i="29"/>
  <c r="O37" i="29"/>
  <c r="N37" i="29"/>
  <c r="M37" i="29"/>
  <c r="L37" i="29"/>
  <c r="K37" i="29"/>
  <c r="J37" i="29"/>
  <c r="I37" i="29"/>
  <c r="H37" i="29"/>
  <c r="G37" i="29"/>
  <c r="F37" i="29"/>
  <c r="E37" i="29"/>
  <c r="I22" i="29" s="1"/>
  <c r="D37" i="29"/>
  <c r="C37" i="29"/>
  <c r="U36" i="29"/>
  <c r="T36" i="29"/>
  <c r="S36" i="29"/>
  <c r="R36" i="29"/>
  <c r="Q36" i="29"/>
  <c r="P36" i="29"/>
  <c r="O36" i="29"/>
  <c r="N36" i="29"/>
  <c r="M36" i="29"/>
  <c r="L36" i="29"/>
  <c r="K36" i="29"/>
  <c r="J36" i="29"/>
  <c r="I36" i="29"/>
  <c r="H36" i="29"/>
  <c r="G36" i="29"/>
  <c r="F36" i="29"/>
  <c r="E36" i="29"/>
  <c r="H22" i="29" s="1"/>
  <c r="D36" i="29"/>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V24" i="29"/>
  <c r="U24" i="29"/>
  <c r="T24" i="29"/>
  <c r="S24" i="29"/>
  <c r="R24" i="29"/>
  <c r="Q24" i="29"/>
  <c r="P24" i="29"/>
  <c r="O24" i="29"/>
  <c r="N24" i="29"/>
  <c r="M24" i="29"/>
  <c r="L24" i="29"/>
  <c r="K24" i="29"/>
  <c r="J24" i="29"/>
  <c r="I24" i="29"/>
  <c r="H24" i="29"/>
  <c r="G24" i="29"/>
  <c r="F24" i="29"/>
  <c r="E24" i="29"/>
  <c r="D24" i="29"/>
  <c r="T22" i="29"/>
  <c r="S22" i="29"/>
  <c r="R22" i="29"/>
  <c r="Q22" i="29"/>
  <c r="L22" i="29"/>
  <c r="J22" i="29"/>
  <c r="V20" i="29"/>
  <c r="U20" i="29"/>
  <c r="T20" i="29"/>
  <c r="S20" i="29"/>
  <c r="R20" i="29"/>
  <c r="Q20" i="29"/>
  <c r="P20" i="29"/>
  <c r="O20" i="29"/>
  <c r="N20" i="29"/>
  <c r="M20" i="29"/>
  <c r="L20" i="29"/>
  <c r="K20" i="29"/>
  <c r="J20" i="29"/>
  <c r="I20" i="29"/>
  <c r="H20" i="29"/>
  <c r="G20" i="29"/>
  <c r="F20" i="29"/>
  <c r="E20" i="29"/>
  <c r="D20" i="29"/>
  <c r="V18" i="29"/>
  <c r="U18" i="29"/>
  <c r="T18" i="29"/>
  <c r="R18" i="29"/>
  <c r="P18" i="29"/>
  <c r="N18" i="29"/>
  <c r="M18" i="29"/>
  <c r="L18" i="29"/>
  <c r="I18" i="29"/>
  <c r="H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V18" i="28"/>
  <c r="P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O22" i="27" s="1"/>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G22" i="27"/>
  <c r="V20" i="27"/>
  <c r="U20" i="27"/>
  <c r="T18" i="27"/>
  <c r="R18" i="27"/>
  <c r="J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Q22" i="26"/>
  <c r="K22" i="26"/>
  <c r="I22" i="26"/>
  <c r="V20" i="26"/>
  <c r="U20" i="26"/>
  <c r="T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U22" i="24" s="1"/>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P18" i="24" s="1"/>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Q22" i="24"/>
  <c r="V20" i="24"/>
  <c r="U20" i="24"/>
  <c r="U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4" i="23"/>
  <c r="U24" i="23"/>
  <c r="T24" i="23"/>
  <c r="S24" i="23"/>
  <c r="R24" i="23"/>
  <c r="Q24" i="23"/>
  <c r="P24" i="23"/>
  <c r="O24" i="23"/>
  <c r="N24" i="23"/>
  <c r="M24" i="23"/>
  <c r="L24" i="23"/>
  <c r="K24" i="23"/>
  <c r="J24" i="23"/>
  <c r="I24" i="23"/>
  <c r="H24" i="23"/>
  <c r="G24" i="23"/>
  <c r="F24" i="23"/>
  <c r="E24" i="23"/>
  <c r="D24" i="23"/>
  <c r="S22" i="23"/>
  <c r="M22" i="23"/>
  <c r="I22" i="23"/>
  <c r="V20" i="23"/>
  <c r="U20" i="23"/>
  <c r="T20" i="23"/>
  <c r="S20" i="23"/>
  <c r="R20" i="23"/>
  <c r="Q20" i="23"/>
  <c r="P20" i="23"/>
  <c r="O20" i="23"/>
  <c r="N20" i="23"/>
  <c r="M20" i="23"/>
  <c r="L20" i="23"/>
  <c r="K20" i="23"/>
  <c r="J20" i="23"/>
  <c r="I20" i="23"/>
  <c r="H20" i="23"/>
  <c r="G20" i="23"/>
  <c r="F20" i="23"/>
  <c r="E20" i="23"/>
  <c r="D20" i="23"/>
  <c r="S18" i="23"/>
  <c r="Q18" i="23"/>
  <c r="O18" i="23"/>
  <c r="K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C35" i="22"/>
  <c r="U34" i="22"/>
  <c r="T34" i="22"/>
  <c r="S34" i="22"/>
  <c r="R34" i="22"/>
  <c r="Q34" i="22"/>
  <c r="P34" i="22"/>
  <c r="O34" i="22"/>
  <c r="N34" i="22"/>
  <c r="M34" i="22"/>
  <c r="L34" i="22"/>
  <c r="K34" i="22"/>
  <c r="J34" i="22"/>
  <c r="I34" i="22"/>
  <c r="H34" i="22"/>
  <c r="G34" i="22"/>
  <c r="F34" i="22"/>
  <c r="E34" i="22"/>
  <c r="F22" i="22" s="1"/>
  <c r="D34" i="22"/>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V24" i="22"/>
  <c r="U24" i="22"/>
  <c r="T24" i="22"/>
  <c r="S24" i="22"/>
  <c r="R24" i="22"/>
  <c r="Q24" i="22"/>
  <c r="P24" i="22"/>
  <c r="O24" i="22"/>
  <c r="N24" i="22"/>
  <c r="M24" i="22"/>
  <c r="L24" i="22"/>
  <c r="K24" i="22"/>
  <c r="J24" i="22"/>
  <c r="I24" i="22"/>
  <c r="H24" i="22"/>
  <c r="G24" i="22"/>
  <c r="F24" i="22"/>
  <c r="E24" i="22"/>
  <c r="D24" i="22"/>
  <c r="S22" i="22"/>
  <c r="O22" i="22"/>
  <c r="M22" i="22"/>
  <c r="G22" i="22"/>
  <c r="V20" i="22"/>
  <c r="U20" i="22"/>
  <c r="T20" i="22"/>
  <c r="S20" i="22"/>
  <c r="R20" i="22"/>
  <c r="Q20" i="22"/>
  <c r="P20" i="22"/>
  <c r="O20" i="22"/>
  <c r="N20" i="22"/>
  <c r="M20" i="22"/>
  <c r="L20" i="22"/>
  <c r="K20" i="22"/>
  <c r="J20" i="22"/>
  <c r="I20" i="22"/>
  <c r="H20" i="22"/>
  <c r="G20" i="22"/>
  <c r="F20" i="22"/>
  <c r="E20" i="22"/>
  <c r="D20" i="22"/>
  <c r="V18" i="22"/>
  <c r="U18" i="22"/>
  <c r="S18" i="22"/>
  <c r="R18" i="22"/>
  <c r="O18" i="22"/>
  <c r="M18" i="22"/>
  <c r="G18" i="22"/>
  <c r="F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V18" i="21"/>
  <c r="T6" i="19" l="1"/>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21" i="28"/>
  <c r="T59" i="28"/>
  <c r="U17" i="28"/>
  <c r="U21" i="28"/>
  <c r="U23" i="28" s="1"/>
  <c r="U24" i="28" s="1"/>
  <c r="I4" i="20"/>
  <c r="J4" i="19"/>
  <c r="J18" i="19" s="1"/>
  <c r="I59" i="21"/>
  <c r="J17" i="21"/>
  <c r="J19" i="21" s="1"/>
  <c r="J20" i="21" s="1"/>
  <c r="J21" i="21"/>
  <c r="C59" i="22"/>
  <c r="D21" i="22"/>
  <c r="D23" i="22" s="1"/>
  <c r="D17" i="22"/>
  <c r="O12" i="20"/>
  <c r="P12" i="19"/>
  <c r="P26" i="19" s="1"/>
  <c r="O21" i="23"/>
  <c r="O23" i="23" s="1"/>
  <c r="O17" i="23"/>
  <c r="Q9" i="20"/>
  <c r="R9" i="19"/>
  <c r="R23" i="19" s="1"/>
  <c r="F5" i="20"/>
  <c r="G5" i="19"/>
  <c r="G19" i="19" s="1"/>
  <c r="N5" i="20"/>
  <c r="O5" i="19"/>
  <c r="O19" i="19" s="1"/>
  <c r="Q4" i="20"/>
  <c r="R4" i="19"/>
  <c r="R18" i="19" s="1"/>
  <c r="Q59" i="21"/>
  <c r="R21" i="21"/>
  <c r="R17" i="21"/>
  <c r="K59" i="22"/>
  <c r="L21" i="22"/>
  <c r="L17" i="22"/>
  <c r="L19" i="22" s="1"/>
  <c r="G12" i="20"/>
  <c r="H12" i="19"/>
  <c r="H26" i="19" s="1"/>
  <c r="J4" i="20"/>
  <c r="K4" i="19"/>
  <c r="K18" i="19" s="1"/>
  <c r="U63" i="21"/>
  <c r="N63" i="21"/>
  <c r="F63" i="21"/>
  <c r="P59" i="21"/>
  <c r="P64" i="21" s="1"/>
  <c r="P65" i="21" s="1"/>
  <c r="Q21" i="21"/>
  <c r="Q23" i="21" s="1"/>
  <c r="Q24" i="21" s="1"/>
  <c r="Q17" i="21"/>
  <c r="I17" i="21"/>
  <c r="I21" i="21"/>
  <c r="D59" i="22"/>
  <c r="E21" i="22"/>
  <c r="E17" i="22"/>
  <c r="L59" i="22"/>
  <c r="M21" i="22"/>
  <c r="M23" i="22" s="1"/>
  <c r="M17" i="22"/>
  <c r="T59" i="22"/>
  <c r="U21" i="22"/>
  <c r="U17" i="22"/>
  <c r="U19" i="22" s="1"/>
  <c r="D59" i="27"/>
  <c r="E17" i="27"/>
  <c r="E19" i="27" s="1"/>
  <c r="E20" i="27" s="1"/>
  <c r="L59" i="27"/>
  <c r="M17" i="27"/>
  <c r="M19" i="27" s="1"/>
  <c r="M20" i="27" s="1"/>
  <c r="T59" i="27"/>
  <c r="U17" i="27"/>
  <c r="S59" i="22"/>
  <c r="T21" i="22"/>
  <c r="T17" i="22"/>
  <c r="G21" i="23"/>
  <c r="G23" i="23" s="1"/>
  <c r="G17" i="23"/>
  <c r="G19" i="23" s="1"/>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K59" i="23"/>
  <c r="L17" i="23"/>
  <c r="L21" i="23"/>
  <c r="M57" i="21"/>
  <c r="R59" i="21"/>
  <c r="S21" i="21"/>
  <c r="S23" i="21" s="1"/>
  <c r="S24" i="21" s="1"/>
  <c r="S17" i="21"/>
  <c r="J59" i="21"/>
  <c r="K21" i="21"/>
  <c r="K23" i="21" s="1"/>
  <c r="K24" i="21" s="1"/>
  <c r="K17" i="21"/>
  <c r="J59" i="22"/>
  <c r="K17" i="22"/>
  <c r="K21" i="22"/>
  <c r="R59" i="22"/>
  <c r="S17" i="22"/>
  <c r="S21" i="22"/>
  <c r="S23" i="22" s="1"/>
  <c r="D59" i="23"/>
  <c r="E17" i="23"/>
  <c r="E21" i="23"/>
  <c r="L59" i="23"/>
  <c r="M17" i="23"/>
  <c r="M21" i="23"/>
  <c r="T59" i="23"/>
  <c r="U17" i="23"/>
  <c r="U19" i="23" s="1"/>
  <c r="U21" i="23"/>
  <c r="U23"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S20" i="27" s="1"/>
  <c r="J59" i="28"/>
  <c r="K17" i="28"/>
  <c r="K21" i="28"/>
  <c r="R59" i="28"/>
  <c r="S17" i="28"/>
  <c r="S19" i="28" s="1"/>
  <c r="S20" i="28" s="1"/>
  <c r="S21" i="28"/>
  <c r="S23" i="28" s="1"/>
  <c r="S24" i="28" s="1"/>
  <c r="I59" i="29"/>
  <c r="J17" i="29"/>
  <c r="J21" i="29"/>
  <c r="Q59" i="29"/>
  <c r="R21" i="29"/>
  <c r="R23" i="29" s="1"/>
  <c r="R17" i="29"/>
  <c r="H59" i="30"/>
  <c r="H64"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17" i="23"/>
  <c r="N19" i="23" s="1"/>
  <c r="U59" i="23"/>
  <c r="V21" i="23"/>
  <c r="V23" i="23" s="1"/>
  <c r="V17" i="23"/>
  <c r="I17" i="24"/>
  <c r="I19" i="24" s="1"/>
  <c r="I20" i="24" s="1"/>
  <c r="I21" i="24"/>
  <c r="Q17" i="24"/>
  <c r="Q19" i="24" s="1"/>
  <c r="Q20"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T20" i="27" s="1"/>
  <c r="C59" i="28"/>
  <c r="D21" i="28"/>
  <c r="D23" i="28" s="1"/>
  <c r="D24" i="28" s="1"/>
  <c r="D17" i="28"/>
  <c r="K59" i="28"/>
  <c r="L21" i="28"/>
  <c r="L17" i="28"/>
  <c r="S59" i="28"/>
  <c r="T21" i="28"/>
  <c r="T17" i="28"/>
  <c r="T19" i="28" s="1"/>
  <c r="T20" i="28" s="1"/>
  <c r="J59" i="29"/>
  <c r="K17" i="29"/>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17" i="22"/>
  <c r="F19" i="22" s="1"/>
  <c r="M59" i="22"/>
  <c r="N21" i="22"/>
  <c r="N23" i="22" s="1"/>
  <c r="N17" i="22"/>
  <c r="U59" i="22"/>
  <c r="V17" i="22"/>
  <c r="V21" i="22"/>
  <c r="C18" i="22"/>
  <c r="H21" i="23"/>
  <c r="H23"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0" i="28" s="1"/>
  <c r="N21" i="28"/>
  <c r="U59" i="28"/>
  <c r="V17" i="28"/>
  <c r="V21" i="28"/>
  <c r="D59" i="29"/>
  <c r="E17" i="29"/>
  <c r="E21" i="29"/>
  <c r="E23"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17" i="21"/>
  <c r="G17" i="22"/>
  <c r="G21" i="22"/>
  <c r="O17" i="22"/>
  <c r="O19" i="22" s="1"/>
  <c r="O21" i="22"/>
  <c r="O23" i="22" s="1"/>
  <c r="H59" i="23"/>
  <c r="I21" i="23"/>
  <c r="I23" i="23" s="1"/>
  <c r="I17" i="23"/>
  <c r="P59" i="23"/>
  <c r="Q17" i="23"/>
  <c r="Q21" i="23"/>
  <c r="Q23" i="23" s="1"/>
  <c r="C59" i="24"/>
  <c r="D17" i="24"/>
  <c r="D19" i="24" s="1"/>
  <c r="D20" i="24" s="1"/>
  <c r="D21" i="24"/>
  <c r="K59" i="24"/>
  <c r="L21" i="24"/>
  <c r="L17" i="24"/>
  <c r="L19" i="24" s="1"/>
  <c r="L20" i="24" s="1"/>
  <c r="S59" i="24"/>
  <c r="T21" i="24"/>
  <c r="T17" i="24"/>
  <c r="T19" i="24" s="1"/>
  <c r="T20" i="24" s="1"/>
  <c r="H21" i="26"/>
  <c r="H23" i="26" s="1"/>
  <c r="H24" i="26" s="1"/>
  <c r="H17" i="26"/>
  <c r="P21" i="26"/>
  <c r="P23" i="26" s="1"/>
  <c r="P24" i="26" s="1"/>
  <c r="P17" i="26"/>
  <c r="F59" i="28"/>
  <c r="G17" i="28"/>
  <c r="G19" i="28" s="1"/>
  <c r="G20" i="28" s="1"/>
  <c r="G21" i="28"/>
  <c r="G23" i="28" s="1"/>
  <c r="G24" i="28" s="1"/>
  <c r="N59" i="28"/>
  <c r="O17" i="28"/>
  <c r="O19" i="28" s="1"/>
  <c r="O20" i="28" s="1"/>
  <c r="O21" i="28"/>
  <c r="E59" i="29"/>
  <c r="F17" i="29"/>
  <c r="F21" i="29"/>
  <c r="M59" i="29"/>
  <c r="N17" i="29"/>
  <c r="N21" i="29"/>
  <c r="N23" i="29" s="1"/>
  <c r="U59" i="29"/>
  <c r="V17" i="29"/>
  <c r="V21" i="29"/>
  <c r="V23" i="29" s="1"/>
  <c r="D59" i="30"/>
  <c r="E17" i="30"/>
  <c r="E21" i="30"/>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I59" i="23"/>
  <c r="J21" i="23"/>
  <c r="J17" i="23"/>
  <c r="J19" i="23" s="1"/>
  <c r="Q59" i="23"/>
  <c r="R21" i="23"/>
  <c r="R17" i="23"/>
  <c r="R19" i="23" s="1"/>
  <c r="D59" i="24"/>
  <c r="E17" i="24"/>
  <c r="E21" i="24"/>
  <c r="L59" i="24"/>
  <c r="M17" i="24"/>
  <c r="M19" i="24" s="1"/>
  <c r="M20" i="24" s="1"/>
  <c r="M21" i="24"/>
  <c r="M23" i="24" s="1"/>
  <c r="M24" i="24" s="1"/>
  <c r="T59" i="24"/>
  <c r="U21" i="24"/>
  <c r="U23" i="24" s="1"/>
  <c r="U24" i="24" s="1"/>
  <c r="U17" i="24"/>
  <c r="H59" i="26"/>
  <c r="I17" i="26"/>
  <c r="I21" i="26"/>
  <c r="I23" i="26" s="1"/>
  <c r="I24" i="26" s="1"/>
  <c r="P59" i="26"/>
  <c r="Q17" i="26"/>
  <c r="Q19" i="26" s="1"/>
  <c r="Q20" i="26" s="1"/>
  <c r="Q21" i="26"/>
  <c r="E63" i="26"/>
  <c r="H17" i="27"/>
  <c r="P17" i="27"/>
  <c r="P19" i="27" s="1"/>
  <c r="P20" i="27" s="1"/>
  <c r="H21" i="28"/>
  <c r="H23" i="28" s="1"/>
  <c r="H24" i="28" s="1"/>
  <c r="H17" i="28"/>
  <c r="P21" i="28"/>
  <c r="P23" i="28" s="1"/>
  <c r="P24" i="28" s="1"/>
  <c r="P17" i="28"/>
  <c r="P19" i="28" s="1"/>
  <c r="P20" i="28" s="1"/>
  <c r="G17" i="29"/>
  <c r="G21" i="29"/>
  <c r="G23" i="29" s="1"/>
  <c r="O17" i="29"/>
  <c r="O21" i="29"/>
  <c r="E59" i="30"/>
  <c r="F21" i="30"/>
  <c r="F17" i="30"/>
  <c r="F19" i="30" s="1"/>
  <c r="F20" i="30" s="1"/>
  <c r="M59" i="30"/>
  <c r="N21" i="30"/>
  <c r="N23" i="30" s="1"/>
  <c r="N24" i="30" s="1"/>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T65" i="21" s="1"/>
  <c r="U17" i="21"/>
  <c r="U19" i="21" s="1"/>
  <c r="U21" i="21"/>
  <c r="U23" i="21" s="1"/>
  <c r="U24" i="21" s="1"/>
  <c r="M17" i="21"/>
  <c r="M21" i="21"/>
  <c r="E17" i="21"/>
  <c r="E21" i="21"/>
  <c r="E23" i="21" s="1"/>
  <c r="E24" i="21" s="1"/>
  <c r="H59" i="22"/>
  <c r="I17" i="22"/>
  <c r="I19" i="22" s="1"/>
  <c r="I21" i="22"/>
  <c r="I23" i="22" s="1"/>
  <c r="P59" i="22"/>
  <c r="Q17" i="22"/>
  <c r="Q19" i="22" s="1"/>
  <c r="Q21" i="22"/>
  <c r="J59" i="23"/>
  <c r="K17" i="23"/>
  <c r="K21" i="23"/>
  <c r="K23"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R20" i="26" s="1"/>
  <c r="F63" i="26"/>
  <c r="I17" i="27"/>
  <c r="I19" i="27" s="1"/>
  <c r="I20" i="27" s="1"/>
  <c r="Q17" i="27"/>
  <c r="I21" i="28"/>
  <c r="I23" i="28" s="1"/>
  <c r="I24" i="28" s="1"/>
  <c r="I17" i="28"/>
  <c r="Q21" i="28"/>
  <c r="Q23" i="28" s="1"/>
  <c r="Q24" i="28" s="1"/>
  <c r="Q17" i="28"/>
  <c r="Q19" i="28" s="1"/>
  <c r="Q20" i="28" s="1"/>
  <c r="H21" i="29"/>
  <c r="H23" i="29" s="1"/>
  <c r="H17" i="29"/>
  <c r="P21" i="29"/>
  <c r="P23" i="29" s="1"/>
  <c r="P17" i="29"/>
  <c r="G21" i="30"/>
  <c r="G17" i="30"/>
  <c r="O21" i="30"/>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0" i="21" s="1"/>
  <c r="T21" i="21"/>
  <c r="T23" i="21" s="1"/>
  <c r="T24" i="21" s="1"/>
  <c r="C59" i="21"/>
  <c r="D17" i="21"/>
  <c r="D19" i="21" s="1"/>
  <c r="D20" i="21" s="1"/>
  <c r="D21" i="21"/>
  <c r="Q59" i="22"/>
  <c r="R17" i="22"/>
  <c r="R19" i="22" s="1"/>
  <c r="R21" i="22"/>
  <c r="R23" i="22" s="1"/>
  <c r="C59" i="23"/>
  <c r="D17" i="23"/>
  <c r="D19" i="23" s="1"/>
  <c r="D21" i="23"/>
  <c r="S59" i="23"/>
  <c r="T17" i="23"/>
  <c r="T21" i="23"/>
  <c r="G17" i="24"/>
  <c r="G19" i="24" s="1"/>
  <c r="G20" i="24" s="1"/>
  <c r="G21" i="24"/>
  <c r="G23" i="24" s="1"/>
  <c r="G24" i="24" s="1"/>
  <c r="O17" i="24"/>
  <c r="O21" i="24"/>
  <c r="O23" i="24" s="1"/>
  <c r="O24" i="24" s="1"/>
  <c r="J59" i="26"/>
  <c r="K17" i="26"/>
  <c r="K19" i="26" s="1"/>
  <c r="K20" i="26" s="1"/>
  <c r="K21" i="26"/>
  <c r="R59" i="26"/>
  <c r="S17" i="26"/>
  <c r="S19" i="26" s="1"/>
  <c r="S20" i="26" s="1"/>
  <c r="S21" i="26"/>
  <c r="S23" i="26" s="1"/>
  <c r="S24" i="26" s="1"/>
  <c r="M63" i="26"/>
  <c r="I59" i="27"/>
  <c r="J17" i="27"/>
  <c r="Q59" i="27"/>
  <c r="R17" i="27"/>
  <c r="I59" i="28"/>
  <c r="J17" i="28"/>
  <c r="J19" i="28" s="1"/>
  <c r="J20" i="28" s="1"/>
  <c r="J21" i="28"/>
  <c r="J23" i="28" s="1"/>
  <c r="J24" i="28" s="1"/>
  <c r="Q59" i="28"/>
  <c r="R21" i="28"/>
  <c r="R23" i="28" s="1"/>
  <c r="R24" i="28" s="1"/>
  <c r="R17" i="28"/>
  <c r="I21" i="29"/>
  <c r="I23" i="29" s="1"/>
  <c r="I17" i="29"/>
  <c r="I19" i="29" s="1"/>
  <c r="Q21" i="29"/>
  <c r="Q17" i="29"/>
  <c r="Q19" i="29" s="1"/>
  <c r="H17" i="30"/>
  <c r="H19" i="30" s="1"/>
  <c r="H20" i="30" s="1"/>
  <c r="H21" i="30"/>
  <c r="P17" i="30"/>
  <c r="P19" i="30" s="1"/>
  <c r="P20" i="30" s="1"/>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23" i="21" s="1"/>
  <c r="C24" i="21" s="1"/>
  <c r="C17" i="21"/>
  <c r="C19" i="21" s="1"/>
  <c r="C20" i="21" s="1"/>
  <c r="D23" i="21"/>
  <c r="D24" i="21" s="1"/>
  <c r="S58" i="21"/>
  <c r="S61" i="21" s="1"/>
  <c r="C58" i="21"/>
  <c r="C61" i="21" s="1"/>
  <c r="C64" i="21" s="1"/>
  <c r="G23" i="22"/>
  <c r="K58" i="21"/>
  <c r="K61" i="21" s="1"/>
  <c r="K64" i="21" s="1"/>
  <c r="K65" i="21" s="1"/>
  <c r="R19" i="24"/>
  <c r="R20" i="24" s="1"/>
  <c r="I21" i="27"/>
  <c r="I23" i="27" s="1"/>
  <c r="I24" i="27" s="1"/>
  <c r="Q21" i="27"/>
  <c r="R58" i="21"/>
  <c r="R61" i="21" s="1"/>
  <c r="R64" i="21" s="1"/>
  <c r="O57" i="21"/>
  <c r="A43" i="21"/>
  <c r="J58" i="21"/>
  <c r="J61" i="21" s="1"/>
  <c r="E19" i="21"/>
  <c r="E20" i="21" s="1"/>
  <c r="G23" i="26"/>
  <c r="G24" i="26" s="1"/>
  <c r="D58" i="29"/>
  <c r="D61" i="29" s="1"/>
  <c r="G21" i="27"/>
  <c r="G23" i="27" s="1"/>
  <c r="G24" i="27" s="1"/>
  <c r="O21" i="27"/>
  <c r="O23" i="27" s="1"/>
  <c r="O24" i="27" s="1"/>
  <c r="D58" i="30"/>
  <c r="D61" i="30" s="1"/>
  <c r="L58" i="30"/>
  <c r="L61" i="30" s="1"/>
  <c r="L64" i="30" s="1"/>
  <c r="R58" i="23"/>
  <c r="R61" i="23" s="1"/>
  <c r="H21" i="27"/>
  <c r="H23" i="27" s="1"/>
  <c r="H24" i="27" s="1"/>
  <c r="P21" i="27"/>
  <c r="J58" i="22"/>
  <c r="J61" i="22" s="1"/>
  <c r="J58" i="26"/>
  <c r="J61" i="26" s="1"/>
  <c r="J23" i="23"/>
  <c r="J58" i="27"/>
  <c r="J61" i="27" s="1"/>
  <c r="R58" i="27"/>
  <c r="R61" i="27" s="1"/>
  <c r="R64" i="27" s="1"/>
  <c r="R65" i="27" s="1"/>
  <c r="R58" i="28"/>
  <c r="R61" i="28" s="1"/>
  <c r="R64" i="28" s="1"/>
  <c r="R65" i="28" s="1"/>
  <c r="F58" i="22"/>
  <c r="F61" i="22" s="1"/>
  <c r="N58" i="22"/>
  <c r="N61" i="22" s="1"/>
  <c r="F58" i="23"/>
  <c r="F61" i="23" s="1"/>
  <c r="N58" i="23"/>
  <c r="N61" i="23" s="1"/>
  <c r="D19" i="27"/>
  <c r="D20" i="27" s="1"/>
  <c r="L21" i="27"/>
  <c r="L23" i="27" s="1"/>
  <c r="L24" i="27" s="1"/>
  <c r="T21" i="27"/>
  <c r="T23" i="27" s="1"/>
  <c r="T24" i="27" s="1"/>
  <c r="H57" i="29"/>
  <c r="P58" i="21"/>
  <c r="P61" i="21" s="1"/>
  <c r="H58" i="21"/>
  <c r="H61" i="21" s="1"/>
  <c r="N59" i="23"/>
  <c r="R58" i="26"/>
  <c r="R61" i="26" s="1"/>
  <c r="R57" i="21"/>
  <c r="H58" i="22"/>
  <c r="H61" i="22" s="1"/>
  <c r="H64" i="22" s="1"/>
  <c r="H65" i="22" s="1"/>
  <c r="P58" i="22"/>
  <c r="P61" i="22" s="1"/>
  <c r="P64" i="22" s="1"/>
  <c r="P65" i="22" s="1"/>
  <c r="F59" i="22"/>
  <c r="K58" i="29"/>
  <c r="K61" i="29" s="1"/>
  <c r="F19" i="23"/>
  <c r="I58" i="23"/>
  <c r="I61" i="23" s="1"/>
  <c r="I64" i="23" s="1"/>
  <c r="I65" i="23" s="1"/>
  <c r="Q58" i="23"/>
  <c r="Q61" i="23" s="1"/>
  <c r="L58" i="29"/>
  <c r="L61" i="29" s="1"/>
  <c r="T58" i="29"/>
  <c r="T61" i="29" s="1"/>
  <c r="T64" i="29" s="1"/>
  <c r="T65" i="29" s="1"/>
  <c r="I23" i="30"/>
  <c r="I24" i="30" s="1"/>
  <c r="Q23" i="30"/>
  <c r="Q24" i="30" s="1"/>
  <c r="E23" i="30"/>
  <c r="E24" i="30" s="1"/>
  <c r="U23" i="30"/>
  <c r="U24" i="30" s="1"/>
  <c r="J58" i="28"/>
  <c r="J61" i="28" s="1"/>
  <c r="J64" i="28" s="1"/>
  <c r="R58" i="22"/>
  <c r="R61" i="22" s="1"/>
  <c r="R64" i="22" s="1"/>
  <c r="R65" i="22" s="1"/>
  <c r="J58" i="23"/>
  <c r="J61" i="23" s="1"/>
  <c r="J64" i="23" s="1"/>
  <c r="J65" i="23" s="1"/>
  <c r="J58" i="24"/>
  <c r="J61" i="24" s="1"/>
  <c r="J64" i="24" s="1"/>
  <c r="J65" i="24" s="1"/>
  <c r="R58" i="24"/>
  <c r="R61" i="24" s="1"/>
  <c r="F57" i="24"/>
  <c r="T58" i="30"/>
  <c r="T61" i="30" s="1"/>
  <c r="T64" i="30" s="1"/>
  <c r="T65" i="30" s="1"/>
  <c r="C58" i="23"/>
  <c r="C61" i="23" s="1"/>
  <c r="C64" i="23" s="1"/>
  <c r="C65" i="23" s="1"/>
  <c r="K58" i="23"/>
  <c r="K61" i="23" s="1"/>
  <c r="S58" i="23"/>
  <c r="S61" i="23" s="1"/>
  <c r="F58" i="26"/>
  <c r="F61" i="26" s="1"/>
  <c r="D58" i="27"/>
  <c r="D61" i="27" s="1"/>
  <c r="D64" i="27" s="1"/>
  <c r="L58" i="27"/>
  <c r="L61" i="27" s="1"/>
  <c r="T58" i="27"/>
  <c r="T61" i="27" s="1"/>
  <c r="T64" i="27" s="1"/>
  <c r="T65" i="27" s="1"/>
  <c r="J58" i="30"/>
  <c r="J61" i="30" s="1"/>
  <c r="J64" i="30" s="1"/>
  <c r="J65" i="30" s="1"/>
  <c r="R58" i="30"/>
  <c r="R61" i="30" s="1"/>
  <c r="R64" i="30" s="1"/>
  <c r="P57" i="30"/>
  <c r="J57" i="21"/>
  <c r="H59" i="21"/>
  <c r="Q23" i="22"/>
  <c r="J19" i="27"/>
  <c r="J20" i="27" s="1"/>
  <c r="R21" i="27"/>
  <c r="R23" i="27" s="1"/>
  <c r="R24" i="27" s="1"/>
  <c r="E58" i="27"/>
  <c r="E61" i="27" s="1"/>
  <c r="E64" i="27" s="1"/>
  <c r="M58" i="27"/>
  <c r="M61" i="27" s="1"/>
  <c r="U58" i="27"/>
  <c r="U61" i="27" s="1"/>
  <c r="I58" i="29"/>
  <c r="I61" i="29" s="1"/>
  <c r="I64" i="29" s="1"/>
  <c r="I65" i="29" s="1"/>
  <c r="Q58" i="29"/>
  <c r="Q61" i="29" s="1"/>
  <c r="Q64" i="29" s="1"/>
  <c r="Q65"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R65" i="29" s="1"/>
  <c r="P57" i="29"/>
  <c r="L23" i="30"/>
  <c r="L24" i="30" s="1"/>
  <c r="T23" i="30"/>
  <c r="T24" i="30" s="1"/>
  <c r="G58" i="30"/>
  <c r="G61" i="30" s="1"/>
  <c r="O58" i="30"/>
  <c r="O61" i="30" s="1"/>
  <c r="Q57" i="30"/>
  <c r="A36" i="22"/>
  <c r="G58" i="27"/>
  <c r="G61" i="27" s="1"/>
  <c r="T58" i="28"/>
  <c r="T61" i="28" s="1"/>
  <c r="T64" i="28" s="1"/>
  <c r="T65" i="28" s="1"/>
  <c r="C58" i="29"/>
  <c r="C61" i="29" s="1"/>
  <c r="C64" i="29" s="1"/>
  <c r="C65" i="29" s="1"/>
  <c r="H58" i="30"/>
  <c r="H61" i="30" s="1"/>
  <c r="N59" i="30"/>
  <c r="K19" i="21"/>
  <c r="K20" i="21" s="1"/>
  <c r="Q57" i="21"/>
  <c r="B58" i="21"/>
  <c r="B61" i="21" s="1"/>
  <c r="I58" i="22"/>
  <c r="I61" i="22" s="1"/>
  <c r="I64" i="22" s="1"/>
  <c r="I65" i="22" s="1"/>
  <c r="Q58" i="22"/>
  <c r="Q61" i="22" s="1"/>
  <c r="D58" i="23"/>
  <c r="D61" i="23" s="1"/>
  <c r="L58" i="23"/>
  <c r="L61" i="23" s="1"/>
  <c r="L64" i="23" s="1"/>
  <c r="L65" i="23" s="1"/>
  <c r="T58" i="23"/>
  <c r="T61" i="23" s="1"/>
  <c r="T64" i="23" s="1"/>
  <c r="T65"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F64" i="26" s="1"/>
  <c r="O58" i="27"/>
  <c r="O61" i="27" s="1"/>
  <c r="A38" i="21"/>
  <c r="F57" i="22"/>
  <c r="N59" i="22"/>
  <c r="E58" i="23"/>
  <c r="E61" i="23" s="1"/>
  <c r="E64" i="23" s="1"/>
  <c r="E65" i="23" s="1"/>
  <c r="M58" i="23"/>
  <c r="M61" i="23" s="1"/>
  <c r="U58" i="23"/>
  <c r="U61" i="23" s="1"/>
  <c r="U64" i="23" s="1"/>
  <c r="U65" i="23" s="1"/>
  <c r="V19" i="23"/>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T65" i="24" s="1"/>
  <c r="H58" i="26"/>
  <c r="H61" i="26" s="1"/>
  <c r="H64" i="26" s="1"/>
  <c r="L58" i="28"/>
  <c r="L61" i="28" s="1"/>
  <c r="S58" i="29"/>
  <c r="S61" i="29" s="1"/>
  <c r="S64" i="29" s="1"/>
  <c r="S65" i="29" s="1"/>
  <c r="P19" i="21"/>
  <c r="P20" i="21" s="1"/>
  <c r="H23" i="22"/>
  <c r="P23" i="22"/>
  <c r="C58" i="22"/>
  <c r="C61" i="22" s="1"/>
  <c r="C64" i="22" s="1"/>
  <c r="C65" i="22" s="1"/>
  <c r="K58" i="22"/>
  <c r="K61" i="22" s="1"/>
  <c r="K64" i="22" s="1"/>
  <c r="K65" i="22" s="1"/>
  <c r="S58" i="22"/>
  <c r="S61" i="22" s="1"/>
  <c r="S64" i="22" s="1"/>
  <c r="S65" i="22" s="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58" i="28"/>
  <c r="D61" i="28" s="1"/>
  <c r="D64" i="28" s="1"/>
  <c r="P58" i="30"/>
  <c r="P61" i="30" s="1"/>
  <c r="Q58" i="21"/>
  <c r="Q61" i="21" s="1"/>
  <c r="Q64" i="21" s="1"/>
  <c r="Q65" i="21" s="1"/>
  <c r="I58" i="21"/>
  <c r="I61" i="21" s="1"/>
  <c r="D58" i="22"/>
  <c r="D61" i="22" s="1"/>
  <c r="L58" i="22"/>
  <c r="L61" i="22" s="1"/>
  <c r="T58" i="22"/>
  <c r="T61" i="22" s="1"/>
  <c r="T64" i="22" s="1"/>
  <c r="T65" i="22" s="1"/>
  <c r="A37" i="22"/>
  <c r="N57" i="22"/>
  <c r="G58" i="23"/>
  <c r="G61" i="23" s="1"/>
  <c r="O58" i="23"/>
  <c r="O61" i="23" s="1"/>
  <c r="N57" i="23"/>
  <c r="I23" i="24"/>
  <c r="I24" i="24" s="1"/>
  <c r="H58" i="24"/>
  <c r="H61" i="24" s="1"/>
  <c r="P58" i="24"/>
  <c r="P61" i="24" s="1"/>
  <c r="Q23" i="26"/>
  <c r="Q24" i="26" s="1"/>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L23" i="29"/>
  <c r="T23" i="29"/>
  <c r="G58" i="29"/>
  <c r="G61" i="29" s="1"/>
  <c r="O58" i="29"/>
  <c r="O61" i="29" s="1"/>
  <c r="P59" i="29"/>
  <c r="D64" i="30"/>
  <c r="I57" i="30"/>
  <c r="M19" i="21"/>
  <c r="M20" i="21" s="1"/>
  <c r="G57" i="21"/>
  <c r="J19" i="22"/>
  <c r="E58" i="22"/>
  <c r="E61" i="22" s="1"/>
  <c r="E64" i="22" s="1"/>
  <c r="E65" i="22" s="1"/>
  <c r="M58" i="22"/>
  <c r="M61" i="22" s="1"/>
  <c r="M64" i="22" s="1"/>
  <c r="M65" i="22" s="1"/>
  <c r="U58" i="22"/>
  <c r="U61" i="22" s="1"/>
  <c r="A45" i="22"/>
  <c r="O57" i="22"/>
  <c r="H58" i="23"/>
  <c r="H61" i="23" s="1"/>
  <c r="H64" i="23" s="1"/>
  <c r="H65" i="23" s="1"/>
  <c r="P58" i="23"/>
  <c r="P61" i="23" s="1"/>
  <c r="P64" i="23" s="1"/>
  <c r="P65" i="23" s="1"/>
  <c r="I58" i="24"/>
  <c r="I61" i="24" s="1"/>
  <c r="Q58" i="24"/>
  <c r="Q61" i="24" s="1"/>
  <c r="Q64" i="24" s="1"/>
  <c r="E58" i="26"/>
  <c r="E61" i="26" s="1"/>
  <c r="M58" i="26"/>
  <c r="M61" i="26" s="1"/>
  <c r="M64" i="26" s="1"/>
  <c r="U58" i="26"/>
  <c r="U61" i="26" s="1"/>
  <c r="U64" i="26" s="1"/>
  <c r="N57" i="26"/>
  <c r="P59" i="27"/>
  <c r="I58" i="28"/>
  <c r="I61" i="28" s="1"/>
  <c r="I64" i="28" s="1"/>
  <c r="I65" i="28" s="1"/>
  <c r="Q58" i="28"/>
  <c r="Q61" i="28" s="1"/>
  <c r="Q64" i="28" s="1"/>
  <c r="H58" i="29"/>
  <c r="H61" i="29" s="1"/>
  <c r="P58" i="29"/>
  <c r="P61" i="29" s="1"/>
  <c r="E58" i="30"/>
  <c r="E61" i="30" s="1"/>
  <c r="E64" i="30" s="1"/>
  <c r="M58" i="30"/>
  <c r="M61" i="30" s="1"/>
  <c r="U58" i="30"/>
  <c r="U61" i="30" s="1"/>
  <c r="U64" i="30" s="1"/>
  <c r="N57" i="30"/>
  <c r="F59" i="30"/>
  <c r="B58" i="30"/>
  <c r="B61" i="30" s="1"/>
  <c r="B58" i="24"/>
  <c r="B61"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O23" i="30"/>
  <c r="O24" i="30" s="1"/>
  <c r="H23" i="30"/>
  <c r="H24" i="30" s="1"/>
  <c r="G23" i="30"/>
  <c r="G24" i="30" s="1"/>
  <c r="R19" i="30"/>
  <c r="R20" i="30" s="1"/>
  <c r="F63" i="30"/>
  <c r="N63" i="30"/>
  <c r="S19" i="30"/>
  <c r="S20" i="30" s="1"/>
  <c r="S23" i="30"/>
  <c r="S24" i="30" s="1"/>
  <c r="A31" i="30"/>
  <c r="A33" i="30"/>
  <c r="A39" i="30"/>
  <c r="A41" i="30"/>
  <c r="A47" i="30"/>
  <c r="A49" i="30"/>
  <c r="G57" i="30"/>
  <c r="O57" i="30"/>
  <c r="G59" i="30"/>
  <c r="G64" i="30" s="1"/>
  <c r="O59" i="30"/>
  <c r="G63" i="30"/>
  <c r="O63" i="30"/>
  <c r="P63" i="30"/>
  <c r="I63" i="30"/>
  <c r="Q63" i="30"/>
  <c r="T19" i="30"/>
  <c r="T20" i="30" s="1"/>
  <c r="E19" i="30"/>
  <c r="E20" i="30" s="1"/>
  <c r="V19" i="30"/>
  <c r="F23" i="30"/>
  <c r="F24" i="30" s="1"/>
  <c r="B63" i="30"/>
  <c r="J63" i="30"/>
  <c r="R63" i="30"/>
  <c r="G19" i="30"/>
  <c r="G20" i="30" s="1"/>
  <c r="A32" i="30"/>
  <c r="A34" i="30"/>
  <c r="A40" i="30"/>
  <c r="A42" i="30"/>
  <c r="A48" i="30"/>
  <c r="A50" i="30"/>
  <c r="C63" i="30"/>
  <c r="K63" i="30"/>
  <c r="S63" i="30"/>
  <c r="D63" i="30"/>
  <c r="L63" i="30"/>
  <c r="T63" i="30"/>
  <c r="H63" i="30"/>
  <c r="Q19" i="30"/>
  <c r="Q20" i="30" s="1"/>
  <c r="E63" i="30"/>
  <c r="M63" i="30"/>
  <c r="Q23" i="29"/>
  <c r="O23" i="29"/>
  <c r="T19" i="29"/>
  <c r="P63" i="29"/>
  <c r="J19" i="29"/>
  <c r="R19" i="29"/>
  <c r="J23" i="29"/>
  <c r="F57" i="29"/>
  <c r="N57" i="29"/>
  <c r="F59" i="29"/>
  <c r="N59" i="29"/>
  <c r="F63" i="29"/>
  <c r="N63" i="29"/>
  <c r="H63" i="29"/>
  <c r="K19" i="29"/>
  <c r="S19" i="29"/>
  <c r="K23" i="29"/>
  <c r="S23" i="29"/>
  <c r="A31" i="29"/>
  <c r="A33" i="29"/>
  <c r="A39" i="29"/>
  <c r="A41" i="29"/>
  <c r="A47" i="29"/>
  <c r="A49" i="29"/>
  <c r="G57" i="29"/>
  <c r="O57" i="29"/>
  <c r="G59" i="29"/>
  <c r="O59" i="29"/>
  <c r="G63" i="29"/>
  <c r="O63" i="29"/>
  <c r="E19" i="29"/>
  <c r="M19" i="29"/>
  <c r="U19" i="29"/>
  <c r="M23" i="29"/>
  <c r="U23" i="29"/>
  <c r="I57" i="29"/>
  <c r="Q57" i="29"/>
  <c r="I63" i="29"/>
  <c r="Q63" i="29"/>
  <c r="F19" i="29"/>
  <c r="N19" i="29"/>
  <c r="V19" i="29"/>
  <c r="F23" i="29"/>
  <c r="B63" i="29"/>
  <c r="J63" i="29"/>
  <c r="R63" i="29"/>
  <c r="L19" i="29"/>
  <c r="G19" i="29"/>
  <c r="O19" i="29"/>
  <c r="A32" i="29"/>
  <c r="A34" i="29"/>
  <c r="A40" i="29"/>
  <c r="A42" i="29"/>
  <c r="A48" i="29"/>
  <c r="A50" i="29"/>
  <c r="C63" i="29"/>
  <c r="K63" i="29"/>
  <c r="S63" i="29"/>
  <c r="H19" i="29"/>
  <c r="P19" i="29"/>
  <c r="D63" i="29"/>
  <c r="L63" i="29"/>
  <c r="T63" i="29"/>
  <c r="E63" i="29"/>
  <c r="M63" i="29"/>
  <c r="K19" i="28"/>
  <c r="K20" i="28" s="1"/>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M19" i="28"/>
  <c r="M20" i="28" s="1"/>
  <c r="U19" i="28"/>
  <c r="M23" i="28"/>
  <c r="M24" i="28" s="1"/>
  <c r="I57" i="28"/>
  <c r="Q57" i="28"/>
  <c r="I63" i="28"/>
  <c r="Q63" i="28"/>
  <c r="R19" i="28"/>
  <c r="R20" i="28" s="1"/>
  <c r="F19" i="28"/>
  <c r="F20" i="28" s="1"/>
  <c r="V19" i="28"/>
  <c r="F23" i="28"/>
  <c r="F24" i="28" s="1"/>
  <c r="N23" i="28"/>
  <c r="N24" i="28" s="1"/>
  <c r="V23" i="28"/>
  <c r="V24" i="28" s="1"/>
  <c r="B63" i="28"/>
  <c r="J63" i="28"/>
  <c r="R63" i="28"/>
  <c r="A32" i="28"/>
  <c r="A34" i="28"/>
  <c r="A40" i="28"/>
  <c r="A42" i="28"/>
  <c r="A48" i="28"/>
  <c r="A50" i="28"/>
  <c r="C63" i="28"/>
  <c r="K63" i="28"/>
  <c r="S63" i="28"/>
  <c r="H19" i="28"/>
  <c r="H20" i="28" s="1"/>
  <c r="D63" i="28"/>
  <c r="L63" i="28"/>
  <c r="T63" i="28"/>
  <c r="I19" i="28"/>
  <c r="I20" i="28" s="1"/>
  <c r="E63" i="28"/>
  <c r="M63" i="28"/>
  <c r="Q23" i="27"/>
  <c r="Q24" i="27" s="1"/>
  <c r="R19" i="27"/>
  <c r="R20" i="27" s="1"/>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Q20" i="27" s="1"/>
  <c r="E63" i="27"/>
  <c r="M63" i="27"/>
  <c r="O23" i="26"/>
  <c r="O24" i="26" s="1"/>
  <c r="J23" i="26"/>
  <c r="J24" i="26" s="1"/>
  <c r="K23" i="26"/>
  <c r="K24" i="26" s="1"/>
  <c r="A31" i="26"/>
  <c r="A33" i="26"/>
  <c r="A37" i="26"/>
  <c r="A39" i="26"/>
  <c r="A41" i="26"/>
  <c r="A45" i="26"/>
  <c r="A47" i="26"/>
  <c r="A49" i="26"/>
  <c r="G57" i="26"/>
  <c r="O57" i="26"/>
  <c r="G59" i="26"/>
  <c r="O59" i="26"/>
  <c r="G63" i="26"/>
  <c r="O63" i="26"/>
  <c r="L19" i="26"/>
  <c r="L20" i="26" s="1"/>
  <c r="T19" i="26"/>
  <c r="T20" i="26" s="1"/>
  <c r="L23" i="26"/>
  <c r="L24" i="26" s="1"/>
  <c r="T23" i="26"/>
  <c r="T24" i="26" s="1"/>
  <c r="H63" i="26"/>
  <c r="P63" i="26"/>
  <c r="M19" i="26"/>
  <c r="M20" i="26" s="1"/>
  <c r="E23" i="26"/>
  <c r="E24" i="26" s="1"/>
  <c r="M23" i="26"/>
  <c r="M24" i="26" s="1"/>
  <c r="I57" i="26"/>
  <c r="Q57" i="26"/>
  <c r="I59" i="26"/>
  <c r="I64" i="26" s="1"/>
  <c r="I65" i="26" s="1"/>
  <c r="Q59" i="26"/>
  <c r="Q64" i="26" s="1"/>
  <c r="I63" i="26"/>
  <c r="Q63" i="26"/>
  <c r="N19" i="26"/>
  <c r="N20" i="26" s="1"/>
  <c r="N23" i="26"/>
  <c r="N24" i="26" s="1"/>
  <c r="V23" i="26"/>
  <c r="V24" i="26" s="1"/>
  <c r="B63" i="26"/>
  <c r="J63" i="26"/>
  <c r="R63" i="26"/>
  <c r="G19" i="26"/>
  <c r="G20" i="26" s="1"/>
  <c r="O19" i="26"/>
  <c r="O20" i="26" s="1"/>
  <c r="A32" i="26"/>
  <c r="A34" i="26"/>
  <c r="A40" i="26"/>
  <c r="A42" i="26"/>
  <c r="A48" i="26"/>
  <c r="A50" i="26"/>
  <c r="C63" i="26"/>
  <c r="K63" i="26"/>
  <c r="S63" i="26"/>
  <c r="H19" i="26"/>
  <c r="H20" i="26" s="1"/>
  <c r="P19" i="26"/>
  <c r="P20" i="26" s="1"/>
  <c r="D63" i="26"/>
  <c r="L63" i="26"/>
  <c r="I19" i="26"/>
  <c r="I20" i="26" s="1"/>
  <c r="H23" i="24"/>
  <c r="H24" i="24" s="1"/>
  <c r="P23" i="24"/>
  <c r="P24" i="24" s="1"/>
  <c r="K19" i="24"/>
  <c r="K20" i="24" s="1"/>
  <c r="S19" i="24"/>
  <c r="S20" i="24" s="1"/>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P20" i="24" s="1"/>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R23" i="23"/>
  <c r="K19" i="23"/>
  <c r="S23" i="23"/>
  <c r="A31" i="23"/>
  <c r="A33" i="23"/>
  <c r="A37" i="23"/>
  <c r="A39" i="23"/>
  <c r="A41" i="23"/>
  <c r="A45" i="23"/>
  <c r="A47" i="23"/>
  <c r="A49" i="23"/>
  <c r="G57" i="23"/>
  <c r="O57" i="23"/>
  <c r="G59" i="23"/>
  <c r="O59" i="23"/>
  <c r="L19" i="23"/>
  <c r="T19" i="23"/>
  <c r="D23" i="23"/>
  <c r="L23" i="23"/>
  <c r="T23" i="23"/>
  <c r="E19" i="23"/>
  <c r="M19" i="23"/>
  <c r="E23" i="23"/>
  <c r="M23" i="23"/>
  <c r="I57" i="23"/>
  <c r="Q57" i="23"/>
  <c r="F23" i="23"/>
  <c r="N23" i="23"/>
  <c r="O19" i="23"/>
  <c r="A32" i="23"/>
  <c r="A34" i="23"/>
  <c r="A40" i="23"/>
  <c r="A42" i="23"/>
  <c r="A48" i="23"/>
  <c r="A50" i="23"/>
  <c r="H19" i="23"/>
  <c r="I19" i="23"/>
  <c r="Q19" i="23"/>
  <c r="U63" i="22"/>
  <c r="M63" i="22"/>
  <c r="E63" i="22"/>
  <c r="F63" i="22"/>
  <c r="T63" i="22"/>
  <c r="L63" i="22"/>
  <c r="D63" i="22"/>
  <c r="S63" i="22"/>
  <c r="K63" i="22"/>
  <c r="C63" i="22"/>
  <c r="N63" i="22"/>
  <c r="R63" i="22"/>
  <c r="J63" i="22"/>
  <c r="B63" i="22"/>
  <c r="Q63" i="22"/>
  <c r="I63" i="22"/>
  <c r="P63" i="22"/>
  <c r="H63" i="22"/>
  <c r="O63" i="22"/>
  <c r="G63" i="22"/>
  <c r="S19" i="22"/>
  <c r="D19" i="22"/>
  <c r="T19" i="22"/>
  <c r="L23" i="22"/>
  <c r="T23" i="22"/>
  <c r="K23" i="22"/>
  <c r="A31" i="22"/>
  <c r="A33" i="22"/>
  <c r="A41" i="22"/>
  <c r="A47" i="22"/>
  <c r="E19" i="22"/>
  <c r="M19" i="22"/>
  <c r="E23" i="22"/>
  <c r="U23" i="22"/>
  <c r="I57" i="22"/>
  <c r="Q57" i="22"/>
  <c r="K19" i="22"/>
  <c r="A39" i="22"/>
  <c r="A49" i="22"/>
  <c r="N19" i="22"/>
  <c r="V19" i="22"/>
  <c r="V23" i="22"/>
  <c r="G19" i="22"/>
  <c r="A32" i="22"/>
  <c r="A34" i="22"/>
  <c r="A40" i="22"/>
  <c r="A42" i="22"/>
  <c r="A48" i="22"/>
  <c r="A50" i="22"/>
  <c r="P19" i="22"/>
  <c r="H23" i="21"/>
  <c r="H24" i="21" s="1"/>
  <c r="L23" i="21"/>
  <c r="L24" i="21" s="1"/>
  <c r="F23" i="21"/>
  <c r="F24" i="21" s="1"/>
  <c r="N23" i="21"/>
  <c r="N24" i="21" s="1"/>
  <c r="A33" i="21"/>
  <c r="A37" i="21"/>
  <c r="A41" i="21"/>
  <c r="A45" i="21"/>
  <c r="A49" i="21"/>
  <c r="E58" i="21"/>
  <c r="E61" i="21" s="1"/>
  <c r="M58" i="21"/>
  <c r="M61" i="21" s="1"/>
  <c r="U58" i="21"/>
  <c r="U61" i="21" s="1"/>
  <c r="U64" i="21" s="1"/>
  <c r="S19" i="21"/>
  <c r="S20" i="21" s="1"/>
  <c r="I23" i="21"/>
  <c r="I24" i="21" s="1"/>
  <c r="G23" i="21"/>
  <c r="G24" i="21" s="1"/>
  <c r="M23" i="21"/>
  <c r="M24" i="21" s="1"/>
  <c r="C57" i="21"/>
  <c r="K57" i="21"/>
  <c r="S57" i="21"/>
  <c r="G19" i="21"/>
  <c r="G20" i="21" s="1"/>
  <c r="Q19" i="21"/>
  <c r="Q20" i="21" s="1"/>
  <c r="J23" i="21"/>
  <c r="J24" i="21" s="1"/>
  <c r="R23" i="21"/>
  <c r="R24" i="21" s="1"/>
  <c r="I19" i="21"/>
  <c r="I20" i="21" s="1"/>
  <c r="L19" i="21"/>
  <c r="L20" i="21" s="1"/>
  <c r="R19" i="21"/>
  <c r="R20" i="21" s="1"/>
  <c r="A31" i="21"/>
  <c r="D64" i="21"/>
  <c r="D65" i="21" s="1"/>
  <c r="L64" i="21"/>
  <c r="L65" i="21" s="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Q65" i="24" l="1"/>
  <c r="D65" i="24"/>
  <c r="L65" i="24"/>
  <c r="C65" i="26"/>
  <c r="H65" i="26"/>
  <c r="Q65" i="26"/>
  <c r="L65" i="26"/>
  <c r="S65" i="26"/>
  <c r="G65" i="30"/>
  <c r="K65" i="30"/>
  <c r="R65" i="30"/>
  <c r="D65" i="30"/>
  <c r="Q65" i="30"/>
  <c r="C65" i="30"/>
  <c r="E65" i="30"/>
  <c r="I65" i="30"/>
  <c r="L65" i="30"/>
  <c r="H65" i="30"/>
  <c r="D65" i="28"/>
  <c r="K65" i="28"/>
  <c r="Q65" i="28"/>
  <c r="J65" i="28"/>
  <c r="D65" i="27"/>
  <c r="S65" i="27"/>
  <c r="K65" i="27"/>
  <c r="C65" i="27"/>
  <c r="Q65" i="27"/>
  <c r="E65" i="27"/>
  <c r="I65" i="27"/>
  <c r="R65" i="21"/>
  <c r="C65" i="21"/>
  <c r="J64" i="27"/>
  <c r="J65" i="27" s="1"/>
  <c r="N64" i="22"/>
  <c r="N65" i="22" s="1"/>
  <c r="L64" i="28"/>
  <c r="L65" i="28" s="1"/>
  <c r="B64" i="30"/>
  <c r="B65" i="30" s="1"/>
  <c r="B64" i="24"/>
  <c r="B65" i="24" s="1"/>
  <c r="N66" i="21"/>
  <c r="N65" i="21"/>
  <c r="F66" i="26"/>
  <c r="F65" i="26"/>
  <c r="U66" i="30"/>
  <c r="U65" i="30"/>
  <c r="U66" i="21"/>
  <c r="U65" i="21"/>
  <c r="U66" i="26"/>
  <c r="U65" i="26"/>
  <c r="M66" i="26"/>
  <c r="M65" i="26"/>
  <c r="O64" i="21"/>
  <c r="O65" i="21" s="1"/>
  <c r="L64" i="22"/>
  <c r="L65" i="22" s="1"/>
  <c r="D64" i="22"/>
  <c r="D65" i="22" s="1"/>
  <c r="Q64" i="22"/>
  <c r="Q65" i="22" s="1"/>
  <c r="U64" i="22"/>
  <c r="S64" i="23"/>
  <c r="S65" i="23" s="1"/>
  <c r="M64" i="23"/>
  <c r="R64" i="23"/>
  <c r="M64" i="29"/>
  <c r="M65" i="29" s="1"/>
  <c r="D64" i="29"/>
  <c r="D65" i="29" s="1"/>
  <c r="O64" i="24"/>
  <c r="I64" i="24"/>
  <c r="I65" i="24" s="1"/>
  <c r="M64" i="24"/>
  <c r="M65" i="24" s="1"/>
  <c r="S64" i="24"/>
  <c r="S65" i="24" s="1"/>
  <c r="T64" i="26"/>
  <c r="E64" i="26"/>
  <c r="M64" i="28"/>
  <c r="M65" i="28" s="1"/>
  <c r="S64" i="28"/>
  <c r="S65" i="28" s="1"/>
  <c r="P64" i="27"/>
  <c r="P65" i="27" s="1"/>
  <c r="G64" i="21"/>
  <c r="S64" i="21"/>
  <c r="E64" i="21"/>
  <c r="F64" i="21"/>
  <c r="N64" i="28"/>
  <c r="J64" i="21"/>
  <c r="F64" i="24"/>
  <c r="F64" i="28"/>
  <c r="D64" i="26"/>
  <c r="D65" i="26" s="1"/>
  <c r="H64" i="29"/>
  <c r="S64" i="30"/>
  <c r="Q64" i="23"/>
  <c r="F64" i="30"/>
  <c r="K64" i="23"/>
  <c r="R64" i="26"/>
  <c r="R65" i="26" s="1"/>
  <c r="E64" i="24"/>
  <c r="J64" i="22"/>
  <c r="H64" i="21"/>
  <c r="H65" i="21" s="1"/>
  <c r="H64" i="28"/>
  <c r="G64" i="28"/>
  <c r="P64" i="26"/>
  <c r="P65" i="26" s="1"/>
  <c r="E64" i="28"/>
  <c r="N64" i="23"/>
  <c r="N65" i="23" s="1"/>
  <c r="J64" i="26"/>
  <c r="J65" i="26" s="1"/>
  <c r="B64" i="23"/>
  <c r="M64" i="27"/>
  <c r="H64" i="27"/>
  <c r="G64" i="22"/>
  <c r="L64" i="29"/>
  <c r="L65" i="29" s="1"/>
  <c r="G64" i="24"/>
  <c r="H64" i="24"/>
  <c r="D64" i="23"/>
  <c r="D65" i="23" s="1"/>
  <c r="K64" i="24"/>
  <c r="K65" i="24" s="1"/>
  <c r="P64" i="24"/>
  <c r="P65" i="24" s="1"/>
  <c r="U64" i="29"/>
  <c r="M64" i="30"/>
  <c r="K64" i="26"/>
  <c r="C64" i="28"/>
  <c r="C64" i="24"/>
  <c r="L64" i="27"/>
  <c r="R64" i="24"/>
  <c r="K64" i="29"/>
  <c r="J64" i="29"/>
  <c r="E64" i="29"/>
  <c r="M64" i="21"/>
  <c r="M65" i="21" s="1"/>
  <c r="P64" i="28"/>
  <c r="I64" i="21"/>
  <c r="U64" i="28"/>
  <c r="U64" i="24"/>
  <c r="F64" i="23"/>
  <c r="U64" i="27"/>
  <c r="C19" i="22"/>
  <c r="C20" i="22" s="1"/>
  <c r="S66" i="27"/>
  <c r="D66" i="30"/>
  <c r="Q66" i="30"/>
  <c r="B64" i="22"/>
  <c r="B64" i="29"/>
  <c r="B64" i="28"/>
  <c r="B64" i="27"/>
  <c r="B64" i="26"/>
  <c r="B64" i="21"/>
  <c r="T66" i="29"/>
  <c r="P66" i="22"/>
  <c r="O64" i="27"/>
  <c r="O64" i="28"/>
  <c r="N64" i="27"/>
  <c r="N64" i="30"/>
  <c r="L66" i="30"/>
  <c r="J66" i="28"/>
  <c r="G64" i="26"/>
  <c r="G64" i="29"/>
  <c r="F64" i="22"/>
  <c r="O64" i="26"/>
  <c r="R66" i="22"/>
  <c r="T66" i="24"/>
  <c r="U66" i="23"/>
  <c r="P64" i="30"/>
  <c r="C66" i="23"/>
  <c r="P66" i="23"/>
  <c r="E66" i="22"/>
  <c r="T66" i="23"/>
  <c r="Q66" i="21"/>
  <c r="P66" i="21"/>
  <c r="K66" i="27"/>
  <c r="G64" i="23"/>
  <c r="Q66" i="24"/>
  <c r="R66" i="27"/>
  <c r="C66" i="27"/>
  <c r="H66" i="23"/>
  <c r="G64" i="27"/>
  <c r="G66" i="30"/>
  <c r="J66" i="30"/>
  <c r="F64" i="27"/>
  <c r="T66" i="27"/>
  <c r="Q66" i="22"/>
  <c r="J66" i="26"/>
  <c r="C66" i="22"/>
  <c r="T66" i="21"/>
  <c r="S66" i="23"/>
  <c r="H66" i="30"/>
  <c r="E66" i="30"/>
  <c r="L66" i="21"/>
  <c r="D66" i="22"/>
  <c r="S66" i="26"/>
  <c r="L66" i="26"/>
  <c r="T66" i="30"/>
  <c r="C66" i="29"/>
  <c r="H66" i="22"/>
  <c r="R66" i="28"/>
  <c r="N64" i="26"/>
  <c r="O64" i="29"/>
  <c r="P64" i="29"/>
  <c r="S64" i="1"/>
  <c r="D66" i="27"/>
  <c r="N64" i="29"/>
  <c r="R66" i="30"/>
  <c r="D66" i="23"/>
  <c r="L66" i="23"/>
  <c r="O66" i="22"/>
  <c r="R64" i="1"/>
  <c r="J66" i="23"/>
  <c r="Q64" i="1"/>
  <c r="U64" i="1"/>
  <c r="U65" i="1" s="1"/>
  <c r="P64" i="1"/>
  <c r="P65" i="1" s="1"/>
  <c r="E66" i="27"/>
  <c r="J66" i="24"/>
  <c r="Q66" i="29"/>
  <c r="F64" i="29"/>
  <c r="O64" i="23"/>
  <c r="O64" i="30"/>
  <c r="N64" i="24"/>
  <c r="B66" i="24"/>
  <c r="K66" i="30"/>
  <c r="C66" i="30"/>
  <c r="I66" i="30"/>
  <c r="R66" i="29"/>
  <c r="I66" i="29"/>
  <c r="S66" i="29"/>
  <c r="T66" i="28"/>
  <c r="D66" i="28"/>
  <c r="Q66" i="28"/>
  <c r="I66" i="28"/>
  <c r="S66" i="28"/>
  <c r="K66" i="28"/>
  <c r="Q66" i="27"/>
  <c r="I66" i="27"/>
  <c r="P66" i="27"/>
  <c r="Q66" i="26"/>
  <c r="C66" i="26"/>
  <c r="I66" i="26"/>
  <c r="H66" i="26"/>
  <c r="D66" i="26"/>
  <c r="L66" i="24"/>
  <c r="I66" i="24"/>
  <c r="D66" i="24"/>
  <c r="I66" i="23"/>
  <c r="E66" i="23"/>
  <c r="I66" i="22"/>
  <c r="M66" i="22"/>
  <c r="S66" i="22"/>
  <c r="K66" i="22"/>
  <c r="T66" i="22"/>
  <c r="H66" i="21"/>
  <c r="K66" i="21"/>
  <c r="C66" i="21"/>
  <c r="D66" i="21"/>
  <c r="R66" i="21"/>
  <c r="N64" i="1"/>
  <c r="N65" i="1" s="1"/>
  <c r="M64" i="1"/>
  <c r="T64" i="1"/>
  <c r="T65" i="1" s="1"/>
  <c r="L64" i="1"/>
  <c r="L65" i="1" s="1"/>
  <c r="J64" i="1"/>
  <c r="J65" i="1" s="1"/>
  <c r="K64" i="1"/>
  <c r="O64" i="1"/>
  <c r="C64" i="1"/>
  <c r="I64" i="1"/>
  <c r="I65" i="1" s="1"/>
  <c r="H64" i="1"/>
  <c r="G64" i="1"/>
  <c r="G65" i="1" s="1"/>
  <c r="F64" i="1"/>
  <c r="F65" i="1" s="1"/>
  <c r="E64" i="1"/>
  <c r="E65" i="1" s="1"/>
  <c r="D64" i="1"/>
  <c r="B64" i="1"/>
  <c r="B65" i="1" s="1"/>
  <c r="D63" i="1"/>
  <c r="L63" i="1"/>
  <c r="F63" i="1"/>
  <c r="R63" i="1"/>
  <c r="J63" i="1"/>
  <c r="Q63" i="1"/>
  <c r="I63" i="1"/>
  <c r="C63" i="1"/>
  <c r="K63" i="1"/>
  <c r="P63" i="1"/>
  <c r="H63" i="1"/>
  <c r="T63" i="1"/>
  <c r="T66" i="1" s="1"/>
  <c r="S63" i="1"/>
  <c r="O63" i="1"/>
  <c r="G63" i="1"/>
  <c r="N63" i="1"/>
  <c r="E63" i="1"/>
  <c r="B63" i="1"/>
  <c r="U63" i="1"/>
  <c r="M63" i="1"/>
  <c r="Q65" i="1" l="1"/>
  <c r="H65" i="1"/>
  <c r="M65" i="1"/>
  <c r="S65" i="1"/>
  <c r="R65" i="1"/>
  <c r="C65" i="1"/>
  <c r="O65" i="1"/>
  <c r="D65" i="1"/>
  <c r="K65" i="1"/>
  <c r="R66" i="26"/>
  <c r="O66" i="21"/>
  <c r="N66" i="22"/>
  <c r="N66" i="23"/>
  <c r="M66" i="29"/>
  <c r="M66" i="21"/>
  <c r="M66" i="24"/>
  <c r="M66" i="28"/>
  <c r="L66" i="28"/>
  <c r="J66" i="27"/>
  <c r="B66" i="30"/>
  <c r="D66" i="29"/>
  <c r="K66" i="24"/>
  <c r="P66" i="26"/>
  <c r="O66" i="30"/>
  <c r="O65" i="30"/>
  <c r="G66" i="23"/>
  <c r="G65" i="23"/>
  <c r="P66" i="30"/>
  <c r="P65" i="30"/>
  <c r="U66" i="28"/>
  <c r="U65" i="28"/>
  <c r="L66" i="27"/>
  <c r="L65" i="27"/>
  <c r="J66" i="22"/>
  <c r="J65" i="22"/>
  <c r="G66" i="21"/>
  <c r="G65" i="21"/>
  <c r="P66" i="24"/>
  <c r="P66" i="29"/>
  <c r="P65" i="29"/>
  <c r="G66" i="26"/>
  <c r="G65" i="26"/>
  <c r="I66" i="21"/>
  <c r="I65" i="21"/>
  <c r="C66" i="24"/>
  <c r="C65" i="24"/>
  <c r="E66" i="24"/>
  <c r="E65" i="24"/>
  <c r="F66" i="28"/>
  <c r="F65" i="28"/>
  <c r="O66" i="24"/>
  <c r="O65" i="24"/>
  <c r="O66" i="29"/>
  <c r="O65" i="29"/>
  <c r="P66" i="28"/>
  <c r="P65" i="28"/>
  <c r="F66" i="24"/>
  <c r="F65" i="24"/>
  <c r="F66" i="29"/>
  <c r="F65" i="29"/>
  <c r="G66" i="29"/>
  <c r="G65" i="29"/>
  <c r="G66" i="27"/>
  <c r="G65" i="27"/>
  <c r="C66" i="28"/>
  <c r="C65" i="28"/>
  <c r="H66" i="24"/>
  <c r="H65" i="24"/>
  <c r="Q66" i="1"/>
  <c r="N66" i="26"/>
  <c r="N65" i="26"/>
  <c r="L66" i="22"/>
  <c r="K66" i="26"/>
  <c r="K65" i="26"/>
  <c r="G66" i="24"/>
  <c r="G65" i="24"/>
  <c r="E66" i="28"/>
  <c r="E65" i="28"/>
  <c r="K66" i="23"/>
  <c r="K65" i="23"/>
  <c r="J66" i="21"/>
  <c r="J65" i="21"/>
  <c r="N66" i="30"/>
  <c r="N65" i="30"/>
  <c r="E66" i="29"/>
  <c r="E65" i="29"/>
  <c r="M66" i="30"/>
  <c r="M65" i="30"/>
  <c r="F66" i="30"/>
  <c r="F65" i="30"/>
  <c r="N66" i="28"/>
  <c r="N65" i="28"/>
  <c r="E66" i="26"/>
  <c r="E65" i="26"/>
  <c r="R66" i="23"/>
  <c r="R65" i="23"/>
  <c r="N66" i="24"/>
  <c r="N65" i="24"/>
  <c r="N66" i="29"/>
  <c r="N65" i="29"/>
  <c r="S66" i="24"/>
  <c r="L66" i="29"/>
  <c r="O66" i="26"/>
  <c r="O65" i="26"/>
  <c r="N66" i="27"/>
  <c r="N65" i="27"/>
  <c r="U66" i="27"/>
  <c r="U65" i="27"/>
  <c r="J66" i="29"/>
  <c r="J65" i="29"/>
  <c r="G66" i="22"/>
  <c r="G65" i="22"/>
  <c r="G66" i="28"/>
  <c r="G65" i="28"/>
  <c r="Q66" i="23"/>
  <c r="Q65" i="23"/>
  <c r="F66" i="21"/>
  <c r="F65" i="21"/>
  <c r="T66" i="26"/>
  <c r="T65" i="26"/>
  <c r="M66" i="23"/>
  <c r="M65" i="23"/>
  <c r="O66" i="28"/>
  <c r="O65" i="28"/>
  <c r="F66" i="23"/>
  <c r="F65" i="23"/>
  <c r="K66" i="29"/>
  <c r="K65" i="29"/>
  <c r="U66" i="29"/>
  <c r="U65" i="29"/>
  <c r="H66" i="27"/>
  <c r="H65" i="27"/>
  <c r="H66" i="28"/>
  <c r="H65" i="28"/>
  <c r="S66" i="30"/>
  <c r="S65" i="30"/>
  <c r="E66" i="21"/>
  <c r="E65" i="21"/>
  <c r="O66" i="23"/>
  <c r="O65" i="23"/>
  <c r="F66" i="27"/>
  <c r="F65" i="27"/>
  <c r="F66" i="22"/>
  <c r="F65" i="22"/>
  <c r="O66" i="27"/>
  <c r="O65" i="27"/>
  <c r="U66" i="24"/>
  <c r="U65" i="24"/>
  <c r="R66" i="24"/>
  <c r="R65" i="24"/>
  <c r="M66" i="27"/>
  <c r="M65" i="27"/>
  <c r="H66" i="29"/>
  <c r="H65" i="29"/>
  <c r="S66" i="21"/>
  <c r="S65" i="21"/>
  <c r="U66" i="22"/>
  <c r="U65" i="22"/>
  <c r="B66" i="26"/>
  <c r="B65" i="26"/>
  <c r="B66" i="27"/>
  <c r="B65" i="27"/>
  <c r="B66" i="28"/>
  <c r="B65" i="28"/>
  <c r="B66" i="29"/>
  <c r="B65" i="29"/>
  <c r="B66" i="22"/>
  <c r="B65" i="22"/>
  <c r="B66" i="23"/>
  <c r="B65" i="23"/>
  <c r="B66" i="21"/>
  <c r="B65" i="21"/>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<sst xmlns="http://schemas.openxmlformats.org/spreadsheetml/2006/main" count="2247" uniqueCount="177">
  <si>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</si>
  <si>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</si>
  <si>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</si>
  <si>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</si>
  <si>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</si>
  <si>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</si>
  <si>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</si>
  <si>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</si>
  <si>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</si>
  <si>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</si>
  <si>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</si>
  <si>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</si>
  <si>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</si>
  <si>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</si>
  <si>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</si>
  <si>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</si>
  <si>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</si>
  <si>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</si>
  <si>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</si>
  <si>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</si>
  <si>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</si>
  <si>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</si>
  <si>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</si>
  <si>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</si>
  <si>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</si>
  <si>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</si>
  <si>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</si>
  <si>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</si>
  <si>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</si>
  <si>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</si>
  <si>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</si>
  <si>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</si>
  <si>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</si>
  <si>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</si>
  <si>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</si>
  <si>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</si>
  <si>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</si>
  <si>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</si>
  <si>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</si>
  <si>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</si>
  <si>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</si>
  <si>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</si>
  <si>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</si>
  <si>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</si>
  <si>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</si>
  <si>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</si>
  <si>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</si>
  <si>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</si>
  <si>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</si>
  <si>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</si>
  <si>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</si>
  <si>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</si>
  <si>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</si>
  <si>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</si>
  <si>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</si>
  <si>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</si>
  <si>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</si>
  <si>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</si>
  <si>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</si>
  <si>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</si>
  <si>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</si>
  <si>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</si>
  <si>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</si>
  <si>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</si>
  <si>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</si>
  <si>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</si>
  <si>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</si>
  <si>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</si>
  <si>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</si>
  <si>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</si>
  <si>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</si>
  <si>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</si>
  <si>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</si>
  <si>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</si>
  <si>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</si>
  <si>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</si>
  <si>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</si>
  <si>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</si>
  <si>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</si>
  <si>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</si>
  <si>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</si>
  <si>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</si>
  <si>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</si>
  <si>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</si>
  <si>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</si>
  <si>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</si>
  <si>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</si>
  <si>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</si>
  <si>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</si>
  <si>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</si>
  <si>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</si>
  <si>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</si>
  <si>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</si>
  <si>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</si>
  <si>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</si>
  <si>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</si>
  <si>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</si>
  <si>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</si>
  <si>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</si>
  <si>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</si>
  <si>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</si>
  <si>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</si>
  <si>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</si>
  <si>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</si>
  <si>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</si>
  <si>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</si>
  <si>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</si>
  <si>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</si>
  <si>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</si>
  <si>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</si>
  <si>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</si>
  <si>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</si>
  <si>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</si>
  <si>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</si>
  <si>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</si>
  <si>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</si>
  <si>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</si>
  <si>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</si>
  <si>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</si>
  <si>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</si>
  <si>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</si>
  <si>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</si>
  <si>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</si>
  <si>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</si>
  <si>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</si>
  <si>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</si>
  <si>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</si>
  <si>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</si>
  <si>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</si>
  <si>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</si>
  <si>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</si>
  <si>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</si>
  <si>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</si>
  <si>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</si>
  <si>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</si>
  <si>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</si>
  <si>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</si>
  <si>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</si>
  <si>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</si>
  <si>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</si>
  <si>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</si>
  <si>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</si>
  <si>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</si>
  <si>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</si>
  <si>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</si>
  <si>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</si>
  <si>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</si>
  <si>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</si>
  <si>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</si>
  <si>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</si>
  <si>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</si>
  <si>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</si>
  <si>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</si>
  <si>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</si>
  <si>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</si>
  <si>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</si>
  <si>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</si>
  <si>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</si>
  <si>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</si>
  <si>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</si>
  <si>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PAN-024813</t>
  </si>
  <si>
    <t>EPR/FB3606GC</t>
  </si>
  <si>
    <t>Agrispread</t>
  </si>
  <si>
    <t>Fron Farm, Rhesyae Road, Mold, CH7 5QW</t>
  </si>
  <si>
    <t>Ethan Banfield</t>
  </si>
  <si>
    <t xml:space="preserve">Moderate </t>
  </si>
  <si>
    <t>02 02 04</t>
  </si>
  <si>
    <t xml:space="preserve">Croda Widnes </t>
  </si>
  <si>
    <t>02 03 05</t>
  </si>
  <si>
    <t>D WISE</t>
  </si>
  <si>
    <t>Encirc</t>
  </si>
  <si>
    <t>02 07 05</t>
  </si>
  <si>
    <t>Kellogs</t>
  </si>
  <si>
    <t>Maelor</t>
  </si>
  <si>
    <t>Secanim</t>
  </si>
  <si>
    <t>Croda Goole</t>
  </si>
  <si>
    <t>07 07 12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</si>
</sst>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6" fillId="8"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cent" xfId="2" builtinId="5"/>
  </cellStyles>
  <dxfs count="42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360F44E4-7249-415F-8D5E-41D249F9A162}" name="Crop" dataDxfId="383"/>
    <tableColumn id="2" xr3:uid="{55E07717-B4EC-4E8A-B9A9-34F3CF85E32D}" name="P Offtake" dataDxfId="382"/>
    <tableColumn id="3" xr3:uid="{7B25FA52-8104-4FE3-AED4-B53CBFDF89B2}" name="K Offtake" dataDxfId="381"/>
    <tableColumn id="4" xr3:uid="{0DBAE461-2D09-43C8-9342-3980D552AE4D}" name="Order" dataDxfId="380"/>
    <tableColumn id="5" xr3:uid="{52CACE7B-0CBA-46FC-9F24-02CBD6100239}" name="Lime pH requirement" dataDxfId="379"/>
    <tableColumn id="6" xr3:uid="{F1432630-9B16-4266-8147-CE754A715307}" name="Column1" dataDxfId="37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46" dataDxfId="344" headerRowBorderDxfId="345" tableBorderDxfId="343" totalsRowBorderDxfId="342">
  <autoFilter ref="AI1:AN26" xr:uid="{F8B5EC87-3095-445A-A980-2CFAA0A7B9A2}"/>
  <sortState xmlns:xlrd2="http://schemas.microsoft.com/office/spreadsheetml/2017/richdata2" ref="AI2:AL25">
    <sortCondition ref="AL1:AL25"/>
  </sortState>
  <tableColumns count="6">
    <tableColumn id="1" xr3:uid="{7E96A84B-948F-445F-BD6E-30CC8E6E6DD1}" name="Crop" dataDxfId="341"/>
    <tableColumn id="2" xr3:uid="{12657DDB-F680-47DE-ABB1-8675D5F91E41}" name="P Offtake" dataDxfId="340"/>
    <tableColumn id="3" xr3:uid="{DEB99109-D325-4F98-8A71-E70C03433437}" name="K Offtake" dataDxfId="339"/>
    <tableColumn id="4" xr3:uid="{E96A561F-7E7F-4FB3-97AA-0B35D8C8E93A}" name="Order" dataDxfId="338"/>
    <tableColumn id="5" xr3:uid="{181DD475-0A71-4C52-AF1A-8BFF46F5A827}" name="Lime pH requirement" dataDxfId="337"/>
    <tableColumn id="6" xr3:uid="{AC3FA7E8-D76B-43A3-B715-04446DFF63C6}" name="Column1" dataDxfId="336"/>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06008BA1-A1E9-4286-B67A-352533C06A26}" name="Crop" dataDxfId="299"/>
    <tableColumn id="2" xr3:uid="{2AEB5EEB-C9D1-41DC-913E-953A33D1A4AF}" name="P Offtake" dataDxfId="298"/>
    <tableColumn id="3" xr3:uid="{8FA16A0B-1017-4CEE-862E-0A8CBD8EB3D3}" name="K Offtake" dataDxfId="297"/>
    <tableColumn id="4" xr3:uid="{E7A3B8CD-4036-47F4-B818-C3F22E80C749}" name="Order" dataDxfId="296"/>
    <tableColumn id="5" xr3:uid="{8F3EBD84-7904-4559-9B5C-63088B792C98}" name="Lime pH requirement" dataDxfId="295"/>
    <tableColumn id="6" xr3:uid="{A21DD95A-C955-4510-9114-E3F1CB645370}" name="Column1" dataDxfId="294"/>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11579FCC-3D9F-49AD-888D-5D79B801F6AE}" name="Crop" dataDxfId="257"/>
    <tableColumn id="2" xr3:uid="{05C08116-56D5-4CC6-A649-B06AF891B931}" name="P Offtake" dataDxfId="256"/>
    <tableColumn id="3" xr3:uid="{59CDE959-192B-4757-9203-A0F691CF0F96}" name="K Offtake" dataDxfId="255"/>
    <tableColumn id="4" xr3:uid="{9FB8E4F7-B91F-4CE0-AF39-D4895D0ECF2F}" name="Order" dataDxfId="254"/>
    <tableColumn id="5" xr3:uid="{688FF2A4-D7C6-4425-A915-A9ADD700A9EE}" name="Lime pH requirement" dataDxfId="253"/>
    <tableColumn id="6" xr3:uid="{05FC5CFF-3D81-4B5F-87C7-2364076F2714}" name="Column1" dataDxfId="252"/>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973D7FFB-D248-4199-9B2E-B3C6CC09D382}" name="Crop" dataDxfId="215"/>
    <tableColumn id="2" xr3:uid="{7F2A3986-EC86-4CF9-BD10-791170BA6682}" name="P Offtake" dataDxfId="214"/>
    <tableColumn id="3" xr3:uid="{D6129C35-9DC6-42E5-AE3F-EA3A083168E6}" name="K Offtake" dataDxfId="213"/>
    <tableColumn id="4" xr3:uid="{C1CC42B5-564A-4DE7-B817-B7D686FE9A11}" name="Order" dataDxfId="212"/>
    <tableColumn id="5" xr3:uid="{620F3ABD-564C-411A-8DEA-CE1A34F9FC36}" name="Lime pH requirement" dataDxfId="211"/>
    <tableColumn id="6" xr3:uid="{76C9BC4F-4FF3-4AFB-8E7B-16DC0CC3E97C}" name="Column1" dataDxfId="21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D13A12FC-EAE6-4280-A219-C2622262E5F4}" name="Crop" dataDxfId="173"/>
    <tableColumn id="2" xr3:uid="{FD06C4A3-4B75-490D-88CF-232C7DC3EFC6}" name="P Offtake" dataDxfId="172"/>
    <tableColumn id="3" xr3:uid="{B043BEFF-10D4-4840-989B-BB13A502ECDF}" name="K Offtake" dataDxfId="171"/>
    <tableColumn id="4" xr3:uid="{48481FDC-5D20-466C-B554-D45886EA366A}" name="Order" dataDxfId="170"/>
    <tableColumn id="5" xr3:uid="{9E0852D2-9D0D-44AB-98B7-FBA51F331ACF}" name="Lime pH requirement" dataDxfId="169"/>
    <tableColumn id="6" xr3:uid="{29F9C4A5-6854-4F37-8BD1-0DD9B6024A55}" name="Column1" dataDxfId="1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1B554ED3-7AAF-4192-827C-B071945474B8}" name="Crop" dataDxfId="131"/>
    <tableColumn id="2" xr3:uid="{35F435E0-8D8E-44D1-84BD-C2FF51C3F944}" name="P Offtake" dataDxfId="130"/>
    <tableColumn id="3" xr3:uid="{38465C9D-AA8F-443A-80F5-96D1F6258317}" name="K Offtake" dataDxfId="129"/>
    <tableColumn id="4" xr3:uid="{E0C0E6AF-5628-4BC3-9625-81A87B93D279}" name="Order" dataDxfId="128"/>
    <tableColumn id="5" xr3:uid="{ACDE1D9A-7F94-4404-BDDC-1235C32C758F}" name="Lime pH requirement" dataDxfId="127"/>
    <tableColumn id="6" xr3:uid="{B093C9DF-C4CF-4906-9658-89F446EB9C12}" name="Column1"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C4B2E6E9-5990-417D-9E04-7933BDF1FC69}" name="Crop" dataDxfId="89"/>
    <tableColumn id="2" xr3:uid="{E74EF8D0-6C68-49B8-AE52-40C276CA5FC9}" name="P Offtake" dataDxfId="88"/>
    <tableColumn id="3" xr3:uid="{9E0A7857-36E3-482D-B4B2-65B90760417F}" name="K Offtake" dataDxfId="87"/>
    <tableColumn id="4" xr3:uid="{A78867D2-7566-4070-AF99-15EE4CEB1699}" name="Order" dataDxfId="86"/>
    <tableColumn id="5" xr3:uid="{240FD5FA-5659-468E-8544-C93086800EC9}" name="Lime pH requirement" dataDxfId="85"/>
    <tableColumn id="6" xr3:uid="{D5C8E9C3-9076-473B-AE62-DA32692BAABC}" name="Column1" dataDxfId="8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82F1A1D2-F5AA-4D76-98E8-3C18592FB8CF}" name="Crop" dataDxfId="47"/>
    <tableColumn id="2" xr3:uid="{17F60BEE-3BBA-4198-AA21-518EC4696EB6}" name="P Offtake" dataDxfId="46"/>
    <tableColumn id="3" xr3:uid="{95D820EB-2583-433A-A070-6E8356E186E7}" name="K Offtake" dataDxfId="45"/>
    <tableColumn id="4" xr3:uid="{F3AE1839-F59F-4A70-B11A-A32E3FDD1A00}" name="Order" dataDxfId="44"/>
    <tableColumn id="5" xr3:uid="{C52880C5-B266-4CF0-9A11-778ABC47F9F0}" name="Lime pH requirement" dataDxfId="43"/>
    <tableColumn id="6" xr3:uid="{233F7657-9414-44B1-9E43-A91A69CB97ED}" name="Column1" dataDxfId="4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34C99CE0-FFE9-4282-9A7F-89014FFD2010}" name="Crop" dataDxfId="5"/>
    <tableColumn id="2" xr3:uid="{D81725A7-3522-491F-9BAF-35ADAADB5C49}" name="P Offtake" dataDxfId="4"/>
    <tableColumn id="3" xr3:uid="{E1F3CA70-D73E-4B9D-9A9F-F209536EAEFF}" name="K Offtake" dataDxfId="3"/>
    <tableColumn id="4" xr3:uid="{41F03B60-DF58-4AA1-9642-EF87A44AF9EC}" name="Order" dataDxfId="2"/>
    <tableColumn id="5" xr3:uid="{F3D9EC0E-6F67-4466-B24D-F47864B8CBA4}" name="Lime pH requirement" dataDxfId="1"/>
    <tableColumn id="6" xr3:uid="{D49CA6DF-7C49-4445-A0D2-0F2C2FDFB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27" t="s">
        <v>41</v>
      </c>
      <c r="B1" s="127"/>
      <c r="C1" s="121" t="s">
        <v>160</v>
      </c>
      <c r="D1" s="122"/>
      <c r="E1" s="93" t="s">
        <v>45</v>
      </c>
      <c r="F1" s="96">
        <v>44.22</v>
      </c>
      <c r="G1" s="123" t="s">
        <v>43</v>
      </c>
      <c r="H1" s="124"/>
      <c r="I1" s="96">
        <v>7.27</v>
      </c>
      <c r="J1" s="127" t="s">
        <v>153</v>
      </c>
      <c r="K1" s="127"/>
      <c r="L1" s="96">
        <v>25</v>
      </c>
      <c r="AB1" s="18"/>
      <c r="AC1" s="18"/>
      <c r="AD1" s="30" t="s">
        <v>126</v>
      </c>
      <c r="AE1" s="17"/>
      <c r="AF1" s="17"/>
      <c r="AG1" s="18"/>
      <c r="AH1" s="18"/>
      <c r="AI1" s="40" t="s">
        <v>79</v>
      </c>
      <c r="AJ1" s="41" t="s">
        <v>94</v>
      </c>
      <c r="AK1" s="42" t="s">
        <v>95</v>
      </c>
      <c r="AL1" s="43" t="s">
        <v>125</v>
      </c>
      <c r="AM1" s="43" t="s">
        <v>131</v>
      </c>
      <c r="AN1" s="43" t="s">
        <v>111</v>
      </c>
    </row>
    <row r="2" spans="1:40" ht="13" x14ac:dyDescent="0.3">
      <c r="A2" s="127" t="s">
        <v>87</v>
      </c>
      <c r="B2" s="127"/>
      <c r="C2" s="119" t="s">
        <v>161</v>
      </c>
      <c r="D2" s="120"/>
      <c r="E2" s="93" t="s">
        <v>109</v>
      </c>
      <c r="F2" s="96" t="s">
        <v>168</v>
      </c>
      <c r="G2" s="125" t="s">
        <v>110</v>
      </c>
      <c r="H2" s="126"/>
      <c r="I2" s="96">
        <v>550</v>
      </c>
      <c r="J2" s="127" t="s">
        <v>158</v>
      </c>
      <c r="K2" s="127"/>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3" t="s">
        <v>42</v>
      </c>
      <c r="B3" s="124"/>
      <c r="C3" s="119" t="s">
        <v>162</v>
      </c>
      <c r="D3" s="120"/>
      <c r="E3" s="93" t="s">
        <v>108</v>
      </c>
      <c r="F3" s="31" t="s">
        <v>78</v>
      </c>
      <c r="G3" s="127" t="s">
        <v>159</v>
      </c>
      <c r="H3" s="127"/>
      <c r="I3" s="96">
        <v>200</v>
      </c>
      <c r="J3" s="123" t="s">
        <v>154</v>
      </c>
      <c r="K3" s="124"/>
      <c r="L3" s="96">
        <f>(L1/(L2*10000))*100</f>
        <v>1.9230769230769231</v>
      </c>
      <c r="AB3" s="30" t="s">
        <v>57</v>
      </c>
      <c r="AC3" s="17"/>
      <c r="AD3" s="30" t="s">
        <v>71</v>
      </c>
      <c r="AE3" s="17"/>
      <c r="AF3" s="17"/>
      <c r="AG3" s="44" t="s">
        <v>77</v>
      </c>
      <c r="AH3" s="18"/>
      <c r="AI3" s="48" t="s">
        <v>113</v>
      </c>
      <c r="AJ3" s="49">
        <v>1.7</v>
      </c>
      <c r="AK3" s="50">
        <v>6</v>
      </c>
      <c r="AL3" s="51">
        <v>1</v>
      </c>
      <c r="AM3" s="11">
        <v>6.2</v>
      </c>
      <c r="AN3" s="11" t="s">
        <v>112</v>
      </c>
    </row>
    <row r="4" spans="1:40" ht="13" x14ac:dyDescent="0.25">
      <c r="A4" s="127" t="s">
        <v>0</v>
      </c>
      <c r="B4" s="127"/>
      <c r="C4" s="121" t="s">
        <v>163</v>
      </c>
      <c r="D4" s="122"/>
      <c r="E4" s="94" t="s">
        <v>1</v>
      </c>
      <c r="F4" s="95" t="s">
        <v>167</v>
      </c>
      <c r="G4" s="127"/>
      <c r="H4" s="127"/>
      <c r="I4" s="96"/>
      <c r="J4" s="123"/>
      <c r="K4" s="124"/>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27" t="s">
        <v>47</v>
      </c>
      <c r="B5" s="127"/>
      <c r="C5" s="128" t="s">
        <v>164</v>
      </c>
      <c r="D5" s="128"/>
      <c r="E5" s="94"/>
      <c r="F5" s="95"/>
      <c r="G5" s="127"/>
      <c r="H5" s="127"/>
      <c r="I5" s="96"/>
      <c r="J5" s="123"/>
      <c r="K5" s="124"/>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27" t="s">
        <v>2</v>
      </c>
      <c r="B8" s="127"/>
      <c r="C8" s="15">
        <v>1</v>
      </c>
      <c r="D8" s="15">
        <v>2</v>
      </c>
      <c r="E8" s="15">
        <v>3</v>
      </c>
      <c r="F8" s="15">
        <v>4</v>
      </c>
      <c r="G8" s="15">
        <v>5</v>
      </c>
      <c r="H8" s="15">
        <v>6</v>
      </c>
      <c r="I8" s="15">
        <v>7</v>
      </c>
      <c r="J8" s="15">
        <v>8</v>
      </c>
      <c r="K8" s="15">
        <v>9</v>
      </c>
      <c r="L8" s="15">
        <v>10</v>
      </c>
      <c r="M8" s="15">
        <v>11</v>
      </c>
      <c r="N8" s="15">
        <v>12</v>
      </c>
      <c r="O8" s="15">
        <v>13</v>
      </c>
      <c r="P8" s="15">
        <v>14</v>
      </c>
      <c r="Q8" s="15">
        <v>16</v>
      </c>
      <c r="R8" s="15">
        <v>17</v>
      </c>
      <c r="S8" s="15">
        <v>18</v>
      </c>
      <c r="T8" s="15">
        <v>19</v>
      </c>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27" t="s">
        <v>3</v>
      </c>
      <c r="B9" s="127"/>
      <c r="C9" s="15" t="s">
        <v>165</v>
      </c>
      <c r="D9" s="15" t="s">
        <v>165</v>
      </c>
      <c r="E9" s="15" t="s">
        <v>165</v>
      </c>
      <c r="F9" s="15" t="s">
        <v>165</v>
      </c>
      <c r="G9" s="15" t="s">
        <v>165</v>
      </c>
      <c r="H9" s="15" t="s">
        <v>165</v>
      </c>
      <c r="I9" s="15" t="s">
        <v>165</v>
      </c>
      <c r="J9" s="15" t="s">
        <v>165</v>
      </c>
      <c r="K9" s="15" t="s">
        <v>165</v>
      </c>
      <c r="L9" s="15" t="s">
        <v>165</v>
      </c>
      <c r="M9" s="15" t="s">
        <v>165</v>
      </c>
      <c r="N9" s="15" t="s">
        <v>165</v>
      </c>
      <c r="O9" s="15" t="s">
        <v>165</v>
      </c>
      <c r="P9" s="15" t="s">
        <v>165</v>
      </c>
      <c r="Q9" s="15" t="s">
        <v>165</v>
      </c>
      <c r="R9" s="15" t="s">
        <v>165</v>
      </c>
      <c r="S9" s="15" t="s">
        <v>165</v>
      </c>
      <c r="T9" s="15" t="s">
        <v>165</v>
      </c>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27" t="s">
        <v>4</v>
      </c>
      <c r="B10" s="127"/>
      <c r="C10" s="15">
        <v>6.2</v>
      </c>
      <c r="D10" s="15">
        <v>6.5</v>
      </c>
      <c r="E10" s="15">
        <v>6.1</v>
      </c>
      <c r="F10" s="15">
        <v>6.2</v>
      </c>
      <c r="G10" s="15">
        <v>6</v>
      </c>
      <c r="H10" s="15">
        <v>6.1</v>
      </c>
      <c r="I10" s="15">
        <v>6.7</v>
      </c>
      <c r="J10" s="15">
        <v>6.1</v>
      </c>
      <c r="K10" s="15">
        <v>6</v>
      </c>
      <c r="L10" s="15">
        <v>5.9</v>
      </c>
      <c r="M10" s="15">
        <v>5.9</v>
      </c>
      <c r="N10" s="15">
        <v>5.8</v>
      </c>
      <c r="O10" s="15">
        <v>5.8</v>
      </c>
      <c r="P10" s="15">
        <v>6.4</v>
      </c>
      <c r="Q10" s="15">
        <v>6.6</v>
      </c>
      <c r="R10" s="15">
        <v>6.5</v>
      </c>
      <c r="S10" s="15">
        <v>7.3</v>
      </c>
      <c r="T10" s="15">
        <v>7.1</v>
      </c>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27" t="s">
        <v>5</v>
      </c>
      <c r="B11" s="127"/>
      <c r="C11" s="15">
        <v>2</v>
      </c>
      <c r="D11" s="15">
        <v>3</v>
      </c>
      <c r="E11" s="15">
        <v>2</v>
      </c>
      <c r="F11" s="15">
        <v>1</v>
      </c>
      <c r="G11" s="15">
        <v>1</v>
      </c>
      <c r="H11" s="15">
        <v>1</v>
      </c>
      <c r="I11" s="15">
        <v>1</v>
      </c>
      <c r="J11" s="15">
        <v>1</v>
      </c>
      <c r="K11" s="15">
        <v>1</v>
      </c>
      <c r="L11" s="15">
        <v>1</v>
      </c>
      <c r="M11" s="15">
        <v>1</v>
      </c>
      <c r="N11" s="15">
        <v>0</v>
      </c>
      <c r="O11" s="15">
        <v>0</v>
      </c>
      <c r="P11" s="15">
        <v>1</v>
      </c>
      <c r="Q11" s="15">
        <v>3</v>
      </c>
      <c r="R11" s="15">
        <v>2</v>
      </c>
      <c r="S11" s="15">
        <v>3</v>
      </c>
      <c r="T11" s="15">
        <v>1</v>
      </c>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27" t="s">
        <v>6</v>
      </c>
      <c r="B12" s="127"/>
      <c r="C12" s="15">
        <v>0</v>
      </c>
      <c r="D12" s="15">
        <v>2</v>
      </c>
      <c r="E12" s="15">
        <v>1</v>
      </c>
      <c r="F12" s="15">
        <v>0</v>
      </c>
      <c r="G12" s="15">
        <v>1</v>
      </c>
      <c r="H12" s="15">
        <v>1</v>
      </c>
      <c r="I12" s="15">
        <v>1</v>
      </c>
      <c r="J12" s="15">
        <v>1</v>
      </c>
      <c r="K12" s="15">
        <v>0</v>
      </c>
      <c r="L12" s="15">
        <v>0</v>
      </c>
      <c r="M12" s="15">
        <v>2</v>
      </c>
      <c r="N12" s="15">
        <v>0</v>
      </c>
      <c r="O12" s="15">
        <v>0</v>
      </c>
      <c r="P12" s="15">
        <v>1</v>
      </c>
      <c r="Q12" s="15">
        <v>1</v>
      </c>
      <c r="R12" s="15">
        <v>1</v>
      </c>
      <c r="S12" s="15">
        <v>0</v>
      </c>
      <c r="T12" s="15">
        <v>0</v>
      </c>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27" t="s">
        <v>7</v>
      </c>
      <c r="B13" s="127"/>
      <c r="C13" s="15">
        <v>2</v>
      </c>
      <c r="D13" s="15">
        <v>2</v>
      </c>
      <c r="E13" s="15">
        <v>2</v>
      </c>
      <c r="F13" s="15">
        <v>2</v>
      </c>
      <c r="G13" s="15">
        <v>4</v>
      </c>
      <c r="H13" s="15">
        <v>2</v>
      </c>
      <c r="I13" s="15">
        <v>2</v>
      </c>
      <c r="J13" s="15">
        <v>2</v>
      </c>
      <c r="K13" s="15">
        <v>2</v>
      </c>
      <c r="L13" s="15">
        <v>2</v>
      </c>
      <c r="M13" s="15">
        <v>2</v>
      </c>
      <c r="N13" s="15">
        <v>2</v>
      </c>
      <c r="O13" s="15">
        <v>2</v>
      </c>
      <c r="P13" s="15">
        <v>2</v>
      </c>
      <c r="Q13" s="15">
        <v>2</v>
      </c>
      <c r="R13" s="15">
        <v>2</v>
      </c>
      <c r="S13" s="15">
        <v>1</v>
      </c>
      <c r="T13" s="15">
        <v>1</v>
      </c>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6" t="s">
        <v>8</v>
      </c>
      <c r="B14" s="136"/>
      <c r="C14" s="100" t="s">
        <v>113</v>
      </c>
      <c r="D14" s="100" t="s">
        <v>113</v>
      </c>
      <c r="E14" s="100" t="s">
        <v>113</v>
      </c>
      <c r="F14" s="100" t="s">
        <v>113</v>
      </c>
      <c r="G14" s="100" t="s">
        <v>113</v>
      </c>
      <c r="H14" s="100" t="s">
        <v>113</v>
      </c>
      <c r="I14" s="100" t="s">
        <v>113</v>
      </c>
      <c r="J14" s="100" t="s">
        <v>113</v>
      </c>
      <c r="K14" s="100" t="s">
        <v>113</v>
      </c>
      <c r="L14" s="100" t="s">
        <v>113</v>
      </c>
      <c r="M14" s="100" t="s">
        <v>113</v>
      </c>
      <c r="N14" s="100" t="s">
        <v>113</v>
      </c>
      <c r="O14" s="100" t="s">
        <v>113</v>
      </c>
      <c r="P14" s="100" t="s">
        <v>113</v>
      </c>
      <c r="Q14" s="100" t="s">
        <v>113</v>
      </c>
      <c r="R14" s="100" t="s">
        <v>113</v>
      </c>
      <c r="S14" s="100" t="s">
        <v>113</v>
      </c>
      <c r="T14" s="100" t="s">
        <v>113</v>
      </c>
      <c r="U14" s="100" t="s">
        <v>113</v>
      </c>
      <c r="V14" s="100" t="s">
        <v>113</v>
      </c>
      <c r="AD14" s="30" t="s">
        <v>138</v>
      </c>
      <c r="AE14" s="30">
        <v>6</v>
      </c>
      <c r="AI14" s="53" t="s">
        <v>119</v>
      </c>
      <c r="AJ14" s="54">
        <v>0.8</v>
      </c>
      <c r="AK14" s="55">
        <v>1.7</v>
      </c>
      <c r="AL14" s="11">
        <v>12</v>
      </c>
      <c r="AM14" s="11">
        <v>6.7</v>
      </c>
      <c r="AN14" s="11" t="s">
        <v>135</v>
      </c>
    </row>
    <row r="15" spans="1:40" ht="13" x14ac:dyDescent="0.25">
      <c r="A15" s="135" t="s">
        <v>9</v>
      </c>
      <c r="B15" s="135"/>
      <c r="C15" s="15">
        <v>38</v>
      </c>
      <c r="D15" s="15">
        <v>38</v>
      </c>
      <c r="E15" s="15">
        <v>38</v>
      </c>
      <c r="F15" s="15">
        <v>38</v>
      </c>
      <c r="G15" s="15">
        <v>38</v>
      </c>
      <c r="H15" s="15">
        <v>38</v>
      </c>
      <c r="I15" s="15">
        <v>38</v>
      </c>
      <c r="J15" s="15">
        <v>38</v>
      </c>
      <c r="K15" s="15">
        <v>38</v>
      </c>
      <c r="L15" s="15">
        <v>38</v>
      </c>
      <c r="M15" s="15">
        <v>38</v>
      </c>
      <c r="N15" s="15">
        <v>38</v>
      </c>
      <c r="O15" s="15">
        <v>38</v>
      </c>
      <c r="P15" s="15">
        <v>38</v>
      </c>
      <c r="Q15" s="15">
        <v>38</v>
      </c>
      <c r="R15" s="15">
        <v>38</v>
      </c>
      <c r="S15" s="15">
        <v>38</v>
      </c>
      <c r="T15" s="15">
        <v>38</v>
      </c>
      <c r="U15" s="15">
        <v>38</v>
      </c>
      <c r="V15" s="15">
        <v>38</v>
      </c>
      <c r="AD15" s="30" t="s">
        <v>144</v>
      </c>
      <c r="AE15" s="30">
        <v>7</v>
      </c>
      <c r="AI15" s="53" t="s">
        <v>101</v>
      </c>
      <c r="AJ15" s="62">
        <v>1.8</v>
      </c>
      <c r="AK15" s="55">
        <v>5.4</v>
      </c>
      <c r="AL15" s="11">
        <v>13</v>
      </c>
      <c r="AM15" s="11">
        <v>6.7</v>
      </c>
      <c r="AN15" s="11" t="s">
        <v>135</v>
      </c>
    </row>
    <row r="16" spans="1:40" ht="13.5" thickBot="1" x14ac:dyDescent="0.3">
      <c r="A16" s="137" t="s">
        <v>44</v>
      </c>
      <c r="B16" s="137"/>
      <c r="C16" s="101" t="s">
        <v>71</v>
      </c>
      <c r="D16" s="101" t="s">
        <v>71</v>
      </c>
      <c r="E16" s="101" t="s">
        <v>71</v>
      </c>
      <c r="F16" s="101" t="s">
        <v>71</v>
      </c>
      <c r="G16" s="101" t="s">
        <v>71</v>
      </c>
      <c r="H16" s="101" t="s">
        <v>71</v>
      </c>
      <c r="I16" s="101" t="s">
        <v>71</v>
      </c>
      <c r="J16" s="101" t="s">
        <v>71</v>
      </c>
      <c r="K16" s="101" t="s">
        <v>71</v>
      </c>
      <c r="L16" s="101" t="s">
        <v>71</v>
      </c>
      <c r="M16" s="101" t="s">
        <v>71</v>
      </c>
      <c r="N16" s="101" t="s">
        <v>71</v>
      </c>
      <c r="O16" s="101" t="s">
        <v>71</v>
      </c>
      <c r="P16" s="101" t="s">
        <v>71</v>
      </c>
      <c r="Q16" s="101" t="s">
        <v>71</v>
      </c>
      <c r="R16" s="101" t="s">
        <v>71</v>
      </c>
      <c r="S16" s="101" t="s">
        <v>71</v>
      </c>
      <c r="T16" s="101" t="s">
        <v>71</v>
      </c>
      <c r="U16" s="101" t="s">
        <v>71</v>
      </c>
      <c r="V16" s="101" t="s">
        <v>71</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63.052901999999996</v>
      </c>
      <c r="D18" s="16">
        <f>$D32</f>
        <v>63.052901999999996</v>
      </c>
      <c r="E18" s="16">
        <f>$D33</f>
        <v>63.052901999999996</v>
      </c>
      <c r="F18" s="16">
        <f>$D34</f>
        <v>63.052901999999996</v>
      </c>
      <c r="G18" s="16">
        <f>$D35</f>
        <v>63.052901999999996</v>
      </c>
      <c r="H18" s="16">
        <f>$D36</f>
        <v>63.052901999999996</v>
      </c>
      <c r="I18" s="16">
        <f>$D37</f>
        <v>63.052901999999996</v>
      </c>
      <c r="J18" s="16">
        <f>$D38</f>
        <v>63.052901999999996</v>
      </c>
      <c r="K18" s="16">
        <f>$D39</f>
        <v>63.052901999999996</v>
      </c>
      <c r="L18" s="16">
        <f>$D40</f>
        <v>63.052901999999996</v>
      </c>
      <c r="M18" s="16">
        <f>$D41</f>
        <v>63.052901999999996</v>
      </c>
      <c r="N18" s="16">
        <f>$D42</f>
        <v>63.052901999999996</v>
      </c>
      <c r="O18" s="16">
        <f>$D43</f>
        <v>63.052901999999996</v>
      </c>
      <c r="P18" s="16">
        <f>$D44</f>
        <v>63.052901999999996</v>
      </c>
      <c r="Q18" s="16">
        <f>$D45</f>
        <v>63.052901999999996</v>
      </c>
      <c r="R18" s="16">
        <f>$D46</f>
        <v>63.052901999999996</v>
      </c>
      <c r="S18" s="16">
        <f>$D47</f>
        <v>63.052901999999996</v>
      </c>
      <c r="T18" s="16">
        <f>$D48</f>
        <v>63.052901999999996</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-1.5470979999999983</v>
      </c>
      <c r="D19" s="16">
        <f t="shared" ref="D19:V19" si="1">D18-D17</f>
        <v>-1.5470979999999983</v>
      </c>
      <c r="E19" s="16">
        <f t="shared" si="1"/>
        <v>-1.5470979999999983</v>
      </c>
      <c r="F19" s="16">
        <f t="shared" si="1"/>
        <v>-1.5470979999999983</v>
      </c>
      <c r="G19" s="16">
        <f t="shared" si="1"/>
        <v>-1.5470979999999983</v>
      </c>
      <c r="H19" s="16">
        <f t="shared" si="1"/>
        <v>-1.5470979999999983</v>
      </c>
      <c r="I19" s="16">
        <f t="shared" si="1"/>
        <v>-1.5470979999999983</v>
      </c>
      <c r="J19" s="16">
        <f t="shared" si="1"/>
        <v>-1.5470979999999983</v>
      </c>
      <c r="K19" s="16">
        <f t="shared" si="1"/>
        <v>-1.5470979999999983</v>
      </c>
      <c r="L19" s="16">
        <f t="shared" si="1"/>
        <v>-1.5470979999999983</v>
      </c>
      <c r="M19" s="16">
        <f t="shared" si="1"/>
        <v>-1.5470979999999983</v>
      </c>
      <c r="N19" s="16">
        <f t="shared" si="1"/>
        <v>-1.5470979999999983</v>
      </c>
      <c r="O19" s="16">
        <f t="shared" si="1"/>
        <v>-1.5470979999999983</v>
      </c>
      <c r="P19" s="16">
        <f t="shared" si="1"/>
        <v>-1.5470979999999983</v>
      </c>
      <c r="Q19" s="16">
        <f t="shared" si="1"/>
        <v>-1.5470979999999983</v>
      </c>
      <c r="R19" s="16">
        <f t="shared" si="1"/>
        <v>-1.5470979999999983</v>
      </c>
      <c r="S19" s="16">
        <f t="shared" si="1"/>
        <v>-1.5470979999999983</v>
      </c>
      <c r="T19" s="16">
        <f t="shared" si="1"/>
        <v>-1.5470979999999983</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12.486210000000002</v>
      </c>
      <c r="D22" s="16">
        <f>$E32</f>
        <v>12.486210000000002</v>
      </c>
      <c r="E22" s="16">
        <f>$E33</f>
        <v>12.486210000000002</v>
      </c>
      <c r="F22" s="16">
        <f>$E34</f>
        <v>12.486210000000002</v>
      </c>
      <c r="G22" s="16">
        <f>$E35</f>
        <v>12.486210000000002</v>
      </c>
      <c r="H22" s="16">
        <f>$E36</f>
        <v>12.486210000000002</v>
      </c>
      <c r="I22" s="16">
        <f>$E37</f>
        <v>12.486210000000002</v>
      </c>
      <c r="J22" s="16">
        <f>$E38</f>
        <v>12.486210000000002</v>
      </c>
      <c r="K22" s="16">
        <f>$E39</f>
        <v>12.486210000000002</v>
      </c>
      <c r="L22" s="16">
        <f>$E40</f>
        <v>12.486210000000002</v>
      </c>
      <c r="M22" s="16">
        <f>$E41</f>
        <v>12.486210000000002</v>
      </c>
      <c r="N22" s="16">
        <f>$E42</f>
        <v>12.486210000000002</v>
      </c>
      <c r="O22" s="16">
        <f>$E43</f>
        <v>12.486210000000002</v>
      </c>
      <c r="P22" s="16">
        <f>$E44</f>
        <v>12.486210000000002</v>
      </c>
      <c r="Q22" s="16">
        <f>$E45</f>
        <v>12.486210000000002</v>
      </c>
      <c r="R22" s="16">
        <f>$E46</f>
        <v>12.486210000000002</v>
      </c>
      <c r="S22" s="16">
        <f>$E47</f>
        <v>12.486210000000002</v>
      </c>
      <c r="T22" s="16">
        <f>$E48</f>
        <v>12.486210000000002</v>
      </c>
      <c r="U22" s="16">
        <f>$E49</f>
        <v>0</v>
      </c>
      <c r="V22" s="16">
        <f>$E50</f>
        <v>0</v>
      </c>
      <c r="AI22" s="63" t="s">
        <v>102</v>
      </c>
      <c r="AJ22" s="64">
        <v>1.2</v>
      </c>
      <c r="AK22" s="65">
        <v>5</v>
      </c>
      <c r="AL22" s="29">
        <v>20</v>
      </c>
      <c r="AM22" s="11">
        <v>6.7</v>
      </c>
      <c r="AN22" s="11" t="s">
        <v>135</v>
      </c>
    </row>
    <row r="23" spans="1:40" ht="13" x14ac:dyDescent="0.25">
      <c r="A23" s="131" t="s">
        <v>92</v>
      </c>
      <c r="B23" s="132"/>
      <c r="C23" s="16">
        <f>C22-C21</f>
        <v>-215.51379</v>
      </c>
      <c r="D23" s="16">
        <f t="shared" ref="D23:V23" si="3">D22-D21</f>
        <v>-215.51379</v>
      </c>
      <c r="E23" s="16">
        <f t="shared" si="3"/>
        <v>-215.51379</v>
      </c>
      <c r="F23" s="16">
        <f t="shared" si="3"/>
        <v>-215.51379</v>
      </c>
      <c r="G23" s="16">
        <f t="shared" si="3"/>
        <v>-215.51379</v>
      </c>
      <c r="H23" s="16">
        <f t="shared" si="3"/>
        <v>-215.51379</v>
      </c>
      <c r="I23" s="16">
        <f t="shared" si="3"/>
        <v>-215.51379</v>
      </c>
      <c r="J23" s="16">
        <f t="shared" si="3"/>
        <v>-215.51379</v>
      </c>
      <c r="K23" s="16">
        <f t="shared" si="3"/>
        <v>-215.51379</v>
      </c>
      <c r="L23" s="16">
        <f t="shared" si="3"/>
        <v>-215.51379</v>
      </c>
      <c r="M23" s="16">
        <f t="shared" si="3"/>
        <v>-215.51379</v>
      </c>
      <c r="N23" s="16">
        <f t="shared" si="3"/>
        <v>-215.51379</v>
      </c>
      <c r="O23" s="16">
        <f t="shared" si="3"/>
        <v>-215.51379</v>
      </c>
      <c r="P23" s="16">
        <f t="shared" si="3"/>
        <v>-215.51379</v>
      </c>
      <c r="Q23" s="16">
        <f t="shared" si="3"/>
        <v>-215.51379</v>
      </c>
      <c r="R23" s="16">
        <f t="shared" si="3"/>
        <v>-215.51379</v>
      </c>
      <c r="S23" s="16">
        <f t="shared" si="3"/>
        <v>-215.51379</v>
      </c>
      <c r="T23" s="16">
        <f t="shared" si="3"/>
        <v>-215.51379</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1.95</v>
      </c>
      <c r="C28" s="15">
        <v>0.13</v>
      </c>
      <c r="D28" s="15">
        <v>417</v>
      </c>
      <c r="E28" s="15">
        <v>157</v>
      </c>
      <c r="F28" s="15">
        <v>156</v>
      </c>
      <c r="G28" s="15">
        <v>0.61899999999999999</v>
      </c>
      <c r="H28" s="15">
        <v>2.68</v>
      </c>
      <c r="I28" s="15">
        <v>0.5</v>
      </c>
      <c r="J28" s="15">
        <v>0.01</v>
      </c>
      <c r="K28" s="23">
        <v>0.05</v>
      </c>
      <c r="L28" s="15">
        <v>0.2</v>
      </c>
      <c r="M28" s="15">
        <v>0.378</v>
      </c>
      <c r="N28" s="15"/>
      <c r="O28" s="15"/>
      <c r="P28" s="15">
        <v>248</v>
      </c>
      <c r="Q28" s="15">
        <v>176</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66</v>
      </c>
      <c r="C31" s="77">
        <f>IF(C$27="%w/w SAR",((C$28*10)*$B31),IF(C$27="%w/w DM",(((C$28*10)*($B$28/100))*$B31),IF(C$27="kg/t SAR",(C$28*$B31),IF(C$27="kg/t DM",((C$28*($B$28/100))*$B31),IF(C$27="mg/kg SAR",((C$28*0.001)*$B31),IF(C$27="mg/kg DM",(((C$28*0.001)*($B$28/100))*$B31),0))))))</f>
        <v>85.8</v>
      </c>
      <c r="D31" s="77">
        <f>(IF(D$27="%w/w SAR",((D$28*10)*$B31),IF(D$27="%w/w DM",(((D$28*10)*($B$28/100))*$B31),IF(D$27="kg/t SAR",(D$28*$B31),IF(D$27="kg/t DM",((D$28*($B$28/100))*$B31),IF(D$27="mg/kg SAR",((D$28*0.001)*$B31),IF(D$27="mg/kg DM",(((D$28*0.001)*($B$28/100))*$B31),"0")))))))*2.291</f>
        <v>63.052901999999996</v>
      </c>
      <c r="E31" s="77">
        <f>(IF(E$27="%w/w SAR",((E$28*10)*$B31),IF(E$27="%w/w DM",(((E$28*10)*($B$28/100))*$B31),IF(E$27="kg/t SAR",(E$28*$B31),IF(E$27="kg/t DM",((E$28*($B$28/100))*$B31),IF(E$27="mg/kg SAR",((E$28*0.001)*$B31),IF(E$27="mg/kg DM",(((E$28*0.001)*($B$28/100))*$B31),"0")))))))*1.205</f>
        <v>12.486210000000002</v>
      </c>
      <c r="F31" s="77">
        <f>(IF(F$27="%w/w SAR",((F$28*10)*$B31),IF(F$27="%w/w DM",(((F$28*10)*($B$28/100))*$B31),IF(F$27="kg/t SAR",(F$28*$B31),IF(F$27="kg/t DM",((F$28*($B$28/100))*$B31),IF(F$27="mg/kg SAR",((F$28*0.001)*$B31),IF(F$27="mg/kg DM",(((F$28*0.001)*($B$28/100))*$B31),"0")))))))*1.658</f>
        <v>17.070767999999997</v>
      </c>
      <c r="G31" s="77">
        <f t="shared" ref="G31:P31" si="5">IF(G$27="%w/w SAR",((G$28*10)*$B31),IF(G$27="%w/w DM",(((G$28*10)*($B$28/100))*$B31),IF(G$27="kg/t SAR",(G$28*$B31),IF(G$27="kg/t DM",((G$28*($B$28/100))*$B31),IF(G$27="mg/kg SAR",((G$28*0.001)*$B31),IF(G$27="mg/kg DM",(((G$28*0.001)*($B$28/100))*$B31),0))))))</f>
        <v>4.0854000000000001E-2</v>
      </c>
      <c r="H31" s="77">
        <f t="shared" si="5"/>
        <v>0.17688000000000001</v>
      </c>
      <c r="I31" s="77">
        <f t="shared" si="5"/>
        <v>3.3000000000000002E-2</v>
      </c>
      <c r="J31" s="77">
        <f t="shared" si="5"/>
        <v>6.600000000000001E-4</v>
      </c>
      <c r="K31" s="77">
        <f t="shared" si="5"/>
        <v>3.3E-3</v>
      </c>
      <c r="L31" s="77">
        <f t="shared" si="5"/>
        <v>1.32E-2</v>
      </c>
      <c r="M31" s="77">
        <f t="shared" si="5"/>
        <v>2.4948000000000001E-2</v>
      </c>
      <c r="N31" s="77">
        <f t="shared" si="5"/>
        <v>0</v>
      </c>
      <c r="O31" s="77">
        <f t="shared" si="5"/>
        <v>0</v>
      </c>
      <c r="P31" s="77">
        <f t="shared" si="5"/>
        <v>16.367999999999999</v>
      </c>
      <c r="Q31" s="77">
        <f>(IF(Q$27="%w/w SAR",((Q$28*10)*$B31),IF(Q$27="%w/w DM",(((Q$28*10)*($B$28/100))*$B31),IF(Q$27="kg/t SAR",(Q$28*$B31),IF(Q$27="kg/t DM",((Q$28*($B$28/100))*$B31),IF(Q$27="mg/kg SAR",((Q$28*0.001)*$B31),IF(Q$27="mg/kg DM",(((Q$28*0.001)*($B$28/100))*$B31),0)))))))*2.5</f>
        <v>29.04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66</v>
      </c>
      <c r="C32" s="77">
        <f t="shared" ref="C32:C50" si="6">IF(C$27="%w/w SAR",((C$28*10)*$B32),IF(C$27="%w/w DM",(((C$28*10)*($B$28/100))*$B32),IF(C$27="kg/t SAR",(C$28*$B32),IF(C$27="kg/t DM",((C$28*($B$28/100))*$B32),IF(C$27="mg/kg SAR",((C$28*0.001)*$B32),IF(C$27="mg/kg DM",(((C$28*0.001)*($B$28/100))*$B32),0))))))</f>
        <v>85.8</v>
      </c>
      <c r="D32" s="77">
        <f t="shared" ref="D32:D50" si="7">(IF(D$27="%w/w SAR",((D$28*10)*$B32),IF(D$27="%w/w DM",(((D$28*10)*($B$28/100))*$B32),IF(D$27="kg/t SAR",(D$28*$B32),IF(D$27="kg/t DM",((D$28*($B$28/100))*$B32),IF(D$27="mg/kg SAR",((D$28*0.001)*$B32),IF(D$27="mg/kg DM",(((D$28*0.001)*($B$28/100))*$B32),"0")))))))*2.291</f>
        <v>63.052901999999996</v>
      </c>
      <c r="E32" s="77">
        <f t="shared" ref="E32:E50" si="8">(IF(E$27="%w/w SAR",((E$28*10)*$B32),IF(E$27="%w/w DM",(((E$28*10)*($B$28/100))*$B32),IF(E$27="kg/t SAR",(E$28*$B32),IF(E$27="kg/t DM",((E$28*($B$28/100))*$B32),IF(E$27="mg/kg SAR",((E$28*0.001)*$B32),IF(E$27="mg/kg DM",(((E$28*0.001)*($B$28/100))*$B32),"0")))))))*1.205</f>
        <v>12.486210000000002</v>
      </c>
      <c r="F32" s="77">
        <f t="shared" ref="F32:F50" si="9">(IF(F$27="%w/w SAR",((F$28*10)*$B32),IF(F$27="%w/w DM",(((F$28*10)*($B$28/100))*$B32),IF(F$27="kg/t SAR",(F$28*$B32),IF(F$27="kg/t DM",((F$28*($B$28/100))*$B32),IF(F$27="mg/kg SAR",((F$28*0.001)*$B32),IF(F$27="mg/kg DM",(((F$28*0.001)*($B$28/100))*$B32),"0")))))))*1.658</f>
        <v>17.070767999999997</v>
      </c>
      <c r="G32" s="77">
        <f t="shared" ref="G32:P50" si="10">IF(G$27="%w/w SAR",((G$28*10)*$B32),IF(G$27="%w/w DM",(((G$28*10)*($B$28/100))*$B32),IF(G$27="kg/t SAR",(G$28*$B32),IF(G$27="kg/t DM",((G$28*($B$28/100))*$B32),IF(G$27="mg/kg SAR",((G$28*0.001)*$B32),IF(G$27="mg/kg DM",(((G$28*0.001)*($B$28/100))*$B32),0))))))</f>
        <v>4.0854000000000001E-2</v>
      </c>
      <c r="H32" s="77">
        <f t="shared" si="10"/>
        <v>0.17688000000000001</v>
      </c>
      <c r="I32" s="77">
        <f t="shared" si="10"/>
        <v>3.3000000000000002E-2</v>
      </c>
      <c r="J32" s="77">
        <f t="shared" si="10"/>
        <v>6.600000000000001E-4</v>
      </c>
      <c r="K32" s="77">
        <f t="shared" si="10"/>
        <v>3.3E-3</v>
      </c>
      <c r="L32" s="77">
        <f t="shared" si="10"/>
        <v>1.32E-2</v>
      </c>
      <c r="M32" s="77">
        <f t="shared" si="10"/>
        <v>2.4948000000000001E-2</v>
      </c>
      <c r="N32" s="77">
        <f t="shared" si="10"/>
        <v>0</v>
      </c>
      <c r="O32" s="77">
        <f t="shared" si="10"/>
        <v>0</v>
      </c>
      <c r="P32" s="77">
        <f t="shared" si="10"/>
        <v>16.367999999999999</v>
      </c>
      <c r="Q32" s="77">
        <f t="shared" ref="Q32:Q50" si="11">(IF(Q$27="%w/w SAR",((Q$28*10)*$B32),IF(Q$27="%w/w DM",(((Q$28*10)*($B$28/100))*$B32),IF(Q$27="kg/t SAR",(Q$28*$B32),IF(Q$27="kg/t DM",((Q$28*($B$28/100))*$B32),IF(Q$27="mg/kg SAR",((Q$28*0.001)*$B32),IF(Q$27="mg/kg DM",(((Q$28*0.001)*($B$28/100))*$B32),0)))))))*2.5</f>
        <v>29.04</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66</v>
      </c>
      <c r="C33" s="77">
        <f t="shared" si="6"/>
        <v>85.8</v>
      </c>
      <c r="D33" s="77">
        <f t="shared" si="7"/>
        <v>63.052901999999996</v>
      </c>
      <c r="E33" s="77">
        <f t="shared" si="8"/>
        <v>12.486210000000002</v>
      </c>
      <c r="F33" s="77">
        <f t="shared" si="9"/>
        <v>17.070767999999997</v>
      </c>
      <c r="G33" s="77">
        <f t="shared" si="10"/>
        <v>4.0854000000000001E-2</v>
      </c>
      <c r="H33" s="77">
        <f t="shared" si="10"/>
        <v>0.17688000000000001</v>
      </c>
      <c r="I33" s="77">
        <f t="shared" si="10"/>
        <v>3.3000000000000002E-2</v>
      </c>
      <c r="J33" s="77">
        <f t="shared" si="10"/>
        <v>6.600000000000001E-4</v>
      </c>
      <c r="K33" s="77">
        <f t="shared" si="10"/>
        <v>3.3E-3</v>
      </c>
      <c r="L33" s="77">
        <f t="shared" si="10"/>
        <v>1.32E-2</v>
      </c>
      <c r="M33" s="77">
        <f t="shared" si="10"/>
        <v>2.4948000000000001E-2</v>
      </c>
      <c r="N33" s="77">
        <f t="shared" si="10"/>
        <v>0</v>
      </c>
      <c r="O33" s="77">
        <f t="shared" si="10"/>
        <v>0</v>
      </c>
      <c r="P33" s="77">
        <f t="shared" si="10"/>
        <v>16.367999999999999</v>
      </c>
      <c r="Q33" s="77">
        <f t="shared" si="11"/>
        <v>29.04</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66</v>
      </c>
      <c r="C34" s="77">
        <f t="shared" si="6"/>
        <v>85.8</v>
      </c>
      <c r="D34" s="77">
        <f t="shared" si="7"/>
        <v>63.052901999999996</v>
      </c>
      <c r="E34" s="77">
        <f t="shared" si="8"/>
        <v>12.486210000000002</v>
      </c>
      <c r="F34" s="77">
        <f t="shared" si="9"/>
        <v>17.070767999999997</v>
      </c>
      <c r="G34" s="77">
        <f t="shared" si="10"/>
        <v>4.0854000000000001E-2</v>
      </c>
      <c r="H34" s="77">
        <f t="shared" si="10"/>
        <v>0.17688000000000001</v>
      </c>
      <c r="I34" s="77">
        <f t="shared" si="10"/>
        <v>3.3000000000000002E-2</v>
      </c>
      <c r="J34" s="77">
        <f t="shared" si="10"/>
        <v>6.600000000000001E-4</v>
      </c>
      <c r="K34" s="77">
        <f t="shared" si="10"/>
        <v>3.3E-3</v>
      </c>
      <c r="L34" s="77">
        <f t="shared" si="10"/>
        <v>1.32E-2</v>
      </c>
      <c r="M34" s="77">
        <f t="shared" si="10"/>
        <v>2.4948000000000001E-2</v>
      </c>
      <c r="N34" s="77">
        <f t="shared" si="10"/>
        <v>0</v>
      </c>
      <c r="O34" s="77">
        <f t="shared" si="10"/>
        <v>0</v>
      </c>
      <c r="P34" s="77">
        <f t="shared" si="10"/>
        <v>16.367999999999999</v>
      </c>
      <c r="Q34" s="77">
        <f t="shared" si="11"/>
        <v>29.04</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66</v>
      </c>
      <c r="C35" s="77">
        <f t="shared" si="6"/>
        <v>85.8</v>
      </c>
      <c r="D35" s="77">
        <f t="shared" si="7"/>
        <v>63.052901999999996</v>
      </c>
      <c r="E35" s="77">
        <f t="shared" si="8"/>
        <v>12.486210000000002</v>
      </c>
      <c r="F35" s="77">
        <f t="shared" si="9"/>
        <v>17.070767999999997</v>
      </c>
      <c r="G35" s="77">
        <f t="shared" si="10"/>
        <v>4.0854000000000001E-2</v>
      </c>
      <c r="H35" s="77">
        <f t="shared" si="10"/>
        <v>0.17688000000000001</v>
      </c>
      <c r="I35" s="77">
        <f t="shared" si="10"/>
        <v>3.3000000000000002E-2</v>
      </c>
      <c r="J35" s="77">
        <f t="shared" si="10"/>
        <v>6.600000000000001E-4</v>
      </c>
      <c r="K35" s="77">
        <f t="shared" si="10"/>
        <v>3.3E-3</v>
      </c>
      <c r="L35" s="77">
        <f t="shared" si="10"/>
        <v>1.32E-2</v>
      </c>
      <c r="M35" s="77">
        <f t="shared" si="10"/>
        <v>2.4948000000000001E-2</v>
      </c>
      <c r="N35" s="77">
        <f t="shared" si="10"/>
        <v>0</v>
      </c>
      <c r="O35" s="77">
        <f t="shared" si="10"/>
        <v>0</v>
      </c>
      <c r="P35" s="77">
        <f t="shared" si="10"/>
        <v>16.367999999999999</v>
      </c>
      <c r="Q35" s="77">
        <f t="shared" si="11"/>
        <v>29.04</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66</v>
      </c>
      <c r="C36" s="77">
        <f t="shared" si="6"/>
        <v>85.8</v>
      </c>
      <c r="D36" s="77">
        <f t="shared" si="7"/>
        <v>63.052901999999996</v>
      </c>
      <c r="E36" s="77">
        <f t="shared" si="8"/>
        <v>12.486210000000002</v>
      </c>
      <c r="F36" s="77">
        <f t="shared" si="9"/>
        <v>17.070767999999997</v>
      </c>
      <c r="G36" s="77">
        <f t="shared" si="10"/>
        <v>4.0854000000000001E-2</v>
      </c>
      <c r="H36" s="77">
        <f t="shared" si="10"/>
        <v>0.17688000000000001</v>
      </c>
      <c r="I36" s="77">
        <f t="shared" si="10"/>
        <v>3.3000000000000002E-2</v>
      </c>
      <c r="J36" s="77">
        <f t="shared" si="10"/>
        <v>6.600000000000001E-4</v>
      </c>
      <c r="K36" s="77">
        <f t="shared" si="10"/>
        <v>3.3E-3</v>
      </c>
      <c r="L36" s="77">
        <f t="shared" si="10"/>
        <v>1.32E-2</v>
      </c>
      <c r="M36" s="77">
        <f t="shared" si="10"/>
        <v>2.4948000000000001E-2</v>
      </c>
      <c r="N36" s="77">
        <f t="shared" si="10"/>
        <v>0</v>
      </c>
      <c r="O36" s="77">
        <f t="shared" si="10"/>
        <v>0</v>
      </c>
      <c r="P36" s="77">
        <f t="shared" si="10"/>
        <v>16.367999999999999</v>
      </c>
      <c r="Q36" s="77">
        <f t="shared" si="11"/>
        <v>29.04</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66</v>
      </c>
      <c r="C37" s="77">
        <f t="shared" si="6"/>
        <v>85.8</v>
      </c>
      <c r="D37" s="77">
        <f t="shared" si="7"/>
        <v>63.052901999999996</v>
      </c>
      <c r="E37" s="77">
        <f t="shared" si="8"/>
        <v>12.486210000000002</v>
      </c>
      <c r="F37" s="77">
        <f t="shared" si="9"/>
        <v>17.070767999999997</v>
      </c>
      <c r="G37" s="77">
        <f t="shared" si="10"/>
        <v>4.0854000000000001E-2</v>
      </c>
      <c r="H37" s="77">
        <f t="shared" si="10"/>
        <v>0.17688000000000001</v>
      </c>
      <c r="I37" s="77">
        <f t="shared" si="10"/>
        <v>3.3000000000000002E-2</v>
      </c>
      <c r="J37" s="77">
        <f t="shared" si="10"/>
        <v>6.600000000000001E-4</v>
      </c>
      <c r="K37" s="77">
        <f t="shared" si="10"/>
        <v>3.3E-3</v>
      </c>
      <c r="L37" s="77">
        <f t="shared" si="10"/>
        <v>1.32E-2</v>
      </c>
      <c r="M37" s="77">
        <f t="shared" si="10"/>
        <v>2.4948000000000001E-2</v>
      </c>
      <c r="N37" s="77">
        <f t="shared" si="10"/>
        <v>0</v>
      </c>
      <c r="O37" s="77">
        <f t="shared" si="10"/>
        <v>0</v>
      </c>
      <c r="P37" s="77">
        <f t="shared" si="10"/>
        <v>16.367999999999999</v>
      </c>
      <c r="Q37" s="77">
        <f t="shared" si="11"/>
        <v>29.04</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8</v>
      </c>
      <c r="B38" s="15">
        <v>66</v>
      </c>
      <c r="C38" s="77">
        <f t="shared" si="6"/>
        <v>85.8</v>
      </c>
      <c r="D38" s="77">
        <f t="shared" si="7"/>
        <v>63.052901999999996</v>
      </c>
      <c r="E38" s="77">
        <f t="shared" si="8"/>
        <v>12.486210000000002</v>
      </c>
      <c r="F38" s="77">
        <f t="shared" si="9"/>
        <v>17.070767999999997</v>
      </c>
      <c r="G38" s="77">
        <f t="shared" si="10"/>
        <v>4.0854000000000001E-2</v>
      </c>
      <c r="H38" s="77">
        <f t="shared" si="10"/>
        <v>0.17688000000000001</v>
      </c>
      <c r="I38" s="77">
        <f t="shared" si="10"/>
        <v>3.3000000000000002E-2</v>
      </c>
      <c r="J38" s="77">
        <f t="shared" si="10"/>
        <v>6.600000000000001E-4</v>
      </c>
      <c r="K38" s="77">
        <f t="shared" si="10"/>
        <v>3.3E-3</v>
      </c>
      <c r="L38" s="77">
        <f t="shared" si="10"/>
        <v>1.32E-2</v>
      </c>
      <c r="M38" s="77">
        <f t="shared" si="10"/>
        <v>2.4948000000000001E-2</v>
      </c>
      <c r="N38" s="77">
        <f t="shared" si="10"/>
        <v>0</v>
      </c>
      <c r="O38" s="77">
        <f t="shared" si="10"/>
        <v>0</v>
      </c>
      <c r="P38" s="77">
        <f t="shared" si="10"/>
        <v>16.367999999999999</v>
      </c>
      <c r="Q38" s="77">
        <f t="shared" si="11"/>
        <v>29.04</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9</v>
      </c>
      <c r="B39" s="15">
        <v>66</v>
      </c>
      <c r="C39" s="77">
        <f t="shared" si="6"/>
        <v>85.8</v>
      </c>
      <c r="D39" s="77">
        <f t="shared" si="7"/>
        <v>63.052901999999996</v>
      </c>
      <c r="E39" s="77">
        <f t="shared" si="8"/>
        <v>12.486210000000002</v>
      </c>
      <c r="F39" s="77">
        <f t="shared" si="9"/>
        <v>17.070767999999997</v>
      </c>
      <c r="G39" s="77">
        <f t="shared" si="10"/>
        <v>4.0854000000000001E-2</v>
      </c>
      <c r="H39" s="77">
        <f t="shared" si="10"/>
        <v>0.17688000000000001</v>
      </c>
      <c r="I39" s="77">
        <f t="shared" si="10"/>
        <v>3.3000000000000002E-2</v>
      </c>
      <c r="J39" s="77">
        <f t="shared" si="10"/>
        <v>6.600000000000001E-4</v>
      </c>
      <c r="K39" s="77">
        <f t="shared" si="10"/>
        <v>3.3E-3</v>
      </c>
      <c r="L39" s="77">
        <f t="shared" si="10"/>
        <v>1.32E-2</v>
      </c>
      <c r="M39" s="77">
        <f t="shared" si="10"/>
        <v>2.4948000000000001E-2</v>
      </c>
      <c r="N39" s="77">
        <f t="shared" si="10"/>
        <v>0</v>
      </c>
      <c r="O39" s="77">
        <f t="shared" si="10"/>
        <v>0</v>
      </c>
      <c r="P39" s="77">
        <f t="shared" si="10"/>
        <v>16.367999999999999</v>
      </c>
      <c r="Q39" s="77">
        <f t="shared" si="11"/>
        <v>29.04</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10</v>
      </c>
      <c r="B40" s="15">
        <v>66</v>
      </c>
      <c r="C40" s="77">
        <f t="shared" si="6"/>
        <v>85.8</v>
      </c>
      <c r="D40" s="77">
        <f t="shared" si="7"/>
        <v>63.052901999999996</v>
      </c>
      <c r="E40" s="77">
        <f t="shared" si="8"/>
        <v>12.486210000000002</v>
      </c>
      <c r="F40" s="77">
        <f t="shared" si="9"/>
        <v>17.070767999999997</v>
      </c>
      <c r="G40" s="77">
        <f t="shared" si="10"/>
        <v>4.0854000000000001E-2</v>
      </c>
      <c r="H40" s="77">
        <f t="shared" si="10"/>
        <v>0.17688000000000001</v>
      </c>
      <c r="I40" s="77">
        <f t="shared" si="10"/>
        <v>3.3000000000000002E-2</v>
      </c>
      <c r="J40" s="77">
        <f t="shared" si="10"/>
        <v>6.600000000000001E-4</v>
      </c>
      <c r="K40" s="77">
        <f t="shared" si="10"/>
        <v>3.3E-3</v>
      </c>
      <c r="L40" s="77">
        <f t="shared" si="10"/>
        <v>1.32E-2</v>
      </c>
      <c r="M40" s="77">
        <f t="shared" si="10"/>
        <v>2.4948000000000001E-2</v>
      </c>
      <c r="N40" s="77">
        <f t="shared" si="10"/>
        <v>0</v>
      </c>
      <c r="O40" s="77">
        <f t="shared" si="10"/>
        <v>0</v>
      </c>
      <c r="P40" s="77">
        <f t="shared" si="10"/>
        <v>16.367999999999999</v>
      </c>
      <c r="Q40" s="77">
        <f t="shared" si="11"/>
        <v>29.04</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11</v>
      </c>
      <c r="B41" s="15">
        <v>66</v>
      </c>
      <c r="C41" s="77">
        <f t="shared" si="6"/>
        <v>85.8</v>
      </c>
      <c r="D41" s="77">
        <f t="shared" si="7"/>
        <v>63.052901999999996</v>
      </c>
      <c r="E41" s="77">
        <f t="shared" si="8"/>
        <v>12.486210000000002</v>
      </c>
      <c r="F41" s="77">
        <f t="shared" si="9"/>
        <v>17.070767999999997</v>
      </c>
      <c r="G41" s="77">
        <f t="shared" si="10"/>
        <v>4.0854000000000001E-2</v>
      </c>
      <c r="H41" s="77">
        <f t="shared" si="10"/>
        <v>0.17688000000000001</v>
      </c>
      <c r="I41" s="77">
        <f t="shared" si="10"/>
        <v>3.3000000000000002E-2</v>
      </c>
      <c r="J41" s="77">
        <f t="shared" si="10"/>
        <v>6.600000000000001E-4</v>
      </c>
      <c r="K41" s="77">
        <f t="shared" si="10"/>
        <v>3.3E-3</v>
      </c>
      <c r="L41" s="77">
        <f t="shared" si="10"/>
        <v>1.32E-2</v>
      </c>
      <c r="M41" s="77">
        <f t="shared" si="10"/>
        <v>2.4948000000000001E-2</v>
      </c>
      <c r="N41" s="77">
        <f t="shared" si="10"/>
        <v>0</v>
      </c>
      <c r="O41" s="77">
        <f t="shared" si="10"/>
        <v>0</v>
      </c>
      <c r="P41" s="77">
        <f t="shared" si="10"/>
        <v>16.367999999999999</v>
      </c>
      <c r="Q41" s="77">
        <f t="shared" si="11"/>
        <v>29.04</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12</v>
      </c>
      <c r="B42" s="15">
        <v>66</v>
      </c>
      <c r="C42" s="77">
        <f t="shared" si="6"/>
        <v>85.8</v>
      </c>
      <c r="D42" s="77">
        <f t="shared" si="7"/>
        <v>63.052901999999996</v>
      </c>
      <c r="E42" s="77">
        <f t="shared" si="8"/>
        <v>12.486210000000002</v>
      </c>
      <c r="F42" s="77">
        <f t="shared" si="9"/>
        <v>17.070767999999997</v>
      </c>
      <c r="G42" s="77">
        <f t="shared" si="10"/>
        <v>4.0854000000000001E-2</v>
      </c>
      <c r="H42" s="77">
        <f t="shared" si="10"/>
        <v>0.17688000000000001</v>
      </c>
      <c r="I42" s="77">
        <f t="shared" si="10"/>
        <v>3.3000000000000002E-2</v>
      </c>
      <c r="J42" s="77">
        <f t="shared" si="10"/>
        <v>6.600000000000001E-4</v>
      </c>
      <c r="K42" s="77">
        <f t="shared" si="10"/>
        <v>3.3E-3</v>
      </c>
      <c r="L42" s="77">
        <f t="shared" si="10"/>
        <v>1.32E-2</v>
      </c>
      <c r="M42" s="77">
        <f t="shared" si="10"/>
        <v>2.4948000000000001E-2</v>
      </c>
      <c r="N42" s="77">
        <f t="shared" si="10"/>
        <v>0</v>
      </c>
      <c r="O42" s="77">
        <f t="shared" si="10"/>
        <v>0</v>
      </c>
      <c r="P42" s="77">
        <f t="shared" si="10"/>
        <v>16.367999999999999</v>
      </c>
      <c r="Q42" s="77">
        <f t="shared" si="11"/>
        <v>29.04</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13</v>
      </c>
      <c r="B43" s="15">
        <v>66</v>
      </c>
      <c r="C43" s="77">
        <f t="shared" si="6"/>
        <v>85.8</v>
      </c>
      <c r="D43" s="77">
        <f t="shared" si="7"/>
        <v>63.052901999999996</v>
      </c>
      <c r="E43" s="77">
        <f t="shared" si="8"/>
        <v>12.486210000000002</v>
      </c>
      <c r="F43" s="77">
        <f t="shared" si="9"/>
        <v>17.070767999999997</v>
      </c>
      <c r="G43" s="77">
        <f t="shared" si="10"/>
        <v>4.0854000000000001E-2</v>
      </c>
      <c r="H43" s="77">
        <f t="shared" si="10"/>
        <v>0.17688000000000001</v>
      </c>
      <c r="I43" s="77">
        <f t="shared" si="10"/>
        <v>3.3000000000000002E-2</v>
      </c>
      <c r="J43" s="77">
        <f t="shared" si="10"/>
        <v>6.600000000000001E-4</v>
      </c>
      <c r="K43" s="77">
        <f t="shared" si="10"/>
        <v>3.3E-3</v>
      </c>
      <c r="L43" s="77">
        <f t="shared" si="10"/>
        <v>1.32E-2</v>
      </c>
      <c r="M43" s="77">
        <f t="shared" si="10"/>
        <v>2.4948000000000001E-2</v>
      </c>
      <c r="N43" s="77">
        <f t="shared" si="10"/>
        <v>0</v>
      </c>
      <c r="O43" s="77">
        <f t="shared" si="10"/>
        <v>0</v>
      </c>
      <c r="P43" s="77">
        <f t="shared" si="10"/>
        <v>16.367999999999999</v>
      </c>
      <c r="Q43" s="77">
        <f t="shared" si="11"/>
        <v>29.04</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14</v>
      </c>
      <c r="B44" s="15">
        <v>66</v>
      </c>
      <c r="C44" s="77">
        <f t="shared" si="6"/>
        <v>85.8</v>
      </c>
      <c r="D44" s="77">
        <f t="shared" si="7"/>
        <v>63.052901999999996</v>
      </c>
      <c r="E44" s="77">
        <f t="shared" si="8"/>
        <v>12.486210000000002</v>
      </c>
      <c r="F44" s="77">
        <f t="shared" si="9"/>
        <v>17.070767999999997</v>
      </c>
      <c r="G44" s="77">
        <f t="shared" si="10"/>
        <v>4.0854000000000001E-2</v>
      </c>
      <c r="H44" s="77">
        <f t="shared" si="10"/>
        <v>0.17688000000000001</v>
      </c>
      <c r="I44" s="77">
        <f t="shared" si="10"/>
        <v>3.3000000000000002E-2</v>
      </c>
      <c r="J44" s="77">
        <f t="shared" si="10"/>
        <v>6.600000000000001E-4</v>
      </c>
      <c r="K44" s="77">
        <f t="shared" si="10"/>
        <v>3.3E-3</v>
      </c>
      <c r="L44" s="77">
        <f t="shared" si="10"/>
        <v>1.32E-2</v>
      </c>
      <c r="M44" s="77">
        <f t="shared" si="10"/>
        <v>2.4948000000000001E-2</v>
      </c>
      <c r="N44" s="77">
        <f t="shared" si="10"/>
        <v>0</v>
      </c>
      <c r="O44" s="77">
        <f t="shared" si="10"/>
        <v>0</v>
      </c>
      <c r="P44" s="77">
        <f t="shared" si="10"/>
        <v>16.367999999999999</v>
      </c>
      <c r="Q44" s="77">
        <f t="shared" si="11"/>
        <v>29.04</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16</v>
      </c>
      <c r="B45" s="15">
        <v>66</v>
      </c>
      <c r="C45" s="77">
        <f t="shared" si="6"/>
        <v>85.8</v>
      </c>
      <c r="D45" s="77">
        <f t="shared" si="7"/>
        <v>63.052901999999996</v>
      </c>
      <c r="E45" s="77">
        <f t="shared" si="8"/>
        <v>12.486210000000002</v>
      </c>
      <c r="F45" s="77">
        <f t="shared" si="9"/>
        <v>17.070767999999997</v>
      </c>
      <c r="G45" s="77">
        <f t="shared" si="10"/>
        <v>4.0854000000000001E-2</v>
      </c>
      <c r="H45" s="77">
        <f t="shared" si="10"/>
        <v>0.17688000000000001</v>
      </c>
      <c r="I45" s="77">
        <f t="shared" si="10"/>
        <v>3.3000000000000002E-2</v>
      </c>
      <c r="J45" s="77">
        <f t="shared" si="10"/>
        <v>6.600000000000001E-4</v>
      </c>
      <c r="K45" s="77">
        <f t="shared" si="10"/>
        <v>3.3E-3</v>
      </c>
      <c r="L45" s="77">
        <f t="shared" si="10"/>
        <v>1.32E-2</v>
      </c>
      <c r="M45" s="77">
        <f t="shared" si="10"/>
        <v>2.4948000000000001E-2</v>
      </c>
      <c r="N45" s="77">
        <f t="shared" si="10"/>
        <v>0</v>
      </c>
      <c r="O45" s="77">
        <f t="shared" si="10"/>
        <v>0</v>
      </c>
      <c r="P45" s="77">
        <f t="shared" si="10"/>
        <v>16.367999999999999</v>
      </c>
      <c r="Q45" s="77">
        <f t="shared" si="11"/>
        <v>29.04</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17</v>
      </c>
      <c r="B46" s="15">
        <v>66</v>
      </c>
      <c r="C46" s="77">
        <f t="shared" si="6"/>
        <v>85.8</v>
      </c>
      <c r="D46" s="77">
        <f t="shared" si="7"/>
        <v>63.052901999999996</v>
      </c>
      <c r="E46" s="77">
        <f t="shared" si="8"/>
        <v>12.486210000000002</v>
      </c>
      <c r="F46" s="77">
        <f t="shared" si="9"/>
        <v>17.070767999999997</v>
      </c>
      <c r="G46" s="77">
        <f t="shared" si="10"/>
        <v>4.0854000000000001E-2</v>
      </c>
      <c r="H46" s="77">
        <f t="shared" si="10"/>
        <v>0.17688000000000001</v>
      </c>
      <c r="I46" s="77">
        <f t="shared" si="10"/>
        <v>3.3000000000000002E-2</v>
      </c>
      <c r="J46" s="77">
        <f t="shared" si="10"/>
        <v>6.600000000000001E-4</v>
      </c>
      <c r="K46" s="77">
        <f t="shared" si="10"/>
        <v>3.3E-3</v>
      </c>
      <c r="L46" s="77">
        <f t="shared" si="10"/>
        <v>1.32E-2</v>
      </c>
      <c r="M46" s="77">
        <f t="shared" si="10"/>
        <v>2.4948000000000001E-2</v>
      </c>
      <c r="N46" s="77">
        <f t="shared" si="10"/>
        <v>0</v>
      </c>
      <c r="O46" s="77">
        <f t="shared" si="10"/>
        <v>0</v>
      </c>
      <c r="P46" s="77">
        <f t="shared" si="10"/>
        <v>16.367999999999999</v>
      </c>
      <c r="Q46" s="77">
        <f t="shared" si="11"/>
        <v>29.04</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18</v>
      </c>
      <c r="B47" s="15">
        <v>66</v>
      </c>
      <c r="C47" s="77">
        <f t="shared" si="6"/>
        <v>85.8</v>
      </c>
      <c r="D47" s="77">
        <f t="shared" si="7"/>
        <v>63.052901999999996</v>
      </c>
      <c r="E47" s="77">
        <f t="shared" si="8"/>
        <v>12.486210000000002</v>
      </c>
      <c r="F47" s="77">
        <f t="shared" si="9"/>
        <v>17.070767999999997</v>
      </c>
      <c r="G47" s="77">
        <f t="shared" si="10"/>
        <v>4.0854000000000001E-2</v>
      </c>
      <c r="H47" s="77">
        <f t="shared" si="10"/>
        <v>0.17688000000000001</v>
      </c>
      <c r="I47" s="77">
        <f t="shared" si="10"/>
        <v>3.3000000000000002E-2</v>
      </c>
      <c r="J47" s="77">
        <f t="shared" si="10"/>
        <v>6.600000000000001E-4</v>
      </c>
      <c r="K47" s="77">
        <f t="shared" si="10"/>
        <v>3.3E-3</v>
      </c>
      <c r="L47" s="77">
        <f t="shared" si="10"/>
        <v>1.32E-2</v>
      </c>
      <c r="M47" s="77">
        <f t="shared" si="10"/>
        <v>2.4948000000000001E-2</v>
      </c>
      <c r="N47" s="77">
        <f t="shared" si="10"/>
        <v>0</v>
      </c>
      <c r="O47" s="77">
        <f t="shared" si="10"/>
        <v>0</v>
      </c>
      <c r="P47" s="77">
        <f t="shared" si="10"/>
        <v>16.367999999999999</v>
      </c>
      <c r="Q47" s="77">
        <f t="shared" si="11"/>
        <v>29.04</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19</v>
      </c>
      <c r="B48" s="15">
        <v>66</v>
      </c>
      <c r="C48" s="77">
        <f t="shared" si="6"/>
        <v>85.8</v>
      </c>
      <c r="D48" s="77">
        <f t="shared" si="7"/>
        <v>63.052901999999996</v>
      </c>
      <c r="E48" s="77">
        <f t="shared" si="8"/>
        <v>12.486210000000002</v>
      </c>
      <c r="F48" s="77">
        <f t="shared" si="9"/>
        <v>17.070767999999997</v>
      </c>
      <c r="G48" s="77">
        <f t="shared" si="10"/>
        <v>4.0854000000000001E-2</v>
      </c>
      <c r="H48" s="77">
        <f t="shared" si="10"/>
        <v>0.17688000000000001</v>
      </c>
      <c r="I48" s="77">
        <f t="shared" si="10"/>
        <v>3.3000000000000002E-2</v>
      </c>
      <c r="J48" s="77">
        <f t="shared" si="10"/>
        <v>6.600000000000001E-4</v>
      </c>
      <c r="K48" s="77">
        <f t="shared" si="10"/>
        <v>3.3E-3</v>
      </c>
      <c r="L48" s="77">
        <f t="shared" si="10"/>
        <v>1.32E-2</v>
      </c>
      <c r="M48" s="77">
        <f t="shared" si="10"/>
        <v>2.4948000000000001E-2</v>
      </c>
      <c r="N48" s="77">
        <f t="shared" si="10"/>
        <v>0</v>
      </c>
      <c r="O48" s="77">
        <f t="shared" si="10"/>
        <v>0</v>
      </c>
      <c r="P48" s="77">
        <f t="shared" si="10"/>
        <v>16.367999999999999</v>
      </c>
      <c r="Q48" s="77">
        <f t="shared" si="11"/>
        <v>29.04</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"&amp;(VLOOKUP(C14,Table24[],6,FALSE))</f>
        <v>Sandy Loam I Grass</v>
      </c>
      <c r="C58" s="13" t="str">
        <f>D16&amp;" I "&amp;(VLOOKUP(D14,Table24[],6,FALSE))</f>
        <v>Sandy Loam I Grass</v>
      </c>
      <c r="D58" s="13" t="str">
        <f>E16&amp;" I "&amp;(VLOOKUP(E14,Table24[],6,FALSE))</f>
        <v>Sandy Loam I Grass</v>
      </c>
      <c r="E58" s="13" t="str">
        <f>F16&amp;" I "&amp;(VLOOKUP(F14,Table24[],6,FALSE))</f>
        <v>Sandy Loam I Grass</v>
      </c>
      <c r="F58" s="13" t="str">
        <f>G16&amp;" I "&amp;(VLOOKUP(G14,Table24[],6,FALSE))</f>
        <v>Sandy Loam I Grass</v>
      </c>
      <c r="G58" s="13" t="str">
        <f>H16&amp;" I "&amp;(VLOOKUP(H14,Table24[],6,FALSE))</f>
        <v>Sandy Loam I Grass</v>
      </c>
      <c r="H58" s="13" t="str">
        <f>I16&amp;" I "&amp;(VLOOKUP(I14,Table24[],6,FALSE))</f>
        <v>Sandy Loam I Grass</v>
      </c>
      <c r="I58" s="13" t="str">
        <f>J16&amp;" I "&amp;(VLOOKUP(J14,Table24[],6,FALSE))</f>
        <v>Sandy Loam I Grass</v>
      </c>
      <c r="J58" s="13" t="str">
        <f>K16&amp;" I "&amp;(VLOOKUP(K14,Table24[],6,FALSE))</f>
        <v>Sandy Loam I Grass</v>
      </c>
      <c r="K58" s="13" t="str">
        <f>L16&amp;" I "&amp;(VLOOKUP(L14,Table24[],6,FALSE))</f>
        <v>Sandy Loam I Grass</v>
      </c>
      <c r="L58" s="13" t="str">
        <f>M16&amp;" I "&amp;(VLOOKUP(M14,Table24[],6,FALSE))</f>
        <v>Sandy Loam I Grass</v>
      </c>
      <c r="M58" s="13" t="str">
        <f>N16&amp;" I "&amp;(VLOOKUP(N14,Table24[],6,FALSE))</f>
        <v>Sandy Loam I Grass</v>
      </c>
      <c r="N58" s="13" t="str">
        <f>O16&amp;" I "&amp;(VLOOKUP(O14,Table24[],6,FALSE))</f>
        <v>Sandy Loam I Grass</v>
      </c>
      <c r="O58" s="13" t="str">
        <f>P16&amp;" I "&amp;(VLOOKUP(P14,Table24[],6,FALSE))</f>
        <v>Sandy Loam I Grass</v>
      </c>
      <c r="P58" s="13" t="str">
        <f>Q16&amp;" I "&amp;(VLOOKUP(Q14,Table24[],6,FALSE))</f>
        <v>Sandy Loam I Grass</v>
      </c>
      <c r="Q58" s="13" t="str">
        <f>R16&amp;" I "&amp;(VLOOKUP(R14,Table24[],6,FALSE))</f>
        <v>Sandy Loam I Grass</v>
      </c>
      <c r="R58" s="13" t="str">
        <f>S16&amp;" I "&amp;(VLOOKUP(S14,Table24[],6,FALSE))</f>
        <v>Sandy Loam I Grass</v>
      </c>
      <c r="S58" s="13" t="str">
        <f>T16&amp;" I "&amp;(VLOOKUP(T14,Table24[],6,FALSE))</f>
        <v>Sandy Loam I Grass</v>
      </c>
      <c r="T58" s="13" t="str">
        <f>U16&amp;" I "&amp;(VLOOKUP(U14,Table24[],6,FALSE))</f>
        <v>Sandy Loam I Grass</v>
      </c>
      <c r="U58" s="13" t="str">
        <f>V16&amp;" I "&amp;(VLOOKUP(V14,Table24[],6,FALSE))</f>
        <v>Sandy Loam I Grass</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f>VLOOKUP(J$14,Table24[],5,FALSE)</f>
        <v>6.2</v>
      </c>
      <c r="J59" s="76">
        <f>VLOOKUP(K$14,Table24[],5,FALSE)</f>
        <v>6.2</v>
      </c>
      <c r="K59" s="76">
        <f>VLOOKUP(L$14,Table24[],5,FALSE)</f>
        <v>6.2</v>
      </c>
      <c r="L59" s="76">
        <f>VLOOKUP(M$14,Table24[],5,FALSE)</f>
        <v>6.2</v>
      </c>
      <c r="M59" s="76">
        <f>VLOOKUP(N$14,Table24[],5,FALSE)</f>
        <v>6.2</v>
      </c>
      <c r="N59" s="76">
        <f>VLOOKUP(O$14,Table24[],5,FALSE)</f>
        <v>6.2</v>
      </c>
      <c r="O59" s="76">
        <f>VLOOKUP(P$14,Table24[],5,FALSE)</f>
        <v>6.2</v>
      </c>
      <c r="P59" s="76">
        <f>VLOOKUP(Q$14,Table24[],5,FALSE)</f>
        <v>6.2</v>
      </c>
      <c r="Q59" s="76">
        <f>VLOOKUP(R$14,Table24[],5,FALSE)</f>
        <v>6.2</v>
      </c>
      <c r="R59" s="76">
        <f>VLOOKUP(S$14,Table24[],5,FALSE)</f>
        <v>6.2</v>
      </c>
      <c r="S59" s="76">
        <f>VLOOKUP(T$14,Table24[],5,FALSE)</f>
        <v>6.2</v>
      </c>
      <c r="T59" s="76">
        <f>VLOOKUP(U$14,Table24[],5,FALSE)</f>
        <v>6.2</v>
      </c>
      <c r="U59" s="76">
        <f>VLOOKUP(V$14,Table24[],5,FALSE)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66</v>
      </c>
      <c r="C62" s="77">
        <f>B32</f>
        <v>66</v>
      </c>
      <c r="D62" s="77">
        <f>B33</f>
        <v>66</v>
      </c>
      <c r="E62" s="77">
        <f>B34</f>
        <v>66</v>
      </c>
      <c r="F62" s="77">
        <f>B35</f>
        <v>66</v>
      </c>
      <c r="G62" s="77">
        <f>B36</f>
        <v>66</v>
      </c>
      <c r="H62" s="77">
        <f>B37</f>
        <v>66</v>
      </c>
      <c r="I62" s="77">
        <f>B38</f>
        <v>66</v>
      </c>
      <c r="J62" s="77">
        <f>B39</f>
        <v>66</v>
      </c>
      <c r="K62" s="77">
        <f>B40</f>
        <v>66</v>
      </c>
      <c r="L62" s="77">
        <f>B41</f>
        <v>66</v>
      </c>
      <c r="M62" s="77">
        <f>B42</f>
        <v>66</v>
      </c>
      <c r="N62" s="77">
        <f>B43</f>
        <v>66</v>
      </c>
      <c r="O62" s="77">
        <f>B44</f>
        <v>66</v>
      </c>
      <c r="P62" s="77">
        <f>B45</f>
        <v>66</v>
      </c>
      <c r="Q62" s="77">
        <f>B46</f>
        <v>66</v>
      </c>
      <c r="R62" s="77">
        <f>B47</f>
        <v>66</v>
      </c>
      <c r="S62" s="77">
        <f>B48</f>
        <v>66</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NTkWD5haagd9YWB5vytpvACwMXYHWrLnDsXapNy1zaX2Zzd3TfxZMiIdaEguAAPPlCQsAigfMSqHw85NqpDgKQ==" saltValue="C8/wxB6LErWWhrUTuWhjPQ==" spinCount="100000" sheet="1" objects="1" scenarios="1"/>
  <dataConsolidate/>
  <mergeCells count="39">
    <mergeCell ref="J1:K1"/>
    <mergeCell ref="J2:K2"/>
    <mergeCell ref="J3:K3"/>
    <mergeCell ref="J4:K4"/>
    <mergeCell ref="J5:K5"/>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419" priority="43" operator="equal">
      <formula>"DECREASE"</formula>
    </cfRule>
    <cfRule type="cellIs" dxfId="418" priority="44" operator="equal">
      <formula>"INCREASE"</formula>
    </cfRule>
  </conditionalFormatting>
  <conditionalFormatting sqref="B31:B50 B62:U66">
    <cfRule type="cellIs" dxfId="417" priority="42" operator="greaterThan">
      <formula>$B$51</formula>
    </cfRule>
  </conditionalFormatting>
  <conditionalFormatting sqref="C31:C50">
    <cfRule type="cellIs" dxfId="416" priority="41" operator="greaterThan">
      <formula>$C$51</formula>
    </cfRule>
  </conditionalFormatting>
  <conditionalFormatting sqref="C18:V18">
    <cfRule type="cellIs" dxfId="415" priority="37" operator="equal">
      <formula>0</formula>
    </cfRule>
  </conditionalFormatting>
  <conditionalFormatting sqref="C17:V17">
    <cfRule type="cellIs" dxfId="414" priority="35" operator="equal">
      <formula>0</formula>
    </cfRule>
  </conditionalFormatting>
  <conditionalFormatting sqref="C19:V19">
    <cfRule type="cellIs" dxfId="413" priority="34" operator="equal">
      <formula>0</formula>
    </cfRule>
  </conditionalFormatting>
  <conditionalFormatting sqref="G31:G50">
    <cfRule type="cellIs" dxfId="412" priority="31" operator="greaterThan">
      <formula>$G$51</formula>
    </cfRule>
  </conditionalFormatting>
  <conditionalFormatting sqref="H31:H50">
    <cfRule type="cellIs" dxfId="411" priority="30" operator="greaterThan">
      <formula>$H$51</formula>
    </cfRule>
  </conditionalFormatting>
  <conditionalFormatting sqref="I31:I50">
    <cfRule type="cellIs" dxfId="410" priority="29" operator="greaterThan">
      <formula>$I$51</formula>
    </cfRule>
  </conditionalFormatting>
  <conditionalFormatting sqref="K31:K50">
    <cfRule type="cellIs" dxfId="409" priority="27" operator="greaterThan">
      <formula>$K$51</formula>
    </cfRule>
  </conditionalFormatting>
  <conditionalFormatting sqref="L31:L50">
    <cfRule type="cellIs" dxfId="408" priority="26" operator="greaterThan">
      <formula>$L$51</formula>
    </cfRule>
  </conditionalFormatting>
  <conditionalFormatting sqref="M31:M50">
    <cfRule type="cellIs" dxfId="407" priority="25" operator="greaterThan">
      <formula>$M$51</formula>
    </cfRule>
  </conditionalFormatting>
  <conditionalFormatting sqref="P31:P50">
    <cfRule type="cellIs" dxfId="406" priority="24" operator="greaterThan">
      <formula>$P$51</formula>
    </cfRule>
  </conditionalFormatting>
  <conditionalFormatting sqref="R31:R50">
    <cfRule type="cellIs" dxfId="405" priority="23" operator="greaterThan">
      <formula>$R$51</formula>
    </cfRule>
  </conditionalFormatting>
  <conditionalFormatting sqref="S31:S50">
    <cfRule type="cellIs" dxfId="404" priority="22" operator="greaterThan">
      <formula>$S$51</formula>
    </cfRule>
  </conditionalFormatting>
  <conditionalFormatting sqref="T31:T50">
    <cfRule type="cellIs" dxfId="403" priority="21" operator="greaterThan">
      <formula>$T$51</formula>
    </cfRule>
  </conditionalFormatting>
  <conditionalFormatting sqref="U31:U50">
    <cfRule type="cellIs" dxfId="402" priority="20" operator="greaterThan">
      <formula>$U$51</formula>
    </cfRule>
  </conditionalFormatting>
  <conditionalFormatting sqref="C22:V22">
    <cfRule type="cellIs" dxfId="401" priority="18" operator="equal">
      <formula>0</formula>
    </cfRule>
  </conditionalFormatting>
  <conditionalFormatting sqref="C24:V24">
    <cfRule type="cellIs" dxfId="400" priority="16" operator="equal">
      <formula>"DECREASE"</formula>
    </cfRule>
    <cfRule type="cellIs" dxfId="399" priority="17" operator="equal">
      <formula>"INCREASE"</formula>
    </cfRule>
  </conditionalFormatting>
  <conditionalFormatting sqref="C23:V23">
    <cfRule type="cellIs" dxfId="398" priority="15" operator="equal">
      <formula>0</formula>
    </cfRule>
  </conditionalFormatting>
  <conditionalFormatting sqref="I1">
    <cfRule type="cellIs" dxfId="397" priority="11" operator="between">
      <formula>0.1</formula>
      <formula>5</formula>
    </cfRule>
  </conditionalFormatting>
  <conditionalFormatting sqref="I2">
    <cfRule type="cellIs" dxfId="396" priority="10" operator="greaterThan">
      <formula>5000.1</formula>
    </cfRule>
  </conditionalFormatting>
  <conditionalFormatting sqref="I3">
    <cfRule type="cellIs" dxfId="395" priority="9" operator="greaterThan">
      <formula>40000.01</formula>
    </cfRule>
  </conditionalFormatting>
  <conditionalFormatting sqref="C21:V21">
    <cfRule type="cellIs" dxfId="394" priority="8" operator="equal">
      <formula>0</formula>
    </cfRule>
  </conditionalFormatting>
  <conditionalFormatting sqref="B66:U66">
    <cfRule type="cellIs" dxfId="393" priority="4" operator="equal">
      <formula>"UNDER"</formula>
    </cfRule>
    <cfRule type="cellIs" dxfId="392" priority="5" operator="equal">
      <formula>"OVER"</formula>
    </cfRule>
  </conditionalFormatting>
  <conditionalFormatting sqref="J31:J50">
    <cfRule type="cellIs" dxfId="391" priority="3" operator="greaterThan">
      <formula>$J$51</formula>
    </cfRule>
  </conditionalFormatting>
  <conditionalFormatting sqref="L3">
    <cfRule type="cellIs" dxfId="390" priority="1" operator="lessThan">
      <formula>30</formula>
    </cfRule>
    <cfRule type="cellIs" dxfId="389"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S28" sqref="S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10.5</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166</v>
      </c>
      <c r="G2" s="125" t="s">
        <v>110</v>
      </c>
      <c r="H2" s="126"/>
      <c r="I2" s="118">
        <v>382</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640</v>
      </c>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169</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12.921239999999999</v>
      </c>
      <c r="D18" s="16">
        <f>$D32</f>
        <v>12.921239999999999</v>
      </c>
      <c r="E18" s="16">
        <f>$D33</f>
        <v>12.921239999999999</v>
      </c>
      <c r="F18" s="16">
        <f>$D34</f>
        <v>12.921239999999999</v>
      </c>
      <c r="G18" s="16">
        <f>$D35</f>
        <v>12.921239999999999</v>
      </c>
      <c r="H18" s="16">
        <f>$D36</f>
        <v>12.921239999999999</v>
      </c>
      <c r="I18" s="16">
        <f>$D37</f>
        <v>12.921239999999999</v>
      </c>
      <c r="J18" s="16">
        <f>$D38</f>
        <v>12.921239999999999</v>
      </c>
      <c r="K18" s="16">
        <f>$D39</f>
        <v>12.921239999999999</v>
      </c>
      <c r="L18" s="16">
        <f>$D40</f>
        <v>12.921239999999999</v>
      </c>
      <c r="M18" s="16">
        <f>$D41</f>
        <v>12.921239999999999</v>
      </c>
      <c r="N18" s="16">
        <f>$D42</f>
        <v>12.921239999999999</v>
      </c>
      <c r="O18" s="16">
        <f>$D43</f>
        <v>12.921239999999999</v>
      </c>
      <c r="P18" s="16">
        <f>$D44</f>
        <v>12.921239999999999</v>
      </c>
      <c r="Q18" s="16">
        <f>$D45</f>
        <v>12.921239999999999</v>
      </c>
      <c r="R18" s="16">
        <f>$D46</f>
        <v>12.921239999999999</v>
      </c>
      <c r="S18" s="16">
        <f>$D47</f>
        <v>12.921239999999999</v>
      </c>
      <c r="T18" s="16">
        <f>$D48</f>
        <v>12.921239999999999</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-51.678759999999997</v>
      </c>
      <c r="D19" s="16">
        <f t="shared" ref="D19:V19" si="1">D18-D17</f>
        <v>-51.678759999999997</v>
      </c>
      <c r="E19" s="16">
        <f t="shared" si="1"/>
        <v>-51.678759999999997</v>
      </c>
      <c r="F19" s="16">
        <f t="shared" si="1"/>
        <v>-51.678759999999997</v>
      </c>
      <c r="G19" s="16">
        <f t="shared" si="1"/>
        <v>-51.678759999999997</v>
      </c>
      <c r="H19" s="16">
        <f t="shared" si="1"/>
        <v>-51.678759999999997</v>
      </c>
      <c r="I19" s="16">
        <f t="shared" si="1"/>
        <v>-51.678759999999997</v>
      </c>
      <c r="J19" s="16">
        <f t="shared" si="1"/>
        <v>-51.678759999999997</v>
      </c>
      <c r="K19" s="16">
        <f t="shared" si="1"/>
        <v>-51.678759999999997</v>
      </c>
      <c r="L19" s="16">
        <f t="shared" si="1"/>
        <v>-51.678759999999997</v>
      </c>
      <c r="M19" s="16">
        <f t="shared" si="1"/>
        <v>-51.678759999999997</v>
      </c>
      <c r="N19" s="16">
        <f t="shared" si="1"/>
        <v>-51.678759999999997</v>
      </c>
      <c r="O19" s="16">
        <f t="shared" si="1"/>
        <v>-51.678759999999997</v>
      </c>
      <c r="P19" s="16">
        <f t="shared" si="1"/>
        <v>-51.678759999999997</v>
      </c>
      <c r="Q19" s="16">
        <f t="shared" si="1"/>
        <v>-51.678759999999997</v>
      </c>
      <c r="R19" s="16">
        <f t="shared" si="1"/>
        <v>-51.678759999999997</v>
      </c>
      <c r="S19" s="16">
        <f t="shared" si="1"/>
        <v>-51.678759999999997</v>
      </c>
      <c r="T19" s="16">
        <f t="shared" si="1"/>
        <v>-51.678759999999997</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6.8925999999999998</v>
      </c>
      <c r="D22" s="16">
        <f>$E32</f>
        <v>6.8925999999999998</v>
      </c>
      <c r="E22" s="16">
        <f>$E33</f>
        <v>6.8925999999999998</v>
      </c>
      <c r="F22" s="16">
        <f>$E34</f>
        <v>6.8925999999999998</v>
      </c>
      <c r="G22" s="16">
        <f>$E35</f>
        <v>6.8925999999999998</v>
      </c>
      <c r="H22" s="16">
        <f>$E36</f>
        <v>6.8925999999999998</v>
      </c>
      <c r="I22" s="16">
        <f>$E37</f>
        <v>6.8925999999999998</v>
      </c>
      <c r="J22" s="16">
        <f>$E38</f>
        <v>6.8925999999999998</v>
      </c>
      <c r="K22" s="16">
        <f>$E39</f>
        <v>6.8925999999999998</v>
      </c>
      <c r="L22" s="16">
        <f>$E40</f>
        <v>6.8925999999999998</v>
      </c>
      <c r="M22" s="16">
        <f>$E41</f>
        <v>6.8925999999999998</v>
      </c>
      <c r="N22" s="16">
        <f>$E42</f>
        <v>6.8925999999999998</v>
      </c>
      <c r="O22" s="16">
        <f>$E43</f>
        <v>6.8925999999999998</v>
      </c>
      <c r="P22" s="16">
        <f>$E44</f>
        <v>6.8925999999999998</v>
      </c>
      <c r="Q22" s="16">
        <f>$E45</f>
        <v>6.8925999999999998</v>
      </c>
      <c r="R22" s="16">
        <f>$E46</f>
        <v>6.8925999999999998</v>
      </c>
      <c r="S22" s="16">
        <f>$E47</f>
        <v>6.8925999999999998</v>
      </c>
      <c r="T22" s="16">
        <f>$E48</f>
        <v>6.8925999999999998</v>
      </c>
      <c r="U22" s="16">
        <f>$E49</f>
        <v>0</v>
      </c>
      <c r="V22" s="16">
        <f>$E50</f>
        <v>0</v>
      </c>
      <c r="AI22" s="63" t="s">
        <v>102</v>
      </c>
      <c r="AJ22" s="64">
        <v>1.2</v>
      </c>
      <c r="AK22" s="65">
        <v>5</v>
      </c>
      <c r="AL22" s="29">
        <v>20</v>
      </c>
      <c r="AM22" s="11">
        <v>6.7</v>
      </c>
      <c r="AN22" s="11" t="s">
        <v>135</v>
      </c>
    </row>
    <row r="23" spans="1:40" ht="13" x14ac:dyDescent="0.25">
      <c r="A23" s="131" t="s">
        <v>92</v>
      </c>
      <c r="B23" s="132"/>
      <c r="C23" s="16">
        <f>C22-C21</f>
        <v>-221.10740000000001</v>
      </c>
      <c r="D23" s="16">
        <f t="shared" ref="D23:V23" si="3">D22-D21</f>
        <v>-221.10740000000001</v>
      </c>
      <c r="E23" s="16">
        <f t="shared" si="3"/>
        <v>-221.10740000000001</v>
      </c>
      <c r="F23" s="16">
        <f t="shared" si="3"/>
        <v>-221.10740000000001</v>
      </c>
      <c r="G23" s="16">
        <f t="shared" si="3"/>
        <v>-221.10740000000001</v>
      </c>
      <c r="H23" s="16">
        <f t="shared" si="3"/>
        <v>-221.10740000000001</v>
      </c>
      <c r="I23" s="16">
        <f t="shared" si="3"/>
        <v>-221.10740000000001</v>
      </c>
      <c r="J23" s="16">
        <f t="shared" si="3"/>
        <v>-221.10740000000001</v>
      </c>
      <c r="K23" s="16">
        <f t="shared" si="3"/>
        <v>-221.10740000000001</v>
      </c>
      <c r="L23" s="16">
        <f t="shared" si="3"/>
        <v>-221.10740000000001</v>
      </c>
      <c r="M23" s="16">
        <f t="shared" si="3"/>
        <v>-221.10740000000001</v>
      </c>
      <c r="N23" s="16">
        <f t="shared" si="3"/>
        <v>-221.10740000000001</v>
      </c>
      <c r="O23" s="16">
        <f t="shared" si="3"/>
        <v>-221.10740000000001</v>
      </c>
      <c r="P23" s="16">
        <f t="shared" si="3"/>
        <v>-221.10740000000001</v>
      </c>
      <c r="Q23" s="16">
        <f t="shared" si="3"/>
        <v>-221.10740000000001</v>
      </c>
      <c r="R23" s="16">
        <f t="shared" si="3"/>
        <v>-221.10740000000001</v>
      </c>
      <c r="S23" s="16">
        <f t="shared" si="3"/>
        <v>-221.10740000000001</v>
      </c>
      <c r="T23" s="16">
        <f t="shared" si="3"/>
        <v>-221.10740000000001</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0.91</v>
      </c>
      <c r="C28" s="15">
        <v>0.06</v>
      </c>
      <c r="D28" s="15">
        <v>56.4</v>
      </c>
      <c r="E28" s="15">
        <v>57.2</v>
      </c>
      <c r="F28" s="15">
        <v>10</v>
      </c>
      <c r="G28" s="15">
        <v>0.2</v>
      </c>
      <c r="H28" s="15">
        <v>0.66300000000000003</v>
      </c>
      <c r="I28" s="15">
        <v>0.5</v>
      </c>
      <c r="J28" s="15">
        <v>0.01</v>
      </c>
      <c r="K28" s="23">
        <v>0.05</v>
      </c>
      <c r="L28" s="15">
        <v>0.2</v>
      </c>
      <c r="M28" s="15">
        <v>0.36899999999999999</v>
      </c>
      <c r="N28" s="15"/>
      <c r="O28" s="15"/>
      <c r="P28" s="15">
        <v>527</v>
      </c>
      <c r="Q28" s="15">
        <v>87.4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60</v>
      </c>
      <c r="D31" s="77">
        <f>(IF(D$27="%w/w SAR",((D$28*10)*$B31),IF(D$27="%w/w DM",(((D$28*10)*($B$28/100))*$B31),IF(D$27="kg/t SAR",(D$28*$B31),IF(D$27="kg/t DM",((D$28*($B$28/100))*$B31),IF(D$27="mg/kg SAR",((D$28*0.001)*$B31),IF(D$27="mg/kg DM",(((D$28*0.001)*($B$28/100))*$B31),"0")))))))*2.291</f>
        <v>12.921239999999999</v>
      </c>
      <c r="E31" s="77">
        <f>(IF(E$27="%w/w SAR",((E$28*10)*$B31),IF(E$27="%w/w DM",(((E$28*10)*($B$28/100))*$B31),IF(E$27="kg/t SAR",(E$28*$B31),IF(E$27="kg/t DM",((E$28*($B$28/100))*$B31),IF(E$27="mg/kg SAR",((E$28*0.001)*$B31),IF(E$27="mg/kg DM",(((E$28*0.001)*($B$28/100))*$B31),"0")))))))*1.205</f>
        <v>6.8925999999999998</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6.6300000000000012E-2</v>
      </c>
      <c r="I31" s="77">
        <f t="shared" si="5"/>
        <v>0.05</v>
      </c>
      <c r="J31" s="77">
        <f t="shared" si="5"/>
        <v>1E-3</v>
      </c>
      <c r="K31" s="77">
        <f t="shared" si="5"/>
        <v>5.0000000000000001E-3</v>
      </c>
      <c r="L31" s="77">
        <f t="shared" si="5"/>
        <v>0.02</v>
      </c>
      <c r="M31" s="77">
        <f t="shared" si="5"/>
        <v>3.6900000000000002E-2</v>
      </c>
      <c r="N31" s="77">
        <f t="shared" si="5"/>
        <v>0</v>
      </c>
      <c r="O31" s="77">
        <f t="shared" si="5"/>
        <v>0</v>
      </c>
      <c r="P31" s="77">
        <f t="shared" si="5"/>
        <v>52.7</v>
      </c>
      <c r="Q31" s="77">
        <f>(IF(Q$27="%w/w SAR",((Q$28*10)*$B31),IF(Q$27="%w/w DM",(((Q$28*10)*($B$28/100))*$B31),IF(Q$27="kg/t SAR",(Q$28*$B31),IF(Q$27="kg/t DM",((Q$28*($B$28/100))*$B31),IF(Q$27="mg/kg SAR",((Q$28*0.001)*$B31),IF(Q$27="mg/kg DM",(((Q$28*0.001)*($B$28/100))*$B31),0)))))))*2.5</f>
        <v>21.85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60</v>
      </c>
      <c r="D32" s="77">
        <f t="shared" ref="D32:D50" si="7">(IF(D$27="%w/w SAR",((D$28*10)*$B32),IF(D$27="%w/w DM",(((D$28*10)*($B$28/100))*$B32),IF(D$27="kg/t SAR",(D$28*$B32),IF(D$27="kg/t DM",((D$28*($B$28/100))*$B32),IF(D$27="mg/kg SAR",((D$28*0.001)*$B32),IF(D$27="mg/kg DM",(((D$28*0.001)*($B$28/100))*$B32),"0")))))))*2.291</f>
        <v>12.921239999999999</v>
      </c>
      <c r="E32" s="77">
        <f t="shared" ref="E32:E50" si="8">(IF(E$27="%w/w SAR",((E$28*10)*$B32),IF(E$27="%w/w DM",(((E$28*10)*($B$28/100))*$B32),IF(E$27="kg/t SAR",(E$28*$B32),IF(E$27="kg/t DM",((E$28*($B$28/100))*$B32),IF(E$27="mg/kg SAR",((E$28*0.001)*$B32),IF(E$27="mg/kg DM",(((E$28*0.001)*($B$28/100))*$B32),"0")))))))*1.205</f>
        <v>6.8925999999999998</v>
      </c>
      <c r="F32" s="77">
        <f t="shared" ref="F32:F50" si="9">(IF(F$27="%w/w SAR",((F$28*10)*$B32),IF(F$27="%w/w DM",(((F$28*10)*($B$28/100))*$B32),IF(F$27="kg/t SAR",(F$28*$B32),IF(F$27="kg/t DM",((F$28*($B$28/100))*$B32),IF(F$27="mg/kg SAR",((F$28*0.001)*$B32),IF(F$27="mg/kg DM",(((F$28*0.001)*($B$28/100))*$B32),"0")))))))*1.658</f>
        <v>1.6579999999999999</v>
      </c>
      <c r="G32" s="77">
        <f t="shared" si="5"/>
        <v>0.02</v>
      </c>
      <c r="H32" s="77">
        <f t="shared" si="5"/>
        <v>6.6300000000000012E-2</v>
      </c>
      <c r="I32" s="77">
        <f t="shared" si="5"/>
        <v>0.05</v>
      </c>
      <c r="J32" s="77">
        <f t="shared" si="5"/>
        <v>1E-3</v>
      </c>
      <c r="K32" s="77">
        <f t="shared" si="5"/>
        <v>5.0000000000000001E-3</v>
      </c>
      <c r="L32" s="77">
        <f t="shared" si="5"/>
        <v>0.02</v>
      </c>
      <c r="M32" s="77">
        <f t="shared" si="5"/>
        <v>3.6900000000000002E-2</v>
      </c>
      <c r="N32" s="77">
        <f t="shared" si="5"/>
        <v>0</v>
      </c>
      <c r="O32" s="77">
        <f t="shared" si="5"/>
        <v>0</v>
      </c>
      <c r="P32" s="77">
        <f t="shared" si="5"/>
        <v>52.7</v>
      </c>
      <c r="Q32" s="77">
        <f t="shared" ref="Q32:Q50" si="10">(IF(Q$27="%w/w SAR",((Q$28*10)*$B32),IF(Q$27="%w/w DM",(((Q$28*10)*($B$28/100))*$B32),IF(Q$27="kg/t SAR",(Q$28*$B32),IF(Q$27="kg/t DM",((Q$28*($B$28/100))*$B32),IF(Q$27="mg/kg SAR",((Q$28*0.001)*$B32),IF(Q$27="mg/kg DM",(((Q$28*0.001)*($B$28/100))*$B32),0)))))))*2.5</f>
        <v>21.85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60</v>
      </c>
      <c r="D33" s="77">
        <f t="shared" si="7"/>
        <v>12.921239999999999</v>
      </c>
      <c r="E33" s="77">
        <f t="shared" si="8"/>
        <v>6.8925999999999998</v>
      </c>
      <c r="F33" s="77">
        <f t="shared" si="9"/>
        <v>1.6579999999999999</v>
      </c>
      <c r="G33" s="77">
        <f t="shared" si="5"/>
        <v>0.02</v>
      </c>
      <c r="H33" s="77">
        <f t="shared" si="5"/>
        <v>6.6300000000000012E-2</v>
      </c>
      <c r="I33" s="77">
        <f t="shared" si="5"/>
        <v>0.05</v>
      </c>
      <c r="J33" s="77">
        <f t="shared" si="5"/>
        <v>1E-3</v>
      </c>
      <c r="K33" s="77">
        <f t="shared" si="5"/>
        <v>5.0000000000000001E-3</v>
      </c>
      <c r="L33" s="77">
        <f t="shared" si="5"/>
        <v>0.02</v>
      </c>
      <c r="M33" s="77">
        <f t="shared" si="5"/>
        <v>3.6900000000000002E-2</v>
      </c>
      <c r="N33" s="77">
        <f t="shared" si="5"/>
        <v>0</v>
      </c>
      <c r="O33" s="77">
        <f t="shared" si="5"/>
        <v>0</v>
      </c>
      <c r="P33" s="77">
        <f t="shared" si="5"/>
        <v>52.7</v>
      </c>
      <c r="Q33" s="77">
        <f t="shared" si="10"/>
        <v>21.85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60</v>
      </c>
      <c r="D34" s="77">
        <f t="shared" si="7"/>
        <v>12.921239999999999</v>
      </c>
      <c r="E34" s="77">
        <f t="shared" si="8"/>
        <v>6.8925999999999998</v>
      </c>
      <c r="F34" s="77">
        <f t="shared" si="9"/>
        <v>1.6579999999999999</v>
      </c>
      <c r="G34" s="77">
        <f t="shared" si="5"/>
        <v>0.02</v>
      </c>
      <c r="H34" s="77">
        <f t="shared" si="5"/>
        <v>6.6300000000000012E-2</v>
      </c>
      <c r="I34" s="77">
        <f t="shared" si="5"/>
        <v>0.05</v>
      </c>
      <c r="J34" s="77">
        <f t="shared" si="5"/>
        <v>1E-3</v>
      </c>
      <c r="K34" s="77">
        <f t="shared" si="5"/>
        <v>5.0000000000000001E-3</v>
      </c>
      <c r="L34" s="77">
        <f t="shared" si="5"/>
        <v>0.02</v>
      </c>
      <c r="M34" s="77">
        <f t="shared" si="5"/>
        <v>3.6900000000000002E-2</v>
      </c>
      <c r="N34" s="77">
        <f t="shared" si="5"/>
        <v>0</v>
      </c>
      <c r="O34" s="77">
        <f t="shared" si="5"/>
        <v>0</v>
      </c>
      <c r="P34" s="77">
        <f t="shared" si="5"/>
        <v>52.7</v>
      </c>
      <c r="Q34" s="77">
        <f t="shared" si="10"/>
        <v>21.85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60</v>
      </c>
      <c r="D35" s="77">
        <f t="shared" si="7"/>
        <v>12.921239999999999</v>
      </c>
      <c r="E35" s="77">
        <f t="shared" si="8"/>
        <v>6.8925999999999998</v>
      </c>
      <c r="F35" s="77">
        <f t="shared" si="9"/>
        <v>1.6579999999999999</v>
      </c>
      <c r="G35" s="77">
        <f t="shared" si="5"/>
        <v>0.02</v>
      </c>
      <c r="H35" s="77">
        <f t="shared" si="5"/>
        <v>6.6300000000000012E-2</v>
      </c>
      <c r="I35" s="77">
        <f t="shared" si="5"/>
        <v>0.05</v>
      </c>
      <c r="J35" s="77">
        <f t="shared" si="5"/>
        <v>1E-3</v>
      </c>
      <c r="K35" s="77">
        <f t="shared" si="5"/>
        <v>5.0000000000000001E-3</v>
      </c>
      <c r="L35" s="77">
        <f t="shared" si="5"/>
        <v>0.02</v>
      </c>
      <c r="M35" s="77">
        <f t="shared" si="5"/>
        <v>3.6900000000000002E-2</v>
      </c>
      <c r="N35" s="77">
        <f t="shared" si="5"/>
        <v>0</v>
      </c>
      <c r="O35" s="77">
        <f t="shared" si="5"/>
        <v>0</v>
      </c>
      <c r="P35" s="77">
        <f t="shared" si="5"/>
        <v>52.7</v>
      </c>
      <c r="Q35" s="77">
        <f t="shared" si="10"/>
        <v>21.85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60</v>
      </c>
      <c r="D36" s="77">
        <f t="shared" si="7"/>
        <v>12.921239999999999</v>
      </c>
      <c r="E36" s="77">
        <f t="shared" si="8"/>
        <v>6.8925999999999998</v>
      </c>
      <c r="F36" s="77">
        <f t="shared" si="9"/>
        <v>1.6579999999999999</v>
      </c>
      <c r="G36" s="77">
        <f t="shared" si="5"/>
        <v>0.02</v>
      </c>
      <c r="H36" s="77">
        <f t="shared" si="5"/>
        <v>6.6300000000000012E-2</v>
      </c>
      <c r="I36" s="77">
        <f t="shared" si="5"/>
        <v>0.05</v>
      </c>
      <c r="J36" s="77">
        <f t="shared" si="5"/>
        <v>1E-3</v>
      </c>
      <c r="K36" s="77">
        <f t="shared" si="5"/>
        <v>5.0000000000000001E-3</v>
      </c>
      <c r="L36" s="77">
        <f t="shared" si="5"/>
        <v>0.02</v>
      </c>
      <c r="M36" s="77">
        <f t="shared" si="5"/>
        <v>3.6900000000000002E-2</v>
      </c>
      <c r="N36" s="77">
        <f t="shared" si="5"/>
        <v>0</v>
      </c>
      <c r="O36" s="77">
        <f t="shared" si="5"/>
        <v>0</v>
      </c>
      <c r="P36" s="77">
        <f t="shared" si="5"/>
        <v>52.7</v>
      </c>
      <c r="Q36" s="77">
        <f t="shared" si="10"/>
        <v>21.85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60</v>
      </c>
      <c r="D37" s="77">
        <f t="shared" si="7"/>
        <v>12.921239999999999</v>
      </c>
      <c r="E37" s="77">
        <f t="shared" si="8"/>
        <v>6.8925999999999998</v>
      </c>
      <c r="F37" s="77">
        <f t="shared" si="9"/>
        <v>1.6579999999999999</v>
      </c>
      <c r="G37" s="77">
        <f t="shared" si="5"/>
        <v>0.02</v>
      </c>
      <c r="H37" s="77">
        <f t="shared" si="5"/>
        <v>6.6300000000000012E-2</v>
      </c>
      <c r="I37" s="77">
        <f t="shared" si="5"/>
        <v>0.05</v>
      </c>
      <c r="J37" s="77">
        <f t="shared" si="5"/>
        <v>1E-3</v>
      </c>
      <c r="K37" s="77">
        <f t="shared" si="5"/>
        <v>5.0000000000000001E-3</v>
      </c>
      <c r="L37" s="77">
        <f t="shared" si="5"/>
        <v>0.02</v>
      </c>
      <c r="M37" s="77">
        <f t="shared" si="5"/>
        <v>3.6900000000000002E-2</v>
      </c>
      <c r="N37" s="77">
        <f t="shared" si="5"/>
        <v>0</v>
      </c>
      <c r="O37" s="77">
        <f t="shared" si="5"/>
        <v>0</v>
      </c>
      <c r="P37" s="77">
        <f t="shared" si="5"/>
        <v>52.7</v>
      </c>
      <c r="Q37" s="77">
        <f t="shared" si="10"/>
        <v>21.85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100</v>
      </c>
      <c r="C38" s="77">
        <f t="shared" si="6"/>
        <v>60</v>
      </c>
      <c r="D38" s="77">
        <f t="shared" si="7"/>
        <v>12.921239999999999</v>
      </c>
      <c r="E38" s="77">
        <f t="shared" si="8"/>
        <v>6.8925999999999998</v>
      </c>
      <c r="F38" s="77">
        <f t="shared" si="9"/>
        <v>1.6579999999999999</v>
      </c>
      <c r="G38" s="77">
        <f t="shared" si="5"/>
        <v>0.02</v>
      </c>
      <c r="H38" s="77">
        <f t="shared" si="5"/>
        <v>6.6300000000000012E-2</v>
      </c>
      <c r="I38" s="77">
        <f t="shared" si="5"/>
        <v>0.05</v>
      </c>
      <c r="J38" s="77">
        <f t="shared" si="5"/>
        <v>1E-3</v>
      </c>
      <c r="K38" s="77">
        <f t="shared" si="5"/>
        <v>5.0000000000000001E-3</v>
      </c>
      <c r="L38" s="77">
        <f t="shared" si="5"/>
        <v>0.02</v>
      </c>
      <c r="M38" s="77">
        <f t="shared" si="5"/>
        <v>3.6900000000000002E-2</v>
      </c>
      <c r="N38" s="77">
        <f t="shared" si="5"/>
        <v>0</v>
      </c>
      <c r="O38" s="77">
        <f t="shared" si="5"/>
        <v>0</v>
      </c>
      <c r="P38" s="77">
        <f t="shared" si="5"/>
        <v>52.7</v>
      </c>
      <c r="Q38" s="77">
        <f t="shared" si="10"/>
        <v>21.85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100</v>
      </c>
      <c r="C39" s="77">
        <f t="shared" si="6"/>
        <v>60</v>
      </c>
      <c r="D39" s="77">
        <f t="shared" si="7"/>
        <v>12.921239999999999</v>
      </c>
      <c r="E39" s="77">
        <f t="shared" si="8"/>
        <v>6.8925999999999998</v>
      </c>
      <c r="F39" s="77">
        <f t="shared" si="9"/>
        <v>1.6579999999999999</v>
      </c>
      <c r="G39" s="77">
        <f t="shared" si="5"/>
        <v>0.02</v>
      </c>
      <c r="H39" s="77">
        <f t="shared" si="5"/>
        <v>6.6300000000000012E-2</v>
      </c>
      <c r="I39" s="77">
        <f t="shared" si="5"/>
        <v>0.05</v>
      </c>
      <c r="J39" s="77">
        <f t="shared" si="5"/>
        <v>1E-3</v>
      </c>
      <c r="K39" s="77">
        <f t="shared" si="5"/>
        <v>5.0000000000000001E-3</v>
      </c>
      <c r="L39" s="77">
        <f t="shared" si="5"/>
        <v>0.02</v>
      </c>
      <c r="M39" s="77">
        <f t="shared" si="5"/>
        <v>3.6900000000000002E-2</v>
      </c>
      <c r="N39" s="77">
        <f t="shared" si="5"/>
        <v>0</v>
      </c>
      <c r="O39" s="77">
        <f t="shared" si="5"/>
        <v>0</v>
      </c>
      <c r="P39" s="77">
        <f t="shared" si="5"/>
        <v>52.7</v>
      </c>
      <c r="Q39" s="77">
        <f t="shared" si="10"/>
        <v>21.85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100</v>
      </c>
      <c r="C40" s="77">
        <f t="shared" si="6"/>
        <v>60</v>
      </c>
      <c r="D40" s="77">
        <f t="shared" si="7"/>
        <v>12.921239999999999</v>
      </c>
      <c r="E40" s="77">
        <f t="shared" si="8"/>
        <v>6.8925999999999998</v>
      </c>
      <c r="F40" s="77">
        <f t="shared" si="9"/>
        <v>1.6579999999999999</v>
      </c>
      <c r="G40" s="77">
        <f t="shared" si="5"/>
        <v>0.02</v>
      </c>
      <c r="H40" s="77">
        <f t="shared" si="5"/>
        <v>6.6300000000000012E-2</v>
      </c>
      <c r="I40" s="77">
        <f t="shared" si="5"/>
        <v>0.05</v>
      </c>
      <c r="J40" s="77">
        <f t="shared" si="5"/>
        <v>1E-3</v>
      </c>
      <c r="K40" s="77">
        <f t="shared" si="5"/>
        <v>5.0000000000000001E-3</v>
      </c>
      <c r="L40" s="77">
        <f t="shared" si="5"/>
        <v>0.02</v>
      </c>
      <c r="M40" s="77">
        <f t="shared" si="5"/>
        <v>3.6900000000000002E-2</v>
      </c>
      <c r="N40" s="77">
        <f t="shared" si="5"/>
        <v>0</v>
      </c>
      <c r="O40" s="77">
        <f t="shared" si="5"/>
        <v>0</v>
      </c>
      <c r="P40" s="77">
        <f t="shared" si="5"/>
        <v>52.7</v>
      </c>
      <c r="Q40" s="77">
        <f t="shared" si="10"/>
        <v>21.85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100</v>
      </c>
      <c r="C41" s="77">
        <f t="shared" si="6"/>
        <v>60</v>
      </c>
      <c r="D41" s="77">
        <f t="shared" si="7"/>
        <v>12.921239999999999</v>
      </c>
      <c r="E41" s="77">
        <f t="shared" si="8"/>
        <v>6.8925999999999998</v>
      </c>
      <c r="F41" s="77">
        <f t="shared" si="9"/>
        <v>1.6579999999999999</v>
      </c>
      <c r="G41" s="77">
        <f t="shared" si="5"/>
        <v>0.02</v>
      </c>
      <c r="H41" s="77">
        <f t="shared" si="5"/>
        <v>6.6300000000000012E-2</v>
      </c>
      <c r="I41" s="77">
        <f t="shared" si="5"/>
        <v>0.05</v>
      </c>
      <c r="J41" s="77">
        <f t="shared" si="5"/>
        <v>1E-3</v>
      </c>
      <c r="K41" s="77">
        <f t="shared" si="5"/>
        <v>5.0000000000000001E-3</v>
      </c>
      <c r="L41" s="77">
        <f t="shared" si="5"/>
        <v>0.02</v>
      </c>
      <c r="M41" s="77">
        <f t="shared" si="5"/>
        <v>3.6900000000000002E-2</v>
      </c>
      <c r="N41" s="77">
        <f t="shared" si="5"/>
        <v>0</v>
      </c>
      <c r="O41" s="77">
        <f t="shared" si="5"/>
        <v>0</v>
      </c>
      <c r="P41" s="77">
        <f t="shared" si="5"/>
        <v>52.7</v>
      </c>
      <c r="Q41" s="77">
        <f t="shared" si="10"/>
        <v>21.85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100</v>
      </c>
      <c r="C42" s="77">
        <f t="shared" si="6"/>
        <v>60</v>
      </c>
      <c r="D42" s="77">
        <f t="shared" si="7"/>
        <v>12.921239999999999</v>
      </c>
      <c r="E42" s="77">
        <f t="shared" si="8"/>
        <v>6.8925999999999998</v>
      </c>
      <c r="F42" s="77">
        <f t="shared" si="9"/>
        <v>1.6579999999999999</v>
      </c>
      <c r="G42" s="77">
        <f t="shared" si="5"/>
        <v>0.02</v>
      </c>
      <c r="H42" s="77">
        <f t="shared" si="5"/>
        <v>6.6300000000000012E-2</v>
      </c>
      <c r="I42" s="77">
        <f t="shared" si="5"/>
        <v>0.05</v>
      </c>
      <c r="J42" s="77">
        <f t="shared" si="5"/>
        <v>1E-3</v>
      </c>
      <c r="K42" s="77">
        <f t="shared" si="5"/>
        <v>5.0000000000000001E-3</v>
      </c>
      <c r="L42" s="77">
        <f t="shared" si="5"/>
        <v>0.02</v>
      </c>
      <c r="M42" s="77">
        <f t="shared" si="5"/>
        <v>3.6900000000000002E-2</v>
      </c>
      <c r="N42" s="77">
        <f t="shared" si="5"/>
        <v>0</v>
      </c>
      <c r="O42" s="77">
        <f t="shared" si="5"/>
        <v>0</v>
      </c>
      <c r="P42" s="77">
        <f t="shared" si="5"/>
        <v>52.7</v>
      </c>
      <c r="Q42" s="77">
        <f t="shared" si="10"/>
        <v>21.85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100</v>
      </c>
      <c r="C43" s="77">
        <f t="shared" si="6"/>
        <v>60</v>
      </c>
      <c r="D43" s="77">
        <f t="shared" si="7"/>
        <v>12.921239999999999</v>
      </c>
      <c r="E43" s="77">
        <f t="shared" si="8"/>
        <v>6.8925999999999998</v>
      </c>
      <c r="F43" s="77">
        <f t="shared" si="9"/>
        <v>1.6579999999999999</v>
      </c>
      <c r="G43" s="77">
        <f t="shared" si="5"/>
        <v>0.02</v>
      </c>
      <c r="H43" s="77">
        <f t="shared" si="5"/>
        <v>6.6300000000000012E-2</v>
      </c>
      <c r="I43" s="77">
        <f t="shared" si="5"/>
        <v>0.05</v>
      </c>
      <c r="J43" s="77">
        <f t="shared" si="5"/>
        <v>1E-3</v>
      </c>
      <c r="K43" s="77">
        <f t="shared" si="5"/>
        <v>5.0000000000000001E-3</v>
      </c>
      <c r="L43" s="77">
        <f t="shared" si="5"/>
        <v>0.02</v>
      </c>
      <c r="M43" s="77">
        <f t="shared" si="5"/>
        <v>3.6900000000000002E-2</v>
      </c>
      <c r="N43" s="77">
        <f t="shared" si="5"/>
        <v>0</v>
      </c>
      <c r="O43" s="77">
        <f t="shared" si="5"/>
        <v>0</v>
      </c>
      <c r="P43" s="77">
        <f t="shared" si="5"/>
        <v>52.7</v>
      </c>
      <c r="Q43" s="77">
        <f t="shared" si="10"/>
        <v>21.85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100</v>
      </c>
      <c r="C44" s="77">
        <f t="shared" si="6"/>
        <v>60</v>
      </c>
      <c r="D44" s="77">
        <f t="shared" si="7"/>
        <v>12.921239999999999</v>
      </c>
      <c r="E44" s="77">
        <f t="shared" si="8"/>
        <v>6.8925999999999998</v>
      </c>
      <c r="F44" s="77">
        <f t="shared" si="9"/>
        <v>1.6579999999999999</v>
      </c>
      <c r="G44" s="77">
        <f t="shared" si="5"/>
        <v>0.02</v>
      </c>
      <c r="H44" s="77">
        <f t="shared" si="5"/>
        <v>6.6300000000000012E-2</v>
      </c>
      <c r="I44" s="77">
        <f t="shared" si="5"/>
        <v>0.05</v>
      </c>
      <c r="J44" s="77">
        <f t="shared" si="5"/>
        <v>1E-3</v>
      </c>
      <c r="K44" s="77">
        <f t="shared" si="5"/>
        <v>5.0000000000000001E-3</v>
      </c>
      <c r="L44" s="77">
        <f t="shared" si="5"/>
        <v>0.02</v>
      </c>
      <c r="M44" s="77">
        <f t="shared" si="5"/>
        <v>3.6900000000000002E-2</v>
      </c>
      <c r="N44" s="77">
        <f t="shared" si="5"/>
        <v>0</v>
      </c>
      <c r="O44" s="77">
        <f t="shared" si="5"/>
        <v>0</v>
      </c>
      <c r="P44" s="77">
        <f t="shared" si="5"/>
        <v>52.7</v>
      </c>
      <c r="Q44" s="77">
        <f t="shared" si="10"/>
        <v>21.85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100</v>
      </c>
      <c r="C45" s="77">
        <f t="shared" si="6"/>
        <v>60</v>
      </c>
      <c r="D45" s="77">
        <f t="shared" si="7"/>
        <v>12.921239999999999</v>
      </c>
      <c r="E45" s="77">
        <f t="shared" si="8"/>
        <v>6.8925999999999998</v>
      </c>
      <c r="F45" s="77">
        <f t="shared" si="9"/>
        <v>1.6579999999999999</v>
      </c>
      <c r="G45" s="77">
        <f t="shared" si="5"/>
        <v>0.02</v>
      </c>
      <c r="H45" s="77">
        <f t="shared" si="5"/>
        <v>6.6300000000000012E-2</v>
      </c>
      <c r="I45" s="77">
        <f t="shared" si="5"/>
        <v>0.05</v>
      </c>
      <c r="J45" s="77">
        <f t="shared" si="5"/>
        <v>1E-3</v>
      </c>
      <c r="K45" s="77">
        <f t="shared" si="5"/>
        <v>5.0000000000000001E-3</v>
      </c>
      <c r="L45" s="77">
        <f t="shared" si="5"/>
        <v>0.02</v>
      </c>
      <c r="M45" s="77">
        <f t="shared" si="5"/>
        <v>3.6900000000000002E-2</v>
      </c>
      <c r="N45" s="77">
        <f t="shared" si="5"/>
        <v>0</v>
      </c>
      <c r="O45" s="77">
        <f t="shared" si="5"/>
        <v>0</v>
      </c>
      <c r="P45" s="77">
        <f t="shared" si="5"/>
        <v>52.7</v>
      </c>
      <c r="Q45" s="77">
        <f t="shared" si="10"/>
        <v>21.85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100</v>
      </c>
      <c r="C46" s="77">
        <f t="shared" si="6"/>
        <v>60</v>
      </c>
      <c r="D46" s="77">
        <f t="shared" si="7"/>
        <v>12.921239999999999</v>
      </c>
      <c r="E46" s="77">
        <f t="shared" si="8"/>
        <v>6.8925999999999998</v>
      </c>
      <c r="F46" s="77">
        <f t="shared" si="9"/>
        <v>1.6579999999999999</v>
      </c>
      <c r="G46" s="77">
        <f t="shared" si="5"/>
        <v>0.02</v>
      </c>
      <c r="H46" s="77">
        <f t="shared" si="5"/>
        <v>6.6300000000000012E-2</v>
      </c>
      <c r="I46" s="77">
        <f t="shared" si="5"/>
        <v>0.05</v>
      </c>
      <c r="J46" s="77">
        <f t="shared" si="5"/>
        <v>1E-3</v>
      </c>
      <c r="K46" s="77">
        <f t="shared" si="5"/>
        <v>5.0000000000000001E-3</v>
      </c>
      <c r="L46" s="77">
        <f t="shared" si="5"/>
        <v>0.02</v>
      </c>
      <c r="M46" s="77">
        <f t="shared" si="5"/>
        <v>3.6900000000000002E-2</v>
      </c>
      <c r="N46" s="77">
        <f t="shared" si="5"/>
        <v>0</v>
      </c>
      <c r="O46" s="77">
        <f t="shared" si="5"/>
        <v>0</v>
      </c>
      <c r="P46" s="77">
        <f t="shared" si="5"/>
        <v>52.7</v>
      </c>
      <c r="Q46" s="77">
        <f t="shared" si="10"/>
        <v>21.85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100</v>
      </c>
      <c r="C47" s="77">
        <f t="shared" si="6"/>
        <v>60</v>
      </c>
      <c r="D47" s="77">
        <f t="shared" si="7"/>
        <v>12.921239999999999</v>
      </c>
      <c r="E47" s="77">
        <f t="shared" si="8"/>
        <v>6.8925999999999998</v>
      </c>
      <c r="F47" s="77">
        <f t="shared" si="9"/>
        <v>1.6579999999999999</v>
      </c>
      <c r="G47" s="77">
        <f t="shared" ref="G47:P50" si="12">IF(G$27="%w/w SAR",((G$28*10)*$B47),IF(G$27="%w/w DM",(((G$28*10)*($B$28/100))*$B47),IF(G$27="kg/t SAR",(G$28*$B47),IF(G$27="kg/t DM",((G$28*($B$28/100))*$B47),IF(G$27="mg/kg SAR",((G$28*0.001)*$B47),IF(G$27="mg/kg DM",(((G$28*0.001)*($B$28/100))*$B47),0))))))</f>
        <v>0.02</v>
      </c>
      <c r="H47" s="77">
        <f t="shared" si="12"/>
        <v>6.6300000000000012E-2</v>
      </c>
      <c r="I47" s="77">
        <f t="shared" si="12"/>
        <v>0.05</v>
      </c>
      <c r="J47" s="77">
        <f t="shared" si="12"/>
        <v>1E-3</v>
      </c>
      <c r="K47" s="77">
        <f t="shared" si="12"/>
        <v>5.0000000000000001E-3</v>
      </c>
      <c r="L47" s="77">
        <f t="shared" si="12"/>
        <v>0.02</v>
      </c>
      <c r="M47" s="77">
        <f t="shared" si="12"/>
        <v>3.6900000000000002E-2</v>
      </c>
      <c r="N47" s="77">
        <f t="shared" si="12"/>
        <v>0</v>
      </c>
      <c r="O47" s="77">
        <f t="shared" si="12"/>
        <v>0</v>
      </c>
      <c r="P47" s="77">
        <f t="shared" si="12"/>
        <v>52.7</v>
      </c>
      <c r="Q47" s="77">
        <f t="shared" si="10"/>
        <v>21.85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100</v>
      </c>
      <c r="C48" s="77">
        <f t="shared" si="6"/>
        <v>60</v>
      </c>
      <c r="D48" s="77">
        <f t="shared" si="7"/>
        <v>12.921239999999999</v>
      </c>
      <c r="E48" s="77">
        <f t="shared" si="8"/>
        <v>6.8925999999999998</v>
      </c>
      <c r="F48" s="77">
        <f t="shared" si="9"/>
        <v>1.6579999999999999</v>
      </c>
      <c r="G48" s="77">
        <f t="shared" si="12"/>
        <v>0.02</v>
      </c>
      <c r="H48" s="77">
        <f t="shared" si="12"/>
        <v>6.6300000000000012E-2</v>
      </c>
      <c r="I48" s="77">
        <f t="shared" si="12"/>
        <v>0.05</v>
      </c>
      <c r="J48" s="77">
        <f t="shared" si="12"/>
        <v>1E-3</v>
      </c>
      <c r="K48" s="77">
        <f t="shared" si="12"/>
        <v>5.0000000000000001E-3</v>
      </c>
      <c r="L48" s="77">
        <f t="shared" si="12"/>
        <v>0.02</v>
      </c>
      <c r="M48" s="77">
        <f t="shared" si="12"/>
        <v>3.6900000000000002E-2</v>
      </c>
      <c r="N48" s="77">
        <f t="shared" si="12"/>
        <v>0</v>
      </c>
      <c r="O48" s="77">
        <f t="shared" si="12"/>
        <v>0</v>
      </c>
      <c r="P48" s="77">
        <f t="shared" si="12"/>
        <v>52.7</v>
      </c>
      <c r="Q48" s="77">
        <f t="shared" si="10"/>
        <v>21.85</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"&amp;(VLOOKUP(C14,Table245[],6,FALSE))</f>
        <v>Sandy Loam I Grass</v>
      </c>
      <c r="C58" s="13" t="str">
        <f>D16&amp;" I "&amp;(VLOOKUP(D14,Table245[],6,FALSE))</f>
        <v>Sandy Loam I Grass</v>
      </c>
      <c r="D58" s="13" t="str">
        <f>E16&amp;" I "&amp;(VLOOKUP(E14,Table245[],6,FALSE))</f>
        <v>Sandy Loam I Grass</v>
      </c>
      <c r="E58" s="13" t="str">
        <f>F16&amp;" I "&amp;(VLOOKUP(F14,Table245[],6,FALSE))</f>
        <v>Sandy Loam I Grass</v>
      </c>
      <c r="F58" s="13" t="str">
        <f>G16&amp;" I "&amp;(VLOOKUP(G14,Table245[],6,FALSE))</f>
        <v>Sandy Loam I Grass</v>
      </c>
      <c r="G58" s="13" t="str">
        <f>H16&amp;" I "&amp;(VLOOKUP(H14,Table245[],6,FALSE))</f>
        <v>Sandy Loam I Grass</v>
      </c>
      <c r="H58" s="13" t="str">
        <f>I16&amp;" I "&amp;(VLOOKUP(I14,Table245[],6,FALSE))</f>
        <v>Sandy Loam I Grass</v>
      </c>
      <c r="I58" s="13" t="str">
        <f>J16&amp;" I "&amp;(VLOOKUP(J14,Table245[],6,FALSE))</f>
        <v>Sandy Loam I Grass</v>
      </c>
      <c r="J58" s="13" t="str">
        <f>K16&amp;" I "&amp;(VLOOKUP(K14,Table245[],6,FALSE))</f>
        <v>Sandy Loam I Grass</v>
      </c>
      <c r="K58" s="13" t="str">
        <f>L16&amp;" I "&amp;(VLOOKUP(L14,Table245[],6,FALSE))</f>
        <v>Sandy Loam I Grass</v>
      </c>
      <c r="L58" s="13" t="str">
        <f>M16&amp;" I "&amp;(VLOOKUP(M14,Table245[],6,FALSE))</f>
        <v>Sandy Loam I Grass</v>
      </c>
      <c r="M58" s="13" t="str">
        <f>N16&amp;" I "&amp;(VLOOKUP(N14,Table245[],6,FALSE))</f>
        <v>Sandy Loam I Grass</v>
      </c>
      <c r="N58" s="13" t="str">
        <f>O16&amp;" I "&amp;(VLOOKUP(O14,Table245[],6,FALSE))</f>
        <v>Sandy Loam I Grass</v>
      </c>
      <c r="O58" s="13" t="str">
        <f>P16&amp;" I "&amp;(VLOOKUP(P14,Table245[],6,FALSE))</f>
        <v>Sandy Loam I Grass</v>
      </c>
      <c r="P58" s="13" t="str">
        <f>Q16&amp;" I "&amp;(VLOOKUP(Q14,Table245[],6,FALSE))</f>
        <v>Sandy Loam I Grass</v>
      </c>
      <c r="Q58" s="13" t="str">
        <f>R16&amp;" I "&amp;(VLOOKUP(R14,Table245[],6,FALSE))</f>
        <v>Sandy Loam I Grass</v>
      </c>
      <c r="R58" s="13" t="str">
        <f>S16&amp;" I "&amp;(VLOOKUP(S14,Table245[],6,FALSE))</f>
        <v>Sandy Loam I Grass</v>
      </c>
      <c r="S58" s="13" t="str">
        <f>T16&amp;" I "&amp;(VLOOKUP(T14,Table245[],6,FALSE))</f>
        <v>Sandy Loam I Grass</v>
      </c>
      <c r="T58" s="13" t="str">
        <f>U16&amp;" I "&amp;(VLOOKUP(U14,Table245[],6,FALSE))</f>
        <v>Sandy Loam I Grass</v>
      </c>
      <c r="U58" s="13" t="str">
        <f>V16&amp;" I "&amp;(VLOOKUP(V14,Table245[],6,FALSE))</f>
        <v>Sandy Loam I Grass</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f>VLOOKUP(J$14,Table245[],5,FALSE)</f>
        <v>6.2</v>
      </c>
      <c r="J59" s="76">
        <f>VLOOKUP(K$14,Table245[],5,FALSE)</f>
        <v>6.2</v>
      </c>
      <c r="K59" s="76">
        <f>VLOOKUP(L$14,Table245[],5,FALSE)</f>
        <v>6.2</v>
      </c>
      <c r="L59" s="76">
        <f>VLOOKUP(M$14,Table245[],5,FALSE)</f>
        <v>6.2</v>
      </c>
      <c r="M59" s="76">
        <f>VLOOKUP(N$14,Table245[],5,FALSE)</f>
        <v>6.2</v>
      </c>
      <c r="N59" s="76">
        <f>VLOOKUP(O$14,Table245[],5,FALSE)</f>
        <v>6.2</v>
      </c>
      <c r="O59" s="76">
        <f>VLOOKUP(P$14,Table245[],5,FALSE)</f>
        <v>6.2</v>
      </c>
      <c r="P59" s="76">
        <f>VLOOKUP(Q$14,Table245[],5,FALSE)</f>
        <v>6.2</v>
      </c>
      <c r="Q59" s="76">
        <f>VLOOKUP(R$14,Table245[],5,FALSE)</f>
        <v>6.2</v>
      </c>
      <c r="R59" s="76">
        <f>VLOOKUP(S$14,Table245[],5,FALSE)</f>
        <v>6.2</v>
      </c>
      <c r="S59" s="76">
        <f>VLOOKUP(T$14,Table245[],5,FALSE)</f>
        <v>6.2</v>
      </c>
      <c r="T59" s="76">
        <f>VLOOKUP(U$14,Table245[],5,FALSE)</f>
        <v>6.2</v>
      </c>
      <c r="U59" s="76">
        <f>VLOOKUP(V$14,Table245[],5,FALSE)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100</v>
      </c>
      <c r="J62" s="77">
        <f>B39</f>
        <v>100</v>
      </c>
      <c r="K62" s="77">
        <f>B40</f>
        <v>100</v>
      </c>
      <c r="L62" s="77">
        <f>B41</f>
        <v>100</v>
      </c>
      <c r="M62" s="77">
        <f>B42</f>
        <v>100</v>
      </c>
      <c r="N62" s="77">
        <f>B43</f>
        <v>100</v>
      </c>
      <c r="O62" s="77">
        <f>B44</f>
        <v>100</v>
      </c>
      <c r="P62" s="77">
        <f>B45</f>
        <v>100</v>
      </c>
      <c r="Q62" s="77">
        <f>B46</f>
        <v>100</v>
      </c>
      <c r="R62" s="77">
        <f>B47</f>
        <v>100</v>
      </c>
      <c r="S62" s="77">
        <f>B48</f>
        <v>100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B8OYqeFjvtfWWlLXmY7ErOcda7EEuhT6d09/iHWuTT95QY/OwAoVIXOygINGzb6Pmvvz4BzloOYQP6iI5nSHJw==" saltValue="HwKPoZj9JnVMXgQE+1TyS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77" priority="37" operator="equal">
      <formula>"DECREASE"</formula>
    </cfRule>
    <cfRule type="cellIs" dxfId="376" priority="38" operator="equal">
      <formula>"INCREASE"</formula>
    </cfRule>
  </conditionalFormatting>
  <conditionalFormatting sqref="B31:B50 B62:U66">
    <cfRule type="cellIs" dxfId="375" priority="36" operator="greaterThan">
      <formula>$B$51</formula>
    </cfRule>
  </conditionalFormatting>
  <conditionalFormatting sqref="C31:C50">
    <cfRule type="cellIs" dxfId="374" priority="35" operator="greaterThan">
      <formula>$C$51</formula>
    </cfRule>
  </conditionalFormatting>
  <conditionalFormatting sqref="C18:V18">
    <cfRule type="cellIs" dxfId="373" priority="34" operator="equal">
      <formula>0</formula>
    </cfRule>
  </conditionalFormatting>
  <conditionalFormatting sqref="C17:V17">
    <cfRule type="cellIs" dxfId="372" priority="33" operator="equal">
      <formula>0</formula>
    </cfRule>
  </conditionalFormatting>
  <conditionalFormatting sqref="C19:V19">
    <cfRule type="cellIs" dxfId="371" priority="32" operator="equal">
      <formula>0</formula>
    </cfRule>
  </conditionalFormatting>
  <conditionalFormatting sqref="G31:G50">
    <cfRule type="cellIs" dxfId="370" priority="31" operator="greaterThan">
      <formula>$G$51</formula>
    </cfRule>
  </conditionalFormatting>
  <conditionalFormatting sqref="H31:H50">
    <cfRule type="cellIs" dxfId="369" priority="30" operator="greaterThan">
      <formula>$H$51</formula>
    </cfRule>
  </conditionalFormatting>
  <conditionalFormatting sqref="I31:I50">
    <cfRule type="cellIs" dxfId="368" priority="29" operator="greaterThan">
      <formula>$I$51</formula>
    </cfRule>
  </conditionalFormatting>
  <conditionalFormatting sqref="K31:K50">
    <cfRule type="cellIs" dxfId="367" priority="28" operator="greaterThan">
      <formula>$K$51</formula>
    </cfRule>
  </conditionalFormatting>
  <conditionalFormatting sqref="L31:L50">
    <cfRule type="cellIs" dxfId="366" priority="27" operator="greaterThan">
      <formula>$L$51</formula>
    </cfRule>
  </conditionalFormatting>
  <conditionalFormatting sqref="M31:M50">
    <cfRule type="cellIs" dxfId="365" priority="26" operator="greaterThan">
      <formula>$M$51</formula>
    </cfRule>
  </conditionalFormatting>
  <conditionalFormatting sqref="P31:P50">
    <cfRule type="cellIs" dxfId="364" priority="25" operator="greaterThan">
      <formula>$P$51</formula>
    </cfRule>
  </conditionalFormatting>
  <conditionalFormatting sqref="R31:R50">
    <cfRule type="cellIs" dxfId="363" priority="24" operator="greaterThan">
      <formula>$R$51</formula>
    </cfRule>
  </conditionalFormatting>
  <conditionalFormatting sqref="S31:S50">
    <cfRule type="cellIs" dxfId="362" priority="23" operator="greaterThan">
      <formula>$S$51</formula>
    </cfRule>
  </conditionalFormatting>
  <conditionalFormatting sqref="T31:T50">
    <cfRule type="cellIs" dxfId="361" priority="22" operator="greaterThan">
      <formula>$T$51</formula>
    </cfRule>
  </conditionalFormatting>
  <conditionalFormatting sqref="U31:U50">
    <cfRule type="cellIs" dxfId="360" priority="21" operator="greaterThan">
      <formula>$U$51</formula>
    </cfRule>
  </conditionalFormatting>
  <conditionalFormatting sqref="C22:V22">
    <cfRule type="cellIs" dxfId="359" priority="20" operator="equal">
      <formula>0</formula>
    </cfRule>
  </conditionalFormatting>
  <conditionalFormatting sqref="C24:V24">
    <cfRule type="cellIs" dxfId="358" priority="18" operator="equal">
      <formula>"DECREASE"</formula>
    </cfRule>
    <cfRule type="cellIs" dxfId="357" priority="19" operator="equal">
      <formula>"INCREASE"</formula>
    </cfRule>
  </conditionalFormatting>
  <conditionalFormatting sqref="C23:V23">
    <cfRule type="cellIs" dxfId="356" priority="17" operator="equal">
      <formula>0</formula>
    </cfRule>
  </conditionalFormatting>
  <conditionalFormatting sqref="C21:V21">
    <cfRule type="cellIs" dxfId="355" priority="13" operator="equal">
      <formula>0</formula>
    </cfRule>
  </conditionalFormatting>
  <conditionalFormatting sqref="B66:U66">
    <cfRule type="cellIs" dxfId="354" priority="11" operator="equal">
      <formula>"UNDER"</formula>
    </cfRule>
    <cfRule type="cellIs" dxfId="353" priority="12" operator="equal">
      <formula>"OVER"</formula>
    </cfRule>
  </conditionalFormatting>
  <conditionalFormatting sqref="J31:J50">
    <cfRule type="cellIs" dxfId="352" priority="8" operator="greaterThan">
      <formula>$J$51</formula>
    </cfRule>
  </conditionalFormatting>
  <conditionalFormatting sqref="L3">
    <cfRule type="cellIs" dxfId="351" priority="4" operator="lessThan">
      <formula>30</formula>
    </cfRule>
    <cfRule type="cellIs" dxfId="350" priority="5" operator="greaterThanOrEqual">
      <formula>30</formula>
    </cfRule>
  </conditionalFormatting>
  <conditionalFormatting sqref="I1">
    <cfRule type="cellIs" dxfId="349" priority="3" operator="between">
      <formula>0.1</formula>
      <formula>5</formula>
    </cfRule>
  </conditionalFormatting>
  <conditionalFormatting sqref="I2">
    <cfRule type="cellIs" dxfId="348" priority="2" operator="greaterThan">
      <formula>5000.1</formula>
    </cfRule>
  </conditionalFormatting>
  <conditionalFormatting sqref="I3">
    <cfRule type="cellIs" dxfId="347"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C28" sqref="C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3.85</v>
      </c>
      <c r="J1" s="127" t="s">
        <v>153</v>
      </c>
      <c r="K1" s="127"/>
      <c r="L1" s="97">
        <v>0.04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171</v>
      </c>
      <c r="G2" s="125" t="s">
        <v>110</v>
      </c>
      <c r="H2" s="126"/>
      <c r="I2" s="118">
        <v>373</v>
      </c>
      <c r="J2" s="127" t="s">
        <v>158</v>
      </c>
      <c r="K2" s="127"/>
      <c r="L2" s="97">
        <v>25</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c r="J3" s="123" t="s">
        <v>154</v>
      </c>
      <c r="K3" s="124"/>
      <c r="L3" s="97">
        <f>(L1/(L2*10000))*100</f>
        <v>1.5999999999999999E-5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170</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35.281399999999998</v>
      </c>
      <c r="D18" s="16">
        <f>$D32</f>
        <v>35.281399999999998</v>
      </c>
      <c r="E18" s="16">
        <f>$D33</f>
        <v>35.281399999999998</v>
      </c>
      <c r="F18" s="16">
        <f>$D34</f>
        <v>35.281399999999998</v>
      </c>
      <c r="G18" s="16">
        <f>$D35</f>
        <v>35.281399999999998</v>
      </c>
      <c r="H18" s="16">
        <f>$D36</f>
        <v>35.281399999999998</v>
      </c>
      <c r="I18" s="16">
        <f>$D37</f>
        <v>35.281399999999998</v>
      </c>
      <c r="J18" s="16">
        <f>$D38</f>
        <v>35.281399999999998</v>
      </c>
      <c r="K18" s="16">
        <f>$D39</f>
        <v>35.281399999999998</v>
      </c>
      <c r="L18" s="16">
        <f>$D40</f>
        <v>35.281399999999998</v>
      </c>
      <c r="M18" s="16">
        <f>$D41</f>
        <v>35.281399999999998</v>
      </c>
      <c r="N18" s="16">
        <f>$D42</f>
        <v>35.281399999999998</v>
      </c>
      <c r="O18" s="16">
        <f>$D43</f>
        <v>35.281399999999998</v>
      </c>
      <c r="P18" s="16">
        <f>$D44</f>
        <v>35.281399999999998</v>
      </c>
      <c r="Q18" s="16">
        <f>$D45</f>
        <v>35.281399999999998</v>
      </c>
      <c r="R18" s="16">
        <f>$D46</f>
        <v>35.281399999999998</v>
      </c>
      <c r="S18" s="16">
        <f>$D47</f>
        <v>35.281399999999998</v>
      </c>
      <c r="T18" s="16">
        <f>$D48</f>
        <v>35.281399999999998</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-29.318599999999996</v>
      </c>
      <c r="D19" s="16">
        <f t="shared" ref="D19:V19" si="1">D18-D17</f>
        <v>-29.318599999999996</v>
      </c>
      <c r="E19" s="16">
        <f t="shared" si="1"/>
        <v>-29.318599999999996</v>
      </c>
      <c r="F19" s="16">
        <f t="shared" si="1"/>
        <v>-29.318599999999996</v>
      </c>
      <c r="G19" s="16">
        <f t="shared" si="1"/>
        <v>-29.318599999999996</v>
      </c>
      <c r="H19" s="16">
        <f t="shared" si="1"/>
        <v>-29.318599999999996</v>
      </c>
      <c r="I19" s="16">
        <f t="shared" si="1"/>
        <v>-29.318599999999996</v>
      </c>
      <c r="J19" s="16">
        <f t="shared" si="1"/>
        <v>-29.318599999999996</v>
      </c>
      <c r="K19" s="16">
        <f t="shared" si="1"/>
        <v>-29.318599999999996</v>
      </c>
      <c r="L19" s="16">
        <f t="shared" si="1"/>
        <v>-29.318599999999996</v>
      </c>
      <c r="M19" s="16">
        <f t="shared" si="1"/>
        <v>-29.318599999999996</v>
      </c>
      <c r="N19" s="16">
        <f t="shared" si="1"/>
        <v>-29.318599999999996</v>
      </c>
      <c r="O19" s="16">
        <f t="shared" si="1"/>
        <v>-29.318599999999996</v>
      </c>
      <c r="P19" s="16">
        <f t="shared" si="1"/>
        <v>-29.318599999999996</v>
      </c>
      <c r="Q19" s="16">
        <f t="shared" si="1"/>
        <v>-29.318599999999996</v>
      </c>
      <c r="R19" s="16">
        <f t="shared" si="1"/>
        <v>-29.318599999999996</v>
      </c>
      <c r="S19" s="16">
        <f t="shared" si="1"/>
        <v>-29.318599999999996</v>
      </c>
      <c r="T19" s="16">
        <f t="shared" si="1"/>
        <v>-29.318599999999996</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45.428500000000007</v>
      </c>
      <c r="D22" s="16">
        <f>$E32</f>
        <v>45.428500000000007</v>
      </c>
      <c r="E22" s="16">
        <f>$E33</f>
        <v>45.428500000000007</v>
      </c>
      <c r="F22" s="16">
        <f>$E34</f>
        <v>45.428500000000007</v>
      </c>
      <c r="G22" s="16">
        <f>$E35</f>
        <v>45.428500000000007</v>
      </c>
      <c r="H22" s="16">
        <f>$E36</f>
        <v>45.428500000000007</v>
      </c>
      <c r="I22" s="16">
        <f>$E37</f>
        <v>45.428500000000007</v>
      </c>
      <c r="J22" s="16">
        <f>$E38</f>
        <v>45.428500000000007</v>
      </c>
      <c r="K22" s="16">
        <f>$E39</f>
        <v>45.428500000000007</v>
      </c>
      <c r="L22" s="16">
        <f>$E40</f>
        <v>45.428500000000007</v>
      </c>
      <c r="M22" s="16">
        <f>$E41</f>
        <v>45.428500000000007</v>
      </c>
      <c r="N22" s="16">
        <f>$E42</f>
        <v>45.428500000000007</v>
      </c>
      <c r="O22" s="16">
        <f>$E43</f>
        <v>45.428500000000007</v>
      </c>
      <c r="P22" s="16">
        <f>$E44</f>
        <v>45.428500000000007</v>
      </c>
      <c r="Q22" s="16">
        <f>$E45</f>
        <v>45.428500000000007</v>
      </c>
      <c r="R22" s="16">
        <f>$E46</f>
        <v>45.428500000000007</v>
      </c>
      <c r="S22" s="16">
        <f>$E47</f>
        <v>45.428500000000007</v>
      </c>
      <c r="T22" s="16">
        <f>$E48</f>
        <v>45.428500000000007</v>
      </c>
      <c r="U22" s="16">
        <f>$E49</f>
        <v>0</v>
      </c>
      <c r="V22" s="16">
        <f>$E50</f>
        <v>0</v>
      </c>
      <c r="AI22" s="63" t="s">
        <v>102</v>
      </c>
      <c r="AJ22" s="64">
        <v>1.2</v>
      </c>
      <c r="AK22" s="65">
        <v>5</v>
      </c>
      <c r="AL22" s="29">
        <v>20</v>
      </c>
      <c r="AM22" s="11">
        <v>6.7</v>
      </c>
      <c r="AN22" s="11" t="s">
        <v>135</v>
      </c>
    </row>
    <row r="23" spans="1:40" ht="13" x14ac:dyDescent="0.25">
      <c r="A23" s="131" t="s">
        <v>92</v>
      </c>
      <c r="B23" s="132"/>
      <c r="C23" s="16">
        <f>C22-C21</f>
        <v>-182.57149999999999</v>
      </c>
      <c r="D23" s="16">
        <f t="shared" ref="D23:V23" si="3">D22-D21</f>
        <v>-182.57149999999999</v>
      </c>
      <c r="E23" s="16">
        <f t="shared" si="3"/>
        <v>-182.57149999999999</v>
      </c>
      <c r="F23" s="16">
        <f t="shared" si="3"/>
        <v>-182.57149999999999</v>
      </c>
      <c r="G23" s="16">
        <f t="shared" si="3"/>
        <v>-182.57149999999999</v>
      </c>
      <c r="H23" s="16">
        <f t="shared" si="3"/>
        <v>-182.57149999999999</v>
      </c>
      <c r="I23" s="16">
        <f t="shared" si="3"/>
        <v>-182.57149999999999</v>
      </c>
      <c r="J23" s="16">
        <f t="shared" si="3"/>
        <v>-182.57149999999999</v>
      </c>
      <c r="K23" s="16">
        <f t="shared" si="3"/>
        <v>-182.57149999999999</v>
      </c>
      <c r="L23" s="16">
        <f t="shared" si="3"/>
        <v>-182.57149999999999</v>
      </c>
      <c r="M23" s="16">
        <f t="shared" si="3"/>
        <v>-182.57149999999999</v>
      </c>
      <c r="N23" s="16">
        <f t="shared" si="3"/>
        <v>-182.57149999999999</v>
      </c>
      <c r="O23" s="16">
        <f t="shared" si="3"/>
        <v>-182.57149999999999</v>
      </c>
      <c r="P23" s="16">
        <f t="shared" si="3"/>
        <v>-182.57149999999999</v>
      </c>
      <c r="Q23" s="16">
        <f t="shared" si="3"/>
        <v>-182.57149999999999</v>
      </c>
      <c r="R23" s="16">
        <f t="shared" si="3"/>
        <v>-182.57149999999999</v>
      </c>
      <c r="S23" s="16">
        <f t="shared" si="3"/>
        <v>-182.57149999999999</v>
      </c>
      <c r="T23" s="16">
        <f t="shared" si="3"/>
        <v>-182.57149999999999</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3.85</v>
      </c>
      <c r="C28" s="15">
        <v>0.04</v>
      </c>
      <c r="D28" s="15">
        <v>154</v>
      </c>
      <c r="E28" s="15">
        <v>377</v>
      </c>
      <c r="F28" s="15">
        <v>55.1</v>
      </c>
      <c r="G28" s="15">
        <v>74.599999999999994</v>
      </c>
      <c r="H28" s="15">
        <v>0.5</v>
      </c>
      <c r="I28" s="15">
        <v>0.5</v>
      </c>
      <c r="J28" s="15">
        <v>0.01</v>
      </c>
      <c r="K28" s="23">
        <v>0.05</v>
      </c>
      <c r="L28" s="15">
        <v>0.2</v>
      </c>
      <c r="M28" s="15">
        <v>0.23799999999999999</v>
      </c>
      <c r="N28" s="15"/>
      <c r="O28" s="15"/>
      <c r="P28" s="15">
        <v>60.1</v>
      </c>
      <c r="Q28" s="15">
        <v>74.599999999999994</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40</v>
      </c>
      <c r="D31" s="77">
        <f>(IF(D$27="%w/w SAR",((D$28*10)*$B31),IF(D$27="%w/w DM",(((D$28*10)*($B$28/100))*$B31),IF(D$27="kg/t SAR",(D$28*$B31),IF(D$27="kg/t DM",((D$28*($B$28/100))*$B31),IF(D$27="mg/kg SAR",((D$28*0.001)*$B31),IF(D$27="mg/kg DM",(((D$28*0.001)*($B$28/100))*$B31),"0")))))))*2.291</f>
        <v>35.281399999999998</v>
      </c>
      <c r="E31" s="77">
        <f>(IF(E$27="%w/w SAR",((E$28*10)*$B31),IF(E$27="%w/w DM",(((E$28*10)*($B$28/100))*$B31),IF(E$27="kg/t SAR",(E$28*$B31),IF(E$27="kg/t DM",((E$28*($B$28/100))*$B31),IF(E$27="mg/kg SAR",((E$28*0.001)*$B31),IF(E$27="mg/kg DM",(((E$28*0.001)*($B$28/100))*$B31),"0")))))))*1.205</f>
        <v>45.428500000000007</v>
      </c>
      <c r="F31" s="77">
        <f>(IF(F$27="%w/w SAR",((F$28*10)*$B31),IF(F$27="%w/w DM",(((F$28*10)*($B$28/100))*$B31),IF(F$27="kg/t SAR",(F$28*$B31),IF(F$27="kg/t DM",((F$28*($B$28/100))*$B31),IF(F$27="mg/kg SAR",((F$28*0.001)*$B31),IF(F$27="mg/kg DM",(((F$28*0.001)*($B$28/100))*$B31),"0")))))))*1.658</f>
        <v>9.1355800000000009</v>
      </c>
      <c r="G31" s="77">
        <f t="shared" ref="G31:P46" si="5">IF(G$27="%w/w SAR",((G$28*10)*$B31),IF(G$27="%w/w DM",(((G$28*10)*($B$28/100))*$B31),IF(G$27="kg/t SAR",(G$28*$B31),IF(G$27="kg/t DM",((G$28*($B$28/100))*$B31),IF(G$27="mg/kg SAR",((G$28*0.001)*$B31),IF(G$27="mg/kg DM",(((G$28*0.001)*($B$28/100))*$B31),0))))))</f>
        <v>7.46</v>
      </c>
      <c r="H31" s="77">
        <f t="shared" si="5"/>
        <v>0.05</v>
      </c>
      <c r="I31" s="77">
        <f t="shared" si="5"/>
        <v>0.05</v>
      </c>
      <c r="J31" s="77">
        <f t="shared" si="5"/>
        <v>1E-3</v>
      </c>
      <c r="K31" s="77">
        <f t="shared" si="5"/>
        <v>5.0000000000000001E-3</v>
      </c>
      <c r="L31" s="77">
        <f t="shared" si="5"/>
        <v>0.02</v>
      </c>
      <c r="M31" s="77">
        <f t="shared" si="5"/>
        <v>2.3799999999999998E-2</v>
      </c>
      <c r="N31" s="77">
        <f t="shared" si="5"/>
        <v>0</v>
      </c>
      <c r="O31" s="77">
        <f t="shared" si="5"/>
        <v>0</v>
      </c>
      <c r="P31" s="77">
        <f t="shared" si="5"/>
        <v>6.01</v>
      </c>
      <c r="Q31" s="77">
        <f>(IF(Q$27="%w/w SAR",((Q$28*10)*$B31),IF(Q$27="%w/w DM",(((Q$28*10)*($B$28/100))*$B31),IF(Q$27="kg/t SAR",(Q$28*$B31),IF(Q$27="kg/t DM",((Q$28*($B$28/100))*$B31),IF(Q$27="mg/kg SAR",((Q$28*0.001)*$B31),IF(Q$27="mg/kg DM",(((Q$28*0.001)*($B$28/100))*$B31),0)))))))*2.5</f>
        <v>18.649999999999999</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40</v>
      </c>
      <c r="D32" s="77">
        <f t="shared" ref="D32:D50" si="7">(IF(D$27="%w/w SAR",((D$28*10)*$B32),IF(D$27="%w/w DM",(((D$28*10)*($B$28/100))*$B32),IF(D$27="kg/t SAR",(D$28*$B32),IF(D$27="kg/t DM",((D$28*($B$28/100))*$B32),IF(D$27="mg/kg SAR",((D$28*0.001)*$B32),IF(D$27="mg/kg DM",(((D$28*0.001)*($B$28/100))*$B32),"0")))))))*2.291</f>
        <v>35.281399999999998</v>
      </c>
      <c r="E32" s="77">
        <f t="shared" ref="E32:E50" si="8">(IF(E$27="%w/w SAR",((E$28*10)*$B32),IF(E$27="%w/w DM",(((E$28*10)*($B$28/100))*$B32),IF(E$27="kg/t SAR",(E$28*$B32),IF(E$27="kg/t DM",((E$28*($B$28/100))*$B32),IF(E$27="mg/kg SAR",((E$28*0.001)*$B32),IF(E$27="mg/kg DM",(((E$28*0.001)*($B$28/100))*$B32),"0")))))))*1.205</f>
        <v>45.428500000000007</v>
      </c>
      <c r="F32" s="77">
        <f t="shared" ref="F32:F50" si="9">(IF(F$27="%w/w SAR",((F$28*10)*$B32),IF(F$27="%w/w DM",(((F$28*10)*($B$28/100))*$B32),IF(F$27="kg/t SAR",(F$28*$B32),IF(F$27="kg/t DM",((F$28*($B$28/100))*$B32),IF(F$27="mg/kg SAR",((F$28*0.001)*$B32),IF(F$27="mg/kg DM",(((F$28*0.001)*($B$28/100))*$B32),"0")))))))*1.658</f>
        <v>9.1355800000000009</v>
      </c>
      <c r="G32" s="77">
        <f t="shared" si="5"/>
        <v>7.46</v>
      </c>
      <c r="H32" s="77">
        <f t="shared" si="5"/>
        <v>0.05</v>
      </c>
      <c r="I32" s="77">
        <f t="shared" si="5"/>
        <v>0.05</v>
      </c>
      <c r="J32" s="77">
        <f t="shared" si="5"/>
        <v>1E-3</v>
      </c>
      <c r="K32" s="77">
        <f t="shared" si="5"/>
        <v>5.0000000000000001E-3</v>
      </c>
      <c r="L32" s="77">
        <f t="shared" si="5"/>
        <v>0.02</v>
      </c>
      <c r="M32" s="77">
        <f t="shared" si="5"/>
        <v>2.3799999999999998E-2</v>
      </c>
      <c r="N32" s="77">
        <f t="shared" si="5"/>
        <v>0</v>
      </c>
      <c r="O32" s="77">
        <f t="shared" si="5"/>
        <v>0</v>
      </c>
      <c r="P32" s="77">
        <f t="shared" si="5"/>
        <v>6.01</v>
      </c>
      <c r="Q32" s="77">
        <f t="shared" ref="Q32:Q50" si="10">(IF(Q$27="%w/w SAR",((Q$28*10)*$B32),IF(Q$27="%w/w DM",(((Q$28*10)*($B$28/100))*$B32),IF(Q$27="kg/t SAR",(Q$28*$B32),IF(Q$27="kg/t DM",((Q$28*($B$28/100))*$B32),IF(Q$27="mg/kg SAR",((Q$28*0.001)*$B32),IF(Q$27="mg/kg DM",(((Q$28*0.001)*($B$28/100))*$B32),0)))))))*2.5</f>
        <v>18.649999999999999</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40</v>
      </c>
      <c r="D33" s="77">
        <f t="shared" si="7"/>
        <v>35.281399999999998</v>
      </c>
      <c r="E33" s="77">
        <f t="shared" si="8"/>
        <v>45.428500000000007</v>
      </c>
      <c r="F33" s="77">
        <f t="shared" si="9"/>
        <v>9.1355800000000009</v>
      </c>
      <c r="G33" s="77">
        <f t="shared" si="5"/>
        <v>7.46</v>
      </c>
      <c r="H33" s="77">
        <f t="shared" si="5"/>
        <v>0.05</v>
      </c>
      <c r="I33" s="77">
        <f t="shared" si="5"/>
        <v>0.05</v>
      </c>
      <c r="J33" s="77">
        <f t="shared" si="5"/>
        <v>1E-3</v>
      </c>
      <c r="K33" s="77">
        <f t="shared" si="5"/>
        <v>5.0000000000000001E-3</v>
      </c>
      <c r="L33" s="77">
        <f t="shared" si="5"/>
        <v>0.02</v>
      </c>
      <c r="M33" s="77">
        <f t="shared" si="5"/>
        <v>2.3799999999999998E-2</v>
      </c>
      <c r="N33" s="77">
        <f t="shared" si="5"/>
        <v>0</v>
      </c>
      <c r="O33" s="77">
        <f t="shared" si="5"/>
        <v>0</v>
      </c>
      <c r="P33" s="77">
        <f t="shared" si="5"/>
        <v>6.01</v>
      </c>
      <c r="Q33" s="77">
        <f t="shared" si="10"/>
        <v>18.649999999999999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40</v>
      </c>
      <c r="D34" s="77">
        <f t="shared" si="7"/>
        <v>35.281399999999998</v>
      </c>
      <c r="E34" s="77">
        <f t="shared" si="8"/>
        <v>45.428500000000007</v>
      </c>
      <c r="F34" s="77">
        <f t="shared" si="9"/>
        <v>9.1355800000000009</v>
      </c>
      <c r="G34" s="77">
        <f t="shared" si="5"/>
        <v>7.46</v>
      </c>
      <c r="H34" s="77">
        <f t="shared" si="5"/>
        <v>0.05</v>
      </c>
      <c r="I34" s="77">
        <f t="shared" si="5"/>
        <v>0.05</v>
      </c>
      <c r="J34" s="77">
        <f t="shared" si="5"/>
        <v>1E-3</v>
      </c>
      <c r="K34" s="77">
        <f t="shared" si="5"/>
        <v>5.0000000000000001E-3</v>
      </c>
      <c r="L34" s="77">
        <f t="shared" si="5"/>
        <v>0.02</v>
      </c>
      <c r="M34" s="77">
        <f t="shared" si="5"/>
        <v>2.3799999999999998E-2</v>
      </c>
      <c r="N34" s="77">
        <f t="shared" si="5"/>
        <v>0</v>
      </c>
      <c r="O34" s="77">
        <f t="shared" si="5"/>
        <v>0</v>
      </c>
      <c r="P34" s="77">
        <f t="shared" si="5"/>
        <v>6.01</v>
      </c>
      <c r="Q34" s="77">
        <f t="shared" si="10"/>
        <v>18.649999999999999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40</v>
      </c>
      <c r="D35" s="77">
        <f t="shared" si="7"/>
        <v>35.281399999999998</v>
      </c>
      <c r="E35" s="77">
        <f t="shared" si="8"/>
        <v>45.428500000000007</v>
      </c>
      <c r="F35" s="77">
        <f t="shared" si="9"/>
        <v>9.1355800000000009</v>
      </c>
      <c r="G35" s="77">
        <f t="shared" si="5"/>
        <v>7.46</v>
      </c>
      <c r="H35" s="77">
        <f t="shared" si="5"/>
        <v>0.05</v>
      </c>
      <c r="I35" s="77">
        <f t="shared" si="5"/>
        <v>0.05</v>
      </c>
      <c r="J35" s="77">
        <f t="shared" si="5"/>
        <v>1E-3</v>
      </c>
      <c r="K35" s="77">
        <f t="shared" si="5"/>
        <v>5.0000000000000001E-3</v>
      </c>
      <c r="L35" s="77">
        <f t="shared" si="5"/>
        <v>0.02</v>
      </c>
      <c r="M35" s="77">
        <f t="shared" si="5"/>
        <v>2.3799999999999998E-2</v>
      </c>
      <c r="N35" s="77">
        <f t="shared" si="5"/>
        <v>0</v>
      </c>
      <c r="O35" s="77">
        <f t="shared" si="5"/>
        <v>0</v>
      </c>
      <c r="P35" s="77">
        <f t="shared" si="5"/>
        <v>6.01</v>
      </c>
      <c r="Q35" s="77">
        <f t="shared" si="10"/>
        <v>18.649999999999999</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40</v>
      </c>
      <c r="D36" s="77">
        <f t="shared" si="7"/>
        <v>35.281399999999998</v>
      </c>
      <c r="E36" s="77">
        <f t="shared" si="8"/>
        <v>45.428500000000007</v>
      </c>
      <c r="F36" s="77">
        <f t="shared" si="9"/>
        <v>9.1355800000000009</v>
      </c>
      <c r="G36" s="77">
        <f t="shared" si="5"/>
        <v>7.46</v>
      </c>
      <c r="H36" s="77">
        <f t="shared" si="5"/>
        <v>0.05</v>
      </c>
      <c r="I36" s="77">
        <f t="shared" si="5"/>
        <v>0.05</v>
      </c>
      <c r="J36" s="77">
        <f t="shared" si="5"/>
        <v>1E-3</v>
      </c>
      <c r="K36" s="77">
        <f t="shared" si="5"/>
        <v>5.0000000000000001E-3</v>
      </c>
      <c r="L36" s="77">
        <f t="shared" si="5"/>
        <v>0.02</v>
      </c>
      <c r="M36" s="77">
        <f t="shared" si="5"/>
        <v>2.3799999999999998E-2</v>
      </c>
      <c r="N36" s="77">
        <f t="shared" si="5"/>
        <v>0</v>
      </c>
      <c r="O36" s="77">
        <f t="shared" si="5"/>
        <v>0</v>
      </c>
      <c r="P36" s="77">
        <f t="shared" si="5"/>
        <v>6.01</v>
      </c>
      <c r="Q36" s="77">
        <f t="shared" si="10"/>
        <v>18.649999999999999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40</v>
      </c>
      <c r="D37" s="77">
        <f t="shared" si="7"/>
        <v>35.281399999999998</v>
      </c>
      <c r="E37" s="77">
        <f t="shared" si="8"/>
        <v>45.428500000000007</v>
      </c>
      <c r="F37" s="77">
        <f t="shared" si="9"/>
        <v>9.1355800000000009</v>
      </c>
      <c r="G37" s="77">
        <f t="shared" si="5"/>
        <v>7.46</v>
      </c>
      <c r="H37" s="77">
        <f t="shared" si="5"/>
        <v>0.05</v>
      </c>
      <c r="I37" s="77">
        <f t="shared" si="5"/>
        <v>0.05</v>
      </c>
      <c r="J37" s="77">
        <f t="shared" si="5"/>
        <v>1E-3</v>
      </c>
      <c r="K37" s="77">
        <f t="shared" si="5"/>
        <v>5.0000000000000001E-3</v>
      </c>
      <c r="L37" s="77">
        <f t="shared" si="5"/>
        <v>0.02</v>
      </c>
      <c r="M37" s="77">
        <f t="shared" si="5"/>
        <v>2.3799999999999998E-2</v>
      </c>
      <c r="N37" s="77">
        <f t="shared" si="5"/>
        <v>0</v>
      </c>
      <c r="O37" s="77">
        <f t="shared" si="5"/>
        <v>0</v>
      </c>
      <c r="P37" s="77">
        <f t="shared" si="5"/>
        <v>6.01</v>
      </c>
      <c r="Q37" s="77">
        <f t="shared" si="10"/>
        <v>18.649999999999999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100</v>
      </c>
      <c r="C38" s="77">
        <f t="shared" si="6"/>
        <v>40</v>
      </c>
      <c r="D38" s="77">
        <f t="shared" si="7"/>
        <v>35.281399999999998</v>
      </c>
      <c r="E38" s="77">
        <f t="shared" si="8"/>
        <v>45.428500000000007</v>
      </c>
      <c r="F38" s="77">
        <f t="shared" si="9"/>
        <v>9.1355800000000009</v>
      </c>
      <c r="G38" s="77">
        <f t="shared" si="5"/>
        <v>7.46</v>
      </c>
      <c r="H38" s="77">
        <f t="shared" si="5"/>
        <v>0.05</v>
      </c>
      <c r="I38" s="77">
        <f t="shared" si="5"/>
        <v>0.05</v>
      </c>
      <c r="J38" s="77">
        <f t="shared" si="5"/>
        <v>1E-3</v>
      </c>
      <c r="K38" s="77">
        <f t="shared" si="5"/>
        <v>5.0000000000000001E-3</v>
      </c>
      <c r="L38" s="77">
        <f t="shared" si="5"/>
        <v>0.02</v>
      </c>
      <c r="M38" s="77">
        <f t="shared" si="5"/>
        <v>2.3799999999999998E-2</v>
      </c>
      <c r="N38" s="77">
        <f t="shared" si="5"/>
        <v>0</v>
      </c>
      <c r="O38" s="77">
        <f t="shared" si="5"/>
        <v>0</v>
      </c>
      <c r="P38" s="77">
        <f t="shared" si="5"/>
        <v>6.01</v>
      </c>
      <c r="Q38" s="77">
        <f t="shared" si="10"/>
        <v>18.649999999999999</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100</v>
      </c>
      <c r="C39" s="77">
        <f t="shared" si="6"/>
        <v>40</v>
      </c>
      <c r="D39" s="77">
        <f t="shared" si="7"/>
        <v>35.281399999999998</v>
      </c>
      <c r="E39" s="77">
        <f t="shared" si="8"/>
        <v>45.428500000000007</v>
      </c>
      <c r="F39" s="77">
        <f t="shared" si="9"/>
        <v>9.1355800000000009</v>
      </c>
      <c r="G39" s="77">
        <f t="shared" si="5"/>
        <v>7.46</v>
      </c>
      <c r="H39" s="77">
        <f t="shared" si="5"/>
        <v>0.05</v>
      </c>
      <c r="I39" s="77">
        <f t="shared" si="5"/>
        <v>0.05</v>
      </c>
      <c r="J39" s="77">
        <f t="shared" si="5"/>
        <v>1E-3</v>
      </c>
      <c r="K39" s="77">
        <f t="shared" si="5"/>
        <v>5.0000000000000001E-3</v>
      </c>
      <c r="L39" s="77">
        <f t="shared" si="5"/>
        <v>0.02</v>
      </c>
      <c r="M39" s="77">
        <f t="shared" si="5"/>
        <v>2.3799999999999998E-2</v>
      </c>
      <c r="N39" s="77">
        <f t="shared" si="5"/>
        <v>0</v>
      </c>
      <c r="O39" s="77">
        <f t="shared" si="5"/>
        <v>0</v>
      </c>
      <c r="P39" s="77">
        <f t="shared" si="5"/>
        <v>6.01</v>
      </c>
      <c r="Q39" s="77">
        <f t="shared" si="10"/>
        <v>18.649999999999999</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100</v>
      </c>
      <c r="C40" s="77">
        <f t="shared" si="6"/>
        <v>40</v>
      </c>
      <c r="D40" s="77">
        <f t="shared" si="7"/>
        <v>35.281399999999998</v>
      </c>
      <c r="E40" s="77">
        <f t="shared" si="8"/>
        <v>45.428500000000007</v>
      </c>
      <c r="F40" s="77">
        <f t="shared" si="9"/>
        <v>9.1355800000000009</v>
      </c>
      <c r="G40" s="77">
        <f t="shared" si="5"/>
        <v>7.46</v>
      </c>
      <c r="H40" s="77">
        <f t="shared" si="5"/>
        <v>0.05</v>
      </c>
      <c r="I40" s="77">
        <f t="shared" si="5"/>
        <v>0.05</v>
      </c>
      <c r="J40" s="77">
        <f t="shared" si="5"/>
        <v>1E-3</v>
      </c>
      <c r="K40" s="77">
        <f t="shared" si="5"/>
        <v>5.0000000000000001E-3</v>
      </c>
      <c r="L40" s="77">
        <f t="shared" si="5"/>
        <v>0.02</v>
      </c>
      <c r="M40" s="77">
        <f t="shared" si="5"/>
        <v>2.3799999999999998E-2</v>
      </c>
      <c r="N40" s="77">
        <f t="shared" si="5"/>
        <v>0</v>
      </c>
      <c r="O40" s="77">
        <f t="shared" si="5"/>
        <v>0</v>
      </c>
      <c r="P40" s="77">
        <f t="shared" si="5"/>
        <v>6.01</v>
      </c>
      <c r="Q40" s="77">
        <f t="shared" si="10"/>
        <v>18.649999999999999</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100</v>
      </c>
      <c r="C41" s="77">
        <f t="shared" si="6"/>
        <v>40</v>
      </c>
      <c r="D41" s="77">
        <f t="shared" si="7"/>
        <v>35.281399999999998</v>
      </c>
      <c r="E41" s="77">
        <f t="shared" si="8"/>
        <v>45.428500000000007</v>
      </c>
      <c r="F41" s="77">
        <f t="shared" si="9"/>
        <v>9.1355800000000009</v>
      </c>
      <c r="G41" s="77">
        <f t="shared" si="5"/>
        <v>7.46</v>
      </c>
      <c r="H41" s="77">
        <f t="shared" si="5"/>
        <v>0.05</v>
      </c>
      <c r="I41" s="77">
        <f t="shared" si="5"/>
        <v>0.05</v>
      </c>
      <c r="J41" s="77">
        <f t="shared" si="5"/>
        <v>1E-3</v>
      </c>
      <c r="K41" s="77">
        <f t="shared" si="5"/>
        <v>5.0000000000000001E-3</v>
      </c>
      <c r="L41" s="77">
        <f t="shared" si="5"/>
        <v>0.02</v>
      </c>
      <c r="M41" s="77">
        <f t="shared" si="5"/>
        <v>2.3799999999999998E-2</v>
      </c>
      <c r="N41" s="77">
        <f t="shared" si="5"/>
        <v>0</v>
      </c>
      <c r="O41" s="77">
        <f t="shared" si="5"/>
        <v>0</v>
      </c>
      <c r="P41" s="77">
        <f t="shared" si="5"/>
        <v>6.01</v>
      </c>
      <c r="Q41" s="77">
        <f t="shared" si="10"/>
        <v>18.649999999999999</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100</v>
      </c>
      <c r="C42" s="77">
        <f t="shared" si="6"/>
        <v>40</v>
      </c>
      <c r="D42" s="77">
        <f t="shared" si="7"/>
        <v>35.281399999999998</v>
      </c>
      <c r="E42" s="77">
        <f t="shared" si="8"/>
        <v>45.428500000000007</v>
      </c>
      <c r="F42" s="77">
        <f t="shared" si="9"/>
        <v>9.1355800000000009</v>
      </c>
      <c r="G42" s="77">
        <f t="shared" si="5"/>
        <v>7.46</v>
      </c>
      <c r="H42" s="77">
        <f t="shared" si="5"/>
        <v>0.05</v>
      </c>
      <c r="I42" s="77">
        <f t="shared" si="5"/>
        <v>0.05</v>
      </c>
      <c r="J42" s="77">
        <f t="shared" si="5"/>
        <v>1E-3</v>
      </c>
      <c r="K42" s="77">
        <f t="shared" si="5"/>
        <v>5.0000000000000001E-3</v>
      </c>
      <c r="L42" s="77">
        <f t="shared" si="5"/>
        <v>0.02</v>
      </c>
      <c r="M42" s="77">
        <f t="shared" si="5"/>
        <v>2.3799999999999998E-2</v>
      </c>
      <c r="N42" s="77">
        <f t="shared" si="5"/>
        <v>0</v>
      </c>
      <c r="O42" s="77">
        <f t="shared" si="5"/>
        <v>0</v>
      </c>
      <c r="P42" s="77">
        <f t="shared" si="5"/>
        <v>6.01</v>
      </c>
      <c r="Q42" s="77">
        <f t="shared" si="10"/>
        <v>18.649999999999999</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100</v>
      </c>
      <c r="C43" s="77">
        <f t="shared" si="6"/>
        <v>40</v>
      </c>
      <c r="D43" s="77">
        <f t="shared" si="7"/>
        <v>35.281399999999998</v>
      </c>
      <c r="E43" s="77">
        <f t="shared" si="8"/>
        <v>45.428500000000007</v>
      </c>
      <c r="F43" s="77">
        <f t="shared" si="9"/>
        <v>9.1355800000000009</v>
      </c>
      <c r="G43" s="77">
        <f t="shared" si="5"/>
        <v>7.46</v>
      </c>
      <c r="H43" s="77">
        <f t="shared" si="5"/>
        <v>0.05</v>
      </c>
      <c r="I43" s="77">
        <f t="shared" si="5"/>
        <v>0.05</v>
      </c>
      <c r="J43" s="77">
        <f t="shared" si="5"/>
        <v>1E-3</v>
      </c>
      <c r="K43" s="77">
        <f t="shared" si="5"/>
        <v>5.0000000000000001E-3</v>
      </c>
      <c r="L43" s="77">
        <f t="shared" si="5"/>
        <v>0.02</v>
      </c>
      <c r="M43" s="77">
        <f t="shared" si="5"/>
        <v>2.3799999999999998E-2</v>
      </c>
      <c r="N43" s="77">
        <f t="shared" si="5"/>
        <v>0</v>
      </c>
      <c r="O43" s="77">
        <f t="shared" si="5"/>
        <v>0</v>
      </c>
      <c r="P43" s="77">
        <f t="shared" si="5"/>
        <v>6.01</v>
      </c>
      <c r="Q43" s="77">
        <f t="shared" si="10"/>
        <v>18.649999999999999</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100</v>
      </c>
      <c r="C44" s="77">
        <f t="shared" si="6"/>
        <v>40</v>
      </c>
      <c r="D44" s="77">
        <f t="shared" si="7"/>
        <v>35.281399999999998</v>
      </c>
      <c r="E44" s="77">
        <f t="shared" si="8"/>
        <v>45.428500000000007</v>
      </c>
      <c r="F44" s="77">
        <f t="shared" si="9"/>
        <v>9.1355800000000009</v>
      </c>
      <c r="G44" s="77">
        <f t="shared" si="5"/>
        <v>7.46</v>
      </c>
      <c r="H44" s="77">
        <f t="shared" si="5"/>
        <v>0.05</v>
      </c>
      <c r="I44" s="77">
        <f t="shared" si="5"/>
        <v>0.05</v>
      </c>
      <c r="J44" s="77">
        <f t="shared" si="5"/>
        <v>1E-3</v>
      </c>
      <c r="K44" s="77">
        <f t="shared" si="5"/>
        <v>5.0000000000000001E-3</v>
      </c>
      <c r="L44" s="77">
        <f t="shared" si="5"/>
        <v>0.02</v>
      </c>
      <c r="M44" s="77">
        <f t="shared" si="5"/>
        <v>2.3799999999999998E-2</v>
      </c>
      <c r="N44" s="77">
        <f t="shared" si="5"/>
        <v>0</v>
      </c>
      <c r="O44" s="77">
        <f t="shared" si="5"/>
        <v>0</v>
      </c>
      <c r="P44" s="77">
        <f t="shared" si="5"/>
        <v>6.01</v>
      </c>
      <c r="Q44" s="77">
        <f t="shared" si="10"/>
        <v>18.649999999999999</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100</v>
      </c>
      <c r="C45" s="77">
        <f t="shared" si="6"/>
        <v>40</v>
      </c>
      <c r="D45" s="77">
        <f t="shared" si="7"/>
        <v>35.281399999999998</v>
      </c>
      <c r="E45" s="77">
        <f t="shared" si="8"/>
        <v>45.428500000000007</v>
      </c>
      <c r="F45" s="77">
        <f t="shared" si="9"/>
        <v>9.1355800000000009</v>
      </c>
      <c r="G45" s="77">
        <f t="shared" si="5"/>
        <v>7.46</v>
      </c>
      <c r="H45" s="77">
        <f t="shared" si="5"/>
        <v>0.05</v>
      </c>
      <c r="I45" s="77">
        <f t="shared" si="5"/>
        <v>0.05</v>
      </c>
      <c r="J45" s="77">
        <f t="shared" si="5"/>
        <v>1E-3</v>
      </c>
      <c r="K45" s="77">
        <f t="shared" si="5"/>
        <v>5.0000000000000001E-3</v>
      </c>
      <c r="L45" s="77">
        <f t="shared" si="5"/>
        <v>0.02</v>
      </c>
      <c r="M45" s="77">
        <f t="shared" si="5"/>
        <v>2.3799999999999998E-2</v>
      </c>
      <c r="N45" s="77">
        <f t="shared" si="5"/>
        <v>0</v>
      </c>
      <c r="O45" s="77">
        <f t="shared" si="5"/>
        <v>0</v>
      </c>
      <c r="P45" s="77">
        <f t="shared" si="5"/>
        <v>6.01</v>
      </c>
      <c r="Q45" s="77">
        <f t="shared" si="10"/>
        <v>18.649999999999999</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100</v>
      </c>
      <c r="C46" s="77">
        <f t="shared" si="6"/>
        <v>40</v>
      </c>
      <c r="D46" s="77">
        <f t="shared" si="7"/>
        <v>35.281399999999998</v>
      </c>
      <c r="E46" s="77">
        <f t="shared" si="8"/>
        <v>45.428500000000007</v>
      </c>
      <c r="F46" s="77">
        <f t="shared" si="9"/>
        <v>9.1355800000000009</v>
      </c>
      <c r="G46" s="77">
        <f t="shared" si="5"/>
        <v>7.46</v>
      </c>
      <c r="H46" s="77">
        <f t="shared" si="5"/>
        <v>0.05</v>
      </c>
      <c r="I46" s="77">
        <f t="shared" si="5"/>
        <v>0.05</v>
      </c>
      <c r="J46" s="77">
        <f t="shared" si="5"/>
        <v>1E-3</v>
      </c>
      <c r="K46" s="77">
        <f t="shared" si="5"/>
        <v>5.0000000000000001E-3</v>
      </c>
      <c r="L46" s="77">
        <f t="shared" si="5"/>
        <v>0.02</v>
      </c>
      <c r="M46" s="77">
        <f t="shared" si="5"/>
        <v>2.3799999999999998E-2</v>
      </c>
      <c r="N46" s="77">
        <f t="shared" si="5"/>
        <v>0</v>
      </c>
      <c r="O46" s="77">
        <f t="shared" si="5"/>
        <v>0</v>
      </c>
      <c r="P46" s="77">
        <f t="shared" si="5"/>
        <v>6.01</v>
      </c>
      <c r="Q46" s="77">
        <f t="shared" si="10"/>
        <v>18.649999999999999</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100</v>
      </c>
      <c r="C47" s="77">
        <f t="shared" si="6"/>
        <v>40</v>
      </c>
      <c r="D47" s="77">
        <f t="shared" si="7"/>
        <v>35.281399999999998</v>
      </c>
      <c r="E47" s="77">
        <f t="shared" si="8"/>
        <v>45.428500000000007</v>
      </c>
      <c r="F47" s="77">
        <f t="shared" si="9"/>
        <v>9.1355800000000009</v>
      </c>
      <c r="G47" s="77">
        <f t="shared" ref="G47:P50" si="12">IF(G$27="%w/w SAR",((G$28*10)*$B47),IF(G$27="%w/w DM",(((G$28*10)*($B$28/100))*$B47),IF(G$27="kg/t SAR",(G$28*$B47),IF(G$27="kg/t DM",((G$28*($B$28/100))*$B47),IF(G$27="mg/kg SAR",((G$28*0.001)*$B47),IF(G$27="mg/kg DM",(((G$28*0.001)*($B$28/100))*$B47),0))))))</f>
        <v>7.46</v>
      </c>
      <c r="H47" s="77">
        <f t="shared" si="12"/>
        <v>0.05</v>
      </c>
      <c r="I47" s="77">
        <f t="shared" si="12"/>
        <v>0.05</v>
      </c>
      <c r="J47" s="77">
        <f t="shared" si="12"/>
        <v>1E-3</v>
      </c>
      <c r="K47" s="77">
        <f t="shared" si="12"/>
        <v>5.0000000000000001E-3</v>
      </c>
      <c r="L47" s="77">
        <f t="shared" si="12"/>
        <v>0.02</v>
      </c>
      <c r="M47" s="77">
        <f t="shared" si="12"/>
        <v>2.3799999999999998E-2</v>
      </c>
      <c r="N47" s="77">
        <f t="shared" si="12"/>
        <v>0</v>
      </c>
      <c r="O47" s="77">
        <f t="shared" si="12"/>
        <v>0</v>
      </c>
      <c r="P47" s="77">
        <f t="shared" si="12"/>
        <v>6.01</v>
      </c>
      <c r="Q47" s="77">
        <f t="shared" si="10"/>
        <v>18.649999999999999</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100</v>
      </c>
      <c r="C48" s="77">
        <f t="shared" si="6"/>
        <v>40</v>
      </c>
      <c r="D48" s="77">
        <f t="shared" si="7"/>
        <v>35.281399999999998</v>
      </c>
      <c r="E48" s="77">
        <f t="shared" si="8"/>
        <v>45.428500000000007</v>
      </c>
      <c r="F48" s="77">
        <f t="shared" si="9"/>
        <v>9.1355800000000009</v>
      </c>
      <c r="G48" s="77">
        <f t="shared" si="12"/>
        <v>7.46</v>
      </c>
      <c r="H48" s="77">
        <f t="shared" si="12"/>
        <v>0.05</v>
      </c>
      <c r="I48" s="77">
        <f t="shared" si="12"/>
        <v>0.05</v>
      </c>
      <c r="J48" s="77">
        <f t="shared" si="12"/>
        <v>1E-3</v>
      </c>
      <c r="K48" s="77">
        <f t="shared" si="12"/>
        <v>5.0000000000000001E-3</v>
      </c>
      <c r="L48" s="77">
        <f t="shared" si="12"/>
        <v>0.02</v>
      </c>
      <c r="M48" s="77">
        <f t="shared" si="12"/>
        <v>2.3799999999999998E-2</v>
      </c>
      <c r="N48" s="77">
        <f t="shared" si="12"/>
        <v>0</v>
      </c>
      <c r="O48" s="77">
        <f t="shared" si="12"/>
        <v>0</v>
      </c>
      <c r="P48" s="77">
        <f t="shared" si="12"/>
        <v>6.01</v>
      </c>
      <c r="Q48" s="77">
        <f t="shared" si="10"/>
        <v>18.649999999999999</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"&amp;(VLOOKUP(C14,Table245811[],6,FALSE))</f>
        <v>Sandy Loam I Grass</v>
      </c>
      <c r="C58" s="13" t="str">
        <f>D16&amp;" I "&amp;(VLOOKUP(D14,Table245811[],6,FALSE))</f>
        <v>Sandy Loam I Grass</v>
      </c>
      <c r="D58" s="13" t="str">
        <f>E16&amp;" I "&amp;(VLOOKUP(E14,Table245811[],6,FALSE))</f>
        <v>Sandy Loam I Grass</v>
      </c>
      <c r="E58" s="13" t="str">
        <f>F16&amp;" I "&amp;(VLOOKUP(F14,Table245811[],6,FALSE))</f>
        <v>Sandy Loam I Grass</v>
      </c>
      <c r="F58" s="13" t="str">
        <f>G16&amp;" I "&amp;(VLOOKUP(G14,Table245811[],6,FALSE))</f>
        <v>Sandy Loam I Grass</v>
      </c>
      <c r="G58" s="13" t="str">
        <f>H16&amp;" I "&amp;(VLOOKUP(H14,Table245811[],6,FALSE))</f>
        <v>Sandy Loam I Grass</v>
      </c>
      <c r="H58" s="13" t="str">
        <f>I16&amp;" I "&amp;(VLOOKUP(I14,Table245811[],6,FALSE))</f>
        <v>Sandy Loam I Grass</v>
      </c>
      <c r="I58" s="13" t="str">
        <f>J16&amp;" I "&amp;(VLOOKUP(J14,Table245811[],6,FALSE))</f>
        <v>Sandy Loam I Grass</v>
      </c>
      <c r="J58" s="13" t="str">
        <f>K16&amp;" I "&amp;(VLOOKUP(K14,Table245811[],6,FALSE))</f>
        <v>Sandy Loam I Grass</v>
      </c>
      <c r="K58" s="13" t="str">
        <f>L16&amp;" I "&amp;(VLOOKUP(L14,Table245811[],6,FALSE))</f>
        <v>Sandy Loam I Grass</v>
      </c>
      <c r="L58" s="13" t="str">
        <f>M16&amp;" I "&amp;(VLOOKUP(M14,Table245811[],6,FALSE))</f>
        <v>Sandy Loam I Grass</v>
      </c>
      <c r="M58" s="13" t="str">
        <f>N16&amp;" I "&amp;(VLOOKUP(N14,Table245811[],6,FALSE))</f>
        <v>Sandy Loam I Grass</v>
      </c>
      <c r="N58" s="13" t="str">
        <f>O16&amp;" I "&amp;(VLOOKUP(O14,Table245811[],6,FALSE))</f>
        <v>Sandy Loam I Grass</v>
      </c>
      <c r="O58" s="13" t="str">
        <f>P16&amp;" I "&amp;(VLOOKUP(P14,Table245811[],6,FALSE))</f>
        <v>Sandy Loam I Grass</v>
      </c>
      <c r="P58" s="13" t="str">
        <f>Q16&amp;" I "&amp;(VLOOKUP(Q14,Table245811[],6,FALSE))</f>
        <v>Sandy Loam I Grass</v>
      </c>
      <c r="Q58" s="13" t="str">
        <f>R16&amp;" I "&amp;(VLOOKUP(R14,Table245811[],6,FALSE))</f>
        <v>Sandy Loam I Grass</v>
      </c>
      <c r="R58" s="13" t="str">
        <f>S16&amp;" I "&amp;(VLOOKUP(S14,Table245811[],6,FALSE))</f>
        <v>Sandy Loam I Grass</v>
      </c>
      <c r="S58" s="13" t="str">
        <f>T16&amp;" I "&amp;(VLOOKUP(T14,Table245811[],6,FALSE))</f>
        <v>Sandy Loam I Grass</v>
      </c>
      <c r="T58" s="13" t="str">
        <f>U16&amp;" I "&amp;(VLOOKUP(U14,Table245811[],6,FALSE))</f>
        <v>Sandy Loam I Grass</v>
      </c>
      <c r="U58" s="13" t="str">
        <f>V16&amp;" I "&amp;(VLOOKUP(V14,Table245811[],6,FALSE))</f>
        <v>Sandy Loam I Grass</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f>VLOOKUP(J$14,Table245811[],5,FALSE)</f>
        <v>6.2</v>
      </c>
      <c r="J59" s="76">
        <f>VLOOKUP(K$14,Table245811[],5,FALSE)</f>
        <v>6.2</v>
      </c>
      <c r="K59" s="76">
        <f>VLOOKUP(L$14,Table245811[],5,FALSE)</f>
        <v>6.2</v>
      </c>
      <c r="L59" s="76">
        <f>VLOOKUP(M$14,Table245811[],5,FALSE)</f>
        <v>6.2</v>
      </c>
      <c r="M59" s="76">
        <f>VLOOKUP(N$14,Table245811[],5,FALSE)</f>
        <v>6.2</v>
      </c>
      <c r="N59" s="76">
        <f>VLOOKUP(O$14,Table245811[],5,FALSE)</f>
        <v>6.2</v>
      </c>
      <c r="O59" s="76">
        <f>VLOOKUP(P$14,Table245811[],5,FALSE)</f>
        <v>6.2</v>
      </c>
      <c r="P59" s="76">
        <f>VLOOKUP(Q$14,Table245811[],5,FALSE)</f>
        <v>6.2</v>
      </c>
      <c r="Q59" s="76">
        <f>VLOOKUP(R$14,Table245811[],5,FALSE)</f>
        <v>6.2</v>
      </c>
      <c r="R59" s="76">
        <f>VLOOKUP(S$14,Table245811[],5,FALSE)</f>
        <v>6.2</v>
      </c>
      <c r="S59" s="76">
        <f>VLOOKUP(T$14,Table245811[],5,FALSE)</f>
        <v>6.2</v>
      </c>
      <c r="T59" s="76">
        <f>VLOOKUP(U$14,Table245811[],5,FALSE)</f>
        <v>6.2</v>
      </c>
      <c r="U59" s="76">
        <f>VLOOKUP(V$14,Table245811[],5,FALSE)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100</v>
      </c>
      <c r="J62" s="77">
        <f>B39</f>
        <v>100</v>
      </c>
      <c r="K62" s="77">
        <f>B40</f>
        <v>100</v>
      </c>
      <c r="L62" s="77">
        <f>B41</f>
        <v>100</v>
      </c>
      <c r="M62" s="77">
        <f>B42</f>
        <v>100</v>
      </c>
      <c r="N62" s="77">
        <f>B43</f>
        <v>100</v>
      </c>
      <c r="O62" s="77">
        <f>B44</f>
        <v>100</v>
      </c>
      <c r="P62" s="77">
        <f>B45</f>
        <v>100</v>
      </c>
      <c r="Q62" s="77">
        <f>B46</f>
        <v>100</v>
      </c>
      <c r="R62" s="77">
        <f>B47</f>
        <v>100</v>
      </c>
      <c r="S62" s="77">
        <f>B48</f>
        <v>100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e2/TABILz+LZ8hVlwX2lb7cZutUD32cjgQjLCjwmlXaP+AeKA6PHQnVx9RkuiXWRPw3wQ/K3Z/wqi0Zq10gNLw==" saltValue="zAaig4d4JJLgj7QPMTR15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35" priority="37" operator="equal">
      <formula>"DECREASE"</formula>
    </cfRule>
    <cfRule type="cellIs" dxfId="334" priority="38" operator="equal">
      <formula>"INCREASE"</formula>
    </cfRule>
  </conditionalFormatting>
  <conditionalFormatting sqref="B31:B50 B62:U66">
    <cfRule type="cellIs" dxfId="333" priority="36" operator="greaterThan">
      <formula>$B$51</formula>
    </cfRule>
  </conditionalFormatting>
  <conditionalFormatting sqref="C31:C50">
    <cfRule type="cellIs" dxfId="332" priority="35" operator="greaterThan">
      <formula>$C$51</formula>
    </cfRule>
  </conditionalFormatting>
  <conditionalFormatting sqref="C18:V18">
    <cfRule type="cellIs" dxfId="331" priority="34" operator="equal">
      <formula>0</formula>
    </cfRule>
  </conditionalFormatting>
  <conditionalFormatting sqref="C17:V17">
    <cfRule type="cellIs" dxfId="330" priority="33" operator="equal">
      <formula>0</formula>
    </cfRule>
  </conditionalFormatting>
  <conditionalFormatting sqref="C19:V19">
    <cfRule type="cellIs" dxfId="329" priority="32"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8" operator="greaterThan">
      <formula>$K$51</formula>
    </cfRule>
  </conditionalFormatting>
  <conditionalFormatting sqref="L31:L50">
    <cfRule type="cellIs" dxfId="324" priority="27" operator="greaterThan">
      <formula>$L$51</formula>
    </cfRule>
  </conditionalFormatting>
  <conditionalFormatting sqref="M31:M50">
    <cfRule type="cellIs" dxfId="323" priority="26" operator="greaterThan">
      <formula>$M$51</formula>
    </cfRule>
  </conditionalFormatting>
  <conditionalFormatting sqref="P31:P50">
    <cfRule type="cellIs" dxfId="322" priority="25" operator="greaterThan">
      <formula>$P$51</formula>
    </cfRule>
  </conditionalFormatting>
  <conditionalFormatting sqref="R31:R50">
    <cfRule type="cellIs" dxfId="321" priority="24" operator="greaterThan">
      <formula>$R$51</formula>
    </cfRule>
  </conditionalFormatting>
  <conditionalFormatting sqref="S31:S50">
    <cfRule type="cellIs" dxfId="320" priority="23" operator="greaterThan">
      <formula>$S$51</formula>
    </cfRule>
  </conditionalFormatting>
  <conditionalFormatting sqref="T31:T50">
    <cfRule type="cellIs" dxfId="319" priority="22" operator="greaterThan">
      <formula>$T$51</formula>
    </cfRule>
  </conditionalFormatting>
  <conditionalFormatting sqref="U31:U50">
    <cfRule type="cellIs" dxfId="318" priority="21" operator="greaterThan">
      <formula>$U$51</formula>
    </cfRule>
  </conditionalFormatting>
  <conditionalFormatting sqref="C22:V22">
    <cfRule type="cellIs" dxfId="317" priority="20" operator="equal">
      <formula>0</formula>
    </cfRule>
  </conditionalFormatting>
  <conditionalFormatting sqref="C24:V24">
    <cfRule type="cellIs" dxfId="316" priority="18" operator="equal">
      <formula>"DECREASE"</formula>
    </cfRule>
    <cfRule type="cellIs" dxfId="315" priority="19" operator="equal">
      <formula>"INCREASE"</formula>
    </cfRule>
  </conditionalFormatting>
  <conditionalFormatting sqref="C23:V23">
    <cfRule type="cellIs" dxfId="314" priority="17" operator="equal">
      <formula>0</formula>
    </cfRule>
  </conditionalFormatting>
  <conditionalFormatting sqref="C21:V21">
    <cfRule type="cellIs" dxfId="313" priority="13" operator="equal">
      <formula>0</formula>
    </cfRule>
  </conditionalFormatting>
  <conditionalFormatting sqref="B66:U66">
    <cfRule type="cellIs" dxfId="312" priority="11" operator="equal">
      <formula>"UNDER"</formula>
    </cfRule>
    <cfRule type="cellIs" dxfId="311" priority="12" operator="equal">
      <formula>"OVER"</formula>
    </cfRule>
  </conditionalFormatting>
  <conditionalFormatting sqref="J31:J50">
    <cfRule type="cellIs" dxfId="310" priority="8" operator="greaterThan">
      <formula>$J$51</formula>
    </cfRule>
  </conditionalFormatting>
  <conditionalFormatting sqref="L3">
    <cfRule type="cellIs" dxfId="309" priority="4" operator="lessThan">
      <formula>30</formula>
    </cfRule>
    <cfRule type="cellIs" dxfId="308" priority="5" operator="greaterThanOrEqual">
      <formula>30</formula>
    </cfRule>
  </conditionalFormatting>
  <conditionalFormatting sqref="I1">
    <cfRule type="cellIs" dxfId="307" priority="3" operator="between">
      <formula>0.1</formula>
      <formula>5</formula>
    </cfRule>
  </conditionalFormatting>
  <conditionalFormatting sqref="I2">
    <cfRule type="cellIs" dxfId="306" priority="2" operator="greaterThan">
      <formula>5000.1</formula>
    </cfRule>
  </conditionalFormatting>
  <conditionalFormatting sqref="I3">
    <cfRule type="cellIs" dxfId="305"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Q40" sqref="Q40"/>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5.83</v>
      </c>
      <c r="J1" s="127" t="s">
        <v>153</v>
      </c>
      <c r="K1" s="127"/>
      <c r="L1" s="97">
        <v>424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168</v>
      </c>
      <c r="G2" s="125" t="s">
        <v>110</v>
      </c>
      <c r="H2" s="126"/>
      <c r="I2" s="118">
        <v>2201</v>
      </c>
      <c r="J2" s="127" t="s">
        <v>158</v>
      </c>
      <c r="K2" s="127"/>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460</v>
      </c>
      <c r="J3" s="123" t="s">
        <v>154</v>
      </c>
      <c r="K3" s="124"/>
      <c r="L3" s="97">
        <f>(L1/(L2*10000))*100</f>
        <v>60.571428571428562</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172</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8.7287099999999995</v>
      </c>
      <c r="D18" s="16">
        <f>$D32</f>
        <v>8.7287099999999995</v>
      </c>
      <c r="E18" s="16">
        <f>$D33</f>
        <v>8.7287099999999995</v>
      </c>
      <c r="F18" s="16">
        <f>$D34</f>
        <v>8.7287099999999995</v>
      </c>
      <c r="G18" s="16">
        <f>$D35</f>
        <v>8.7287099999999995</v>
      </c>
      <c r="H18" s="16">
        <f>$D36</f>
        <v>8.7287099999999995</v>
      </c>
      <c r="I18" s="16">
        <f>$D37</f>
        <v>8.7287099999999995</v>
      </c>
      <c r="J18" s="16">
        <f>$D38</f>
        <v>8.7287099999999995</v>
      </c>
      <c r="K18" s="16">
        <f>$D39</f>
        <v>8.7287099999999995</v>
      </c>
      <c r="L18" s="16">
        <f>$D40</f>
        <v>8.7287099999999995</v>
      </c>
      <c r="M18" s="16">
        <f>$D41</f>
        <v>8.7287099999999995</v>
      </c>
      <c r="N18" s="16">
        <f>$D42</f>
        <v>8.7287099999999995</v>
      </c>
      <c r="O18" s="16">
        <f>$D43</f>
        <v>8.7287099999999995</v>
      </c>
      <c r="P18" s="16">
        <f>$D44</f>
        <v>8.7287099999999995</v>
      </c>
      <c r="Q18" s="16">
        <f>$D45</f>
        <v>8.7287099999999995</v>
      </c>
      <c r="R18" s="16">
        <f>$D46</f>
        <v>8.7287099999999995</v>
      </c>
      <c r="S18" s="16">
        <f>$D47</f>
        <v>8.7287099999999995</v>
      </c>
      <c r="T18" s="16">
        <f>$D48</f>
        <v>8.7287099999999995</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-55.871289999999995</v>
      </c>
      <c r="D19" s="16">
        <f t="shared" ref="D19:V19" si="1">D18-D17</f>
        <v>-55.871289999999995</v>
      </c>
      <c r="E19" s="16">
        <f t="shared" si="1"/>
        <v>-55.871289999999995</v>
      </c>
      <c r="F19" s="16">
        <f t="shared" si="1"/>
        <v>-55.871289999999995</v>
      </c>
      <c r="G19" s="16">
        <f t="shared" si="1"/>
        <v>-55.871289999999995</v>
      </c>
      <c r="H19" s="16">
        <f t="shared" si="1"/>
        <v>-55.871289999999995</v>
      </c>
      <c r="I19" s="16">
        <f t="shared" si="1"/>
        <v>-55.871289999999995</v>
      </c>
      <c r="J19" s="16">
        <f t="shared" si="1"/>
        <v>-55.871289999999995</v>
      </c>
      <c r="K19" s="16">
        <f t="shared" si="1"/>
        <v>-55.871289999999995</v>
      </c>
      <c r="L19" s="16">
        <f t="shared" si="1"/>
        <v>-55.871289999999995</v>
      </c>
      <c r="M19" s="16">
        <f t="shared" si="1"/>
        <v>-55.871289999999995</v>
      </c>
      <c r="N19" s="16">
        <f t="shared" si="1"/>
        <v>-55.871289999999995</v>
      </c>
      <c r="O19" s="16">
        <f t="shared" si="1"/>
        <v>-55.871289999999995</v>
      </c>
      <c r="P19" s="16">
        <f t="shared" si="1"/>
        <v>-55.871289999999995</v>
      </c>
      <c r="Q19" s="16">
        <f t="shared" si="1"/>
        <v>-55.871289999999995</v>
      </c>
      <c r="R19" s="16">
        <f t="shared" si="1"/>
        <v>-55.871289999999995</v>
      </c>
      <c r="S19" s="16">
        <f t="shared" si="1"/>
        <v>-55.871289999999995</v>
      </c>
      <c r="T19" s="16">
        <f t="shared" si="1"/>
        <v>-55.871289999999995</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4.1211000000000002</v>
      </c>
      <c r="D22" s="16">
        <f>$E32</f>
        <v>4.1211000000000002</v>
      </c>
      <c r="E22" s="16">
        <f>$E33</f>
        <v>4.1211000000000002</v>
      </c>
      <c r="F22" s="16">
        <f>$E34</f>
        <v>4.1211000000000002</v>
      </c>
      <c r="G22" s="16">
        <f>$E35</f>
        <v>4.1211000000000002</v>
      </c>
      <c r="H22" s="16">
        <f>$E36</f>
        <v>4.1211000000000002</v>
      </c>
      <c r="I22" s="16">
        <f>$E37</f>
        <v>4.1211000000000002</v>
      </c>
      <c r="J22" s="16">
        <f>$E38</f>
        <v>4.1211000000000002</v>
      </c>
      <c r="K22" s="16">
        <f>$E39</f>
        <v>4.1211000000000002</v>
      </c>
      <c r="L22" s="16">
        <f>$E40</f>
        <v>4.1211000000000002</v>
      </c>
      <c r="M22" s="16">
        <f>$E41</f>
        <v>4.1211000000000002</v>
      </c>
      <c r="N22" s="16">
        <f>$E42</f>
        <v>4.1211000000000002</v>
      </c>
      <c r="O22" s="16">
        <f>$E43</f>
        <v>4.1211000000000002</v>
      </c>
      <c r="P22" s="16">
        <f>$E44</f>
        <v>4.1211000000000002</v>
      </c>
      <c r="Q22" s="16">
        <f>$E45</f>
        <v>4.1211000000000002</v>
      </c>
      <c r="R22" s="16">
        <f>$E46</f>
        <v>4.1211000000000002</v>
      </c>
      <c r="S22" s="16">
        <f>$E47</f>
        <v>4.1211000000000002</v>
      </c>
      <c r="T22" s="16">
        <f>$E48</f>
        <v>4.1211000000000002</v>
      </c>
      <c r="U22" s="16">
        <f>$E49</f>
        <v>0</v>
      </c>
      <c r="V22" s="16">
        <f>$E50</f>
        <v>0</v>
      </c>
      <c r="AI22" s="63" t="s">
        <v>102</v>
      </c>
      <c r="AJ22" s="64">
        <v>1.2</v>
      </c>
      <c r="AK22" s="65">
        <v>5</v>
      </c>
      <c r="AL22" s="29">
        <v>20</v>
      </c>
      <c r="AM22" s="11">
        <v>6.7</v>
      </c>
      <c r="AN22" s="11" t="s">
        <v>135</v>
      </c>
    </row>
    <row r="23" spans="1:40" ht="13" x14ac:dyDescent="0.25">
      <c r="A23" s="131" t="s">
        <v>92</v>
      </c>
      <c r="B23" s="132"/>
      <c r="C23" s="16">
        <f>C22-C21</f>
        <v>-223.87889999999999</v>
      </c>
      <c r="D23" s="16">
        <f t="shared" ref="D23:V23" si="3">D22-D21</f>
        <v>-223.87889999999999</v>
      </c>
      <c r="E23" s="16">
        <f t="shared" si="3"/>
        <v>-223.87889999999999</v>
      </c>
      <c r="F23" s="16">
        <f t="shared" si="3"/>
        <v>-223.87889999999999</v>
      </c>
      <c r="G23" s="16">
        <f t="shared" si="3"/>
        <v>-223.87889999999999</v>
      </c>
      <c r="H23" s="16">
        <f t="shared" si="3"/>
        <v>-223.87889999999999</v>
      </c>
      <c r="I23" s="16">
        <f t="shared" si="3"/>
        <v>-223.87889999999999</v>
      </c>
      <c r="J23" s="16">
        <f t="shared" si="3"/>
        <v>-223.87889999999999</v>
      </c>
      <c r="K23" s="16">
        <f t="shared" si="3"/>
        <v>-223.87889999999999</v>
      </c>
      <c r="L23" s="16">
        <f t="shared" si="3"/>
        <v>-223.87889999999999</v>
      </c>
      <c r="M23" s="16">
        <f t="shared" si="3"/>
        <v>-223.87889999999999</v>
      </c>
      <c r="N23" s="16">
        <f t="shared" si="3"/>
        <v>-223.87889999999999</v>
      </c>
      <c r="O23" s="16">
        <f t="shared" si="3"/>
        <v>-223.87889999999999</v>
      </c>
      <c r="P23" s="16">
        <f t="shared" si="3"/>
        <v>-223.87889999999999</v>
      </c>
      <c r="Q23" s="16">
        <f t="shared" si="3"/>
        <v>-223.87889999999999</v>
      </c>
      <c r="R23" s="16">
        <f t="shared" si="3"/>
        <v>-223.87889999999999</v>
      </c>
      <c r="S23" s="16">
        <f t="shared" si="3"/>
        <v>-223.87889999999999</v>
      </c>
      <c r="T23" s="16">
        <f t="shared" si="3"/>
        <v>-223.87889999999999</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2.16</v>
      </c>
      <c r="C28" s="15">
        <v>7.0000000000000007E-2</v>
      </c>
      <c r="D28" s="15">
        <v>127</v>
      </c>
      <c r="E28" s="15">
        <v>114</v>
      </c>
      <c r="F28" s="15">
        <v>88.8</v>
      </c>
      <c r="G28" s="15">
        <v>1.37</v>
      </c>
      <c r="H28" s="15">
        <v>34.299999999999997</v>
      </c>
      <c r="I28" s="15">
        <v>0.5</v>
      </c>
      <c r="J28" s="15">
        <v>3.2000000000000001E-2</v>
      </c>
      <c r="K28" s="23">
        <v>0.05</v>
      </c>
      <c r="L28" s="15">
        <v>0.69299999999999995</v>
      </c>
      <c r="M28" s="15">
        <v>0.59</v>
      </c>
      <c r="N28" s="15"/>
      <c r="O28" s="15"/>
      <c r="P28" s="15">
        <v>367</v>
      </c>
      <c r="Q28" s="15">
        <v>103</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30</v>
      </c>
      <c r="C31" s="77">
        <f>IF(C$27="%w/w SAR",((C$28*10)*$B31),IF(C$27="%w/w DM",(((C$28*10)*($B$28/100))*$B31),IF(C$27="kg/t SAR",(C$28*$B31),IF(C$27="kg/t DM",((C$28*($B$28/100))*$B31),IF(C$27="mg/kg SAR",((C$28*0.001)*$B31),IF(C$27="mg/kg DM",(((C$28*0.001)*($B$28/100))*$B31),0))))))</f>
        <v>21.000000000000004</v>
      </c>
      <c r="D31" s="77">
        <f>(IF(D$27="%w/w SAR",((D$28*10)*$B31),IF(D$27="%w/w DM",(((D$28*10)*($B$28/100))*$B31),IF(D$27="kg/t SAR",(D$28*$B31),IF(D$27="kg/t DM",((D$28*($B$28/100))*$B31),IF(D$27="mg/kg SAR",((D$28*0.001)*$B31),IF(D$27="mg/kg DM",(((D$28*0.001)*($B$28/100))*$B31),"0")))))))*2.291</f>
        <v>8.7287099999999995</v>
      </c>
      <c r="E31" s="77">
        <f>(IF(E$27="%w/w SAR",((E$28*10)*$B31),IF(E$27="%w/w DM",(((E$28*10)*($B$28/100))*$B31),IF(E$27="kg/t SAR",(E$28*$B31),IF(E$27="kg/t DM",((E$28*($B$28/100))*$B31),IF(E$27="mg/kg SAR",((E$28*0.001)*$B31),IF(E$27="mg/kg DM",(((E$28*0.001)*($B$28/100))*$B31),"0")))))))*1.205</f>
        <v>4.1211000000000002</v>
      </c>
      <c r="F31" s="77">
        <f>(IF(F$27="%w/w SAR",((F$28*10)*$B31),IF(F$27="%w/w DM",(((F$28*10)*($B$28/100))*$B31),IF(F$27="kg/t SAR",(F$28*$B31),IF(F$27="kg/t DM",((F$28*($B$28/100))*$B31),IF(F$27="mg/kg SAR",((F$28*0.001)*$B31),IF(F$27="mg/kg DM",(((F$28*0.001)*($B$28/100))*$B31),"0")))))))*1.658</f>
        <v>4.4169119999999999</v>
      </c>
      <c r="G31" s="77">
        <f t="shared" ref="G31:P46" si="5">IF(G$27="%w/w SAR",((G$28*10)*$B31),IF(G$27="%w/w DM",(((G$28*10)*($B$28/100))*$B31),IF(G$27="kg/t SAR",(G$28*$B31),IF(G$27="kg/t DM",((G$28*($B$28/100))*$B31),IF(G$27="mg/kg SAR",((G$28*0.001)*$B31),IF(G$27="mg/kg DM",(((G$28*0.001)*($B$28/100))*$B31),0))))))</f>
        <v>4.1100000000000005E-2</v>
      </c>
      <c r="H31" s="77">
        <f t="shared" si="5"/>
        <v>1.0289999999999999</v>
      </c>
      <c r="I31" s="77">
        <f t="shared" si="5"/>
        <v>1.4999999999999999E-2</v>
      </c>
      <c r="J31" s="77">
        <f t="shared" si="5"/>
        <v>9.5999999999999992E-4</v>
      </c>
      <c r="K31" s="77">
        <f t="shared" si="5"/>
        <v>1.5E-3</v>
      </c>
      <c r="L31" s="77">
        <f t="shared" si="5"/>
        <v>2.0789999999999999E-2</v>
      </c>
      <c r="M31" s="77">
        <f t="shared" si="5"/>
        <v>1.77E-2</v>
      </c>
      <c r="N31" s="77">
        <f t="shared" si="5"/>
        <v>0</v>
      </c>
      <c r="O31" s="77">
        <f t="shared" si="5"/>
        <v>0</v>
      </c>
      <c r="P31" s="77">
        <f t="shared" si="5"/>
        <v>11.01</v>
      </c>
      <c r="Q31" s="77">
        <f>(IF(Q$27="%w/w SAR",((Q$28*10)*$B31),IF(Q$27="%w/w DM",(((Q$28*10)*($B$28/100))*$B31),IF(Q$27="kg/t SAR",(Q$28*$B31),IF(Q$27="kg/t DM",((Q$28*($B$28/100))*$B31),IF(Q$27="mg/kg SAR",((Q$28*0.001)*$B31),IF(Q$27="mg/kg DM",(((Q$28*0.001)*($B$28/100))*$B31),0)))))))*2.5</f>
        <v>7.7250000000000005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30</v>
      </c>
      <c r="C32" s="77">
        <f t="shared" ref="C32:C50" si="6">IF(C$27="%w/w SAR",((C$28*10)*$B32),IF(C$27="%w/w DM",(((C$28*10)*($B$28/100))*$B32),IF(C$27="kg/t SAR",(C$28*$B32),IF(C$27="kg/t DM",((C$28*($B$28/100))*$B32),IF(C$27="mg/kg SAR",((C$28*0.001)*$B32),IF(C$27="mg/kg DM",(((C$28*0.001)*($B$28/100))*$B32),0))))))</f>
        <v>21.000000000000004</v>
      </c>
      <c r="D32" s="77">
        <f t="shared" ref="D32:D50" si="7">(IF(D$27="%w/w SAR",((D$28*10)*$B32),IF(D$27="%w/w DM",(((D$28*10)*($B$28/100))*$B32),IF(D$27="kg/t SAR",(D$28*$B32),IF(D$27="kg/t DM",((D$28*($B$28/100))*$B32),IF(D$27="mg/kg SAR",((D$28*0.001)*$B32),IF(D$27="mg/kg DM",(((D$28*0.001)*($B$28/100))*$B32),"0")))))))*2.291</f>
        <v>8.7287099999999995</v>
      </c>
      <c r="E32" s="77">
        <f t="shared" ref="E32:E50" si="8">(IF(E$27="%w/w SAR",((E$28*10)*$B32),IF(E$27="%w/w DM",(((E$28*10)*($B$28/100))*$B32),IF(E$27="kg/t SAR",(E$28*$B32),IF(E$27="kg/t DM",((E$28*($B$28/100))*$B32),IF(E$27="mg/kg SAR",((E$28*0.001)*$B32),IF(E$27="mg/kg DM",(((E$28*0.001)*($B$28/100))*$B32),"0")))))))*1.205</f>
        <v>4.1211000000000002</v>
      </c>
      <c r="F32" s="77">
        <f t="shared" ref="F32:F50" si="9">(IF(F$27="%w/w SAR",((F$28*10)*$B32),IF(F$27="%w/w DM",(((F$28*10)*($B$28/100))*$B32),IF(F$27="kg/t SAR",(F$28*$B32),IF(F$27="kg/t DM",((F$28*($B$28/100))*$B32),IF(F$27="mg/kg SAR",((F$28*0.001)*$B32),IF(F$27="mg/kg DM",(((F$28*0.001)*($B$28/100))*$B32),"0")))))))*1.658</f>
        <v>4.4169119999999999</v>
      </c>
      <c r="G32" s="77">
        <f t="shared" si="5"/>
        <v>4.1100000000000005E-2</v>
      </c>
      <c r="H32" s="77">
        <f t="shared" si="5"/>
        <v>1.0289999999999999</v>
      </c>
      <c r="I32" s="77">
        <f t="shared" si="5"/>
        <v>1.4999999999999999E-2</v>
      </c>
      <c r="J32" s="77">
        <f t="shared" si="5"/>
        <v>9.5999999999999992E-4</v>
      </c>
      <c r="K32" s="77">
        <f t="shared" si="5"/>
        <v>1.5E-3</v>
      </c>
      <c r="L32" s="77">
        <f t="shared" si="5"/>
        <v>2.0789999999999999E-2</v>
      </c>
      <c r="M32" s="77">
        <f t="shared" si="5"/>
        <v>1.77E-2</v>
      </c>
      <c r="N32" s="77">
        <f t="shared" si="5"/>
        <v>0</v>
      </c>
      <c r="O32" s="77">
        <f t="shared" si="5"/>
        <v>0</v>
      </c>
      <c r="P32" s="77">
        <f t="shared" si="5"/>
        <v>11.01</v>
      </c>
      <c r="Q32" s="77">
        <f t="shared" ref="Q32:Q50" si="10">(IF(Q$27="%w/w SAR",((Q$28*10)*$B32),IF(Q$27="%w/w DM",(((Q$28*10)*($B$28/100))*$B32),IF(Q$27="kg/t SAR",(Q$28*$B32),IF(Q$27="kg/t DM",((Q$28*($B$28/100))*$B32),IF(Q$27="mg/kg SAR",((Q$28*0.001)*$B32),IF(Q$27="mg/kg DM",(((Q$28*0.001)*($B$28/100))*$B32),0)))))))*2.5</f>
        <v>7.7250000000000005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30</v>
      </c>
      <c r="C33" s="77">
        <f t="shared" si="6"/>
        <v>21.000000000000004</v>
      </c>
      <c r="D33" s="77">
        <f t="shared" si="7"/>
        <v>8.7287099999999995</v>
      </c>
      <c r="E33" s="77">
        <f t="shared" si="8"/>
        <v>4.1211000000000002</v>
      </c>
      <c r="F33" s="77">
        <f t="shared" si="9"/>
        <v>4.4169119999999999</v>
      </c>
      <c r="G33" s="77">
        <f t="shared" si="5"/>
        <v>4.1100000000000005E-2</v>
      </c>
      <c r="H33" s="77">
        <f t="shared" si="5"/>
        <v>1.0289999999999999</v>
      </c>
      <c r="I33" s="77">
        <f t="shared" si="5"/>
        <v>1.4999999999999999E-2</v>
      </c>
      <c r="J33" s="77">
        <f t="shared" si="5"/>
        <v>9.5999999999999992E-4</v>
      </c>
      <c r="K33" s="77">
        <f t="shared" si="5"/>
        <v>1.5E-3</v>
      </c>
      <c r="L33" s="77">
        <f t="shared" si="5"/>
        <v>2.0789999999999999E-2</v>
      </c>
      <c r="M33" s="77">
        <f t="shared" si="5"/>
        <v>1.77E-2</v>
      </c>
      <c r="N33" s="77">
        <f t="shared" si="5"/>
        <v>0</v>
      </c>
      <c r="O33" s="77">
        <f t="shared" si="5"/>
        <v>0</v>
      </c>
      <c r="P33" s="77">
        <f t="shared" si="5"/>
        <v>11.01</v>
      </c>
      <c r="Q33" s="77">
        <f t="shared" si="10"/>
        <v>7.7250000000000005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30</v>
      </c>
      <c r="C34" s="77">
        <f t="shared" si="6"/>
        <v>21.000000000000004</v>
      </c>
      <c r="D34" s="77">
        <f t="shared" si="7"/>
        <v>8.7287099999999995</v>
      </c>
      <c r="E34" s="77">
        <f t="shared" si="8"/>
        <v>4.1211000000000002</v>
      </c>
      <c r="F34" s="77">
        <f t="shared" si="9"/>
        <v>4.4169119999999999</v>
      </c>
      <c r="G34" s="77">
        <f t="shared" si="5"/>
        <v>4.1100000000000005E-2</v>
      </c>
      <c r="H34" s="77">
        <f t="shared" si="5"/>
        <v>1.0289999999999999</v>
      </c>
      <c r="I34" s="77">
        <f t="shared" si="5"/>
        <v>1.4999999999999999E-2</v>
      </c>
      <c r="J34" s="77">
        <f t="shared" si="5"/>
        <v>9.5999999999999992E-4</v>
      </c>
      <c r="K34" s="77">
        <f t="shared" si="5"/>
        <v>1.5E-3</v>
      </c>
      <c r="L34" s="77">
        <f t="shared" si="5"/>
        <v>2.0789999999999999E-2</v>
      </c>
      <c r="M34" s="77">
        <f t="shared" si="5"/>
        <v>1.77E-2</v>
      </c>
      <c r="N34" s="77">
        <f t="shared" si="5"/>
        <v>0</v>
      </c>
      <c r="O34" s="77">
        <f t="shared" si="5"/>
        <v>0</v>
      </c>
      <c r="P34" s="77">
        <f t="shared" si="5"/>
        <v>11.01</v>
      </c>
      <c r="Q34" s="77">
        <f t="shared" si="10"/>
        <v>7.7250000000000005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30</v>
      </c>
      <c r="C35" s="77">
        <f t="shared" si="6"/>
        <v>21.000000000000004</v>
      </c>
      <c r="D35" s="77">
        <f t="shared" si="7"/>
        <v>8.7287099999999995</v>
      </c>
      <c r="E35" s="77">
        <f t="shared" si="8"/>
        <v>4.1211000000000002</v>
      </c>
      <c r="F35" s="77">
        <f t="shared" si="9"/>
        <v>4.4169119999999999</v>
      </c>
      <c r="G35" s="77">
        <f t="shared" si="5"/>
        <v>4.1100000000000005E-2</v>
      </c>
      <c r="H35" s="77">
        <f t="shared" si="5"/>
        <v>1.0289999999999999</v>
      </c>
      <c r="I35" s="77">
        <f t="shared" si="5"/>
        <v>1.4999999999999999E-2</v>
      </c>
      <c r="J35" s="77">
        <f t="shared" si="5"/>
        <v>9.5999999999999992E-4</v>
      </c>
      <c r="K35" s="77">
        <f t="shared" si="5"/>
        <v>1.5E-3</v>
      </c>
      <c r="L35" s="77">
        <f t="shared" si="5"/>
        <v>2.0789999999999999E-2</v>
      </c>
      <c r="M35" s="77">
        <f t="shared" si="5"/>
        <v>1.77E-2</v>
      </c>
      <c r="N35" s="77">
        <f t="shared" si="5"/>
        <v>0</v>
      </c>
      <c r="O35" s="77">
        <f t="shared" si="5"/>
        <v>0</v>
      </c>
      <c r="P35" s="77">
        <f t="shared" si="5"/>
        <v>11.01</v>
      </c>
      <c r="Q35" s="77">
        <f t="shared" si="10"/>
        <v>7.7250000000000005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30</v>
      </c>
      <c r="C36" s="77">
        <f t="shared" si="6"/>
        <v>21.000000000000004</v>
      </c>
      <c r="D36" s="77">
        <f t="shared" si="7"/>
        <v>8.7287099999999995</v>
      </c>
      <c r="E36" s="77">
        <f t="shared" si="8"/>
        <v>4.1211000000000002</v>
      </c>
      <c r="F36" s="77">
        <f t="shared" si="9"/>
        <v>4.4169119999999999</v>
      </c>
      <c r="G36" s="77">
        <f t="shared" si="5"/>
        <v>4.1100000000000005E-2</v>
      </c>
      <c r="H36" s="77">
        <f t="shared" si="5"/>
        <v>1.0289999999999999</v>
      </c>
      <c r="I36" s="77">
        <f t="shared" si="5"/>
        <v>1.4999999999999999E-2</v>
      </c>
      <c r="J36" s="77">
        <f t="shared" si="5"/>
        <v>9.5999999999999992E-4</v>
      </c>
      <c r="K36" s="77">
        <f t="shared" si="5"/>
        <v>1.5E-3</v>
      </c>
      <c r="L36" s="77">
        <f t="shared" si="5"/>
        <v>2.0789999999999999E-2</v>
      </c>
      <c r="M36" s="77">
        <f t="shared" si="5"/>
        <v>1.77E-2</v>
      </c>
      <c r="N36" s="77">
        <f t="shared" si="5"/>
        <v>0</v>
      </c>
      <c r="O36" s="77">
        <f t="shared" si="5"/>
        <v>0</v>
      </c>
      <c r="P36" s="77">
        <f t="shared" si="5"/>
        <v>11.01</v>
      </c>
      <c r="Q36" s="77">
        <f t="shared" si="10"/>
        <v>7.7250000000000005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30</v>
      </c>
      <c r="C37" s="77">
        <f t="shared" si="6"/>
        <v>21.000000000000004</v>
      </c>
      <c r="D37" s="77">
        <f t="shared" si="7"/>
        <v>8.7287099999999995</v>
      </c>
      <c r="E37" s="77">
        <f t="shared" si="8"/>
        <v>4.1211000000000002</v>
      </c>
      <c r="F37" s="77">
        <f t="shared" si="9"/>
        <v>4.4169119999999999</v>
      </c>
      <c r="G37" s="77">
        <f t="shared" si="5"/>
        <v>4.1100000000000005E-2</v>
      </c>
      <c r="H37" s="77">
        <f t="shared" si="5"/>
        <v>1.0289999999999999</v>
      </c>
      <c r="I37" s="77">
        <f t="shared" si="5"/>
        <v>1.4999999999999999E-2</v>
      </c>
      <c r="J37" s="77">
        <f t="shared" si="5"/>
        <v>9.5999999999999992E-4</v>
      </c>
      <c r="K37" s="77">
        <f t="shared" si="5"/>
        <v>1.5E-3</v>
      </c>
      <c r="L37" s="77">
        <f t="shared" si="5"/>
        <v>2.0789999999999999E-2</v>
      </c>
      <c r="M37" s="77">
        <f t="shared" si="5"/>
        <v>1.77E-2</v>
      </c>
      <c r="N37" s="77">
        <f t="shared" si="5"/>
        <v>0</v>
      </c>
      <c r="O37" s="77">
        <f t="shared" si="5"/>
        <v>0</v>
      </c>
      <c r="P37" s="77">
        <f t="shared" si="5"/>
        <v>11.01</v>
      </c>
      <c r="Q37" s="77">
        <f t="shared" si="10"/>
        <v>7.7250000000000005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30</v>
      </c>
      <c r="C38" s="77">
        <f t="shared" si="6"/>
        <v>21.000000000000004</v>
      </c>
      <c r="D38" s="77">
        <f t="shared" si="7"/>
        <v>8.7287099999999995</v>
      </c>
      <c r="E38" s="77">
        <f t="shared" si="8"/>
        <v>4.1211000000000002</v>
      </c>
      <c r="F38" s="77">
        <f t="shared" si="9"/>
        <v>4.4169119999999999</v>
      </c>
      <c r="G38" s="77">
        <f t="shared" si="5"/>
        <v>4.1100000000000005E-2</v>
      </c>
      <c r="H38" s="77">
        <f t="shared" si="5"/>
        <v>1.0289999999999999</v>
      </c>
      <c r="I38" s="77">
        <f t="shared" si="5"/>
        <v>1.4999999999999999E-2</v>
      </c>
      <c r="J38" s="77">
        <f t="shared" si="5"/>
        <v>9.5999999999999992E-4</v>
      </c>
      <c r="K38" s="77">
        <f t="shared" si="5"/>
        <v>1.5E-3</v>
      </c>
      <c r="L38" s="77">
        <f t="shared" si="5"/>
        <v>2.0789999999999999E-2</v>
      </c>
      <c r="M38" s="77">
        <f t="shared" si="5"/>
        <v>1.77E-2</v>
      </c>
      <c r="N38" s="77">
        <f t="shared" si="5"/>
        <v>0</v>
      </c>
      <c r="O38" s="77">
        <f t="shared" si="5"/>
        <v>0</v>
      </c>
      <c r="P38" s="77">
        <f t="shared" si="5"/>
        <v>11.01</v>
      </c>
      <c r="Q38" s="77">
        <f t="shared" si="10"/>
        <v>7.7250000000000005</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30</v>
      </c>
      <c r="C39" s="77">
        <f t="shared" si="6"/>
        <v>21.000000000000004</v>
      </c>
      <c r="D39" s="77">
        <f t="shared" si="7"/>
        <v>8.7287099999999995</v>
      </c>
      <c r="E39" s="77">
        <f t="shared" si="8"/>
        <v>4.1211000000000002</v>
      </c>
      <c r="F39" s="77">
        <f t="shared" si="9"/>
        <v>4.4169119999999999</v>
      </c>
      <c r="G39" s="77">
        <f t="shared" si="5"/>
        <v>4.1100000000000005E-2</v>
      </c>
      <c r="H39" s="77">
        <f t="shared" si="5"/>
        <v>1.0289999999999999</v>
      </c>
      <c r="I39" s="77">
        <f t="shared" si="5"/>
        <v>1.4999999999999999E-2</v>
      </c>
      <c r="J39" s="77">
        <f t="shared" si="5"/>
        <v>9.5999999999999992E-4</v>
      </c>
      <c r="K39" s="77">
        <f t="shared" si="5"/>
        <v>1.5E-3</v>
      </c>
      <c r="L39" s="77">
        <f t="shared" si="5"/>
        <v>2.0789999999999999E-2</v>
      </c>
      <c r="M39" s="77">
        <f t="shared" si="5"/>
        <v>1.77E-2</v>
      </c>
      <c r="N39" s="77">
        <f t="shared" si="5"/>
        <v>0</v>
      </c>
      <c r="O39" s="77">
        <f t="shared" si="5"/>
        <v>0</v>
      </c>
      <c r="P39" s="77">
        <f t="shared" si="5"/>
        <v>11.01</v>
      </c>
      <c r="Q39" s="77">
        <f t="shared" si="10"/>
        <v>7.7250000000000005</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30</v>
      </c>
      <c r="C40" s="77">
        <f t="shared" si="6"/>
        <v>21.000000000000004</v>
      </c>
      <c r="D40" s="77">
        <f t="shared" si="7"/>
        <v>8.7287099999999995</v>
      </c>
      <c r="E40" s="77">
        <f t="shared" si="8"/>
        <v>4.1211000000000002</v>
      </c>
      <c r="F40" s="77">
        <f t="shared" si="9"/>
        <v>4.4169119999999999</v>
      </c>
      <c r="G40" s="77">
        <f t="shared" si="5"/>
        <v>4.1100000000000005E-2</v>
      </c>
      <c r="H40" s="77">
        <f t="shared" si="5"/>
        <v>1.0289999999999999</v>
      </c>
      <c r="I40" s="77">
        <f t="shared" si="5"/>
        <v>1.4999999999999999E-2</v>
      </c>
      <c r="J40" s="77">
        <f t="shared" si="5"/>
        <v>9.5999999999999992E-4</v>
      </c>
      <c r="K40" s="77">
        <f t="shared" si="5"/>
        <v>1.5E-3</v>
      </c>
      <c r="L40" s="77">
        <f t="shared" si="5"/>
        <v>2.0789999999999999E-2</v>
      </c>
      <c r="M40" s="77">
        <f t="shared" si="5"/>
        <v>1.77E-2</v>
      </c>
      <c r="N40" s="77">
        <f t="shared" si="5"/>
        <v>0</v>
      </c>
      <c r="O40" s="77">
        <f t="shared" si="5"/>
        <v>0</v>
      </c>
      <c r="P40" s="77">
        <f t="shared" si="5"/>
        <v>11.01</v>
      </c>
      <c r="Q40" s="77">
        <f t="shared" si="10"/>
        <v>7.7250000000000005</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30</v>
      </c>
      <c r="C41" s="77">
        <f t="shared" si="6"/>
        <v>21.000000000000004</v>
      </c>
      <c r="D41" s="77">
        <f t="shared" si="7"/>
        <v>8.7287099999999995</v>
      </c>
      <c r="E41" s="77">
        <f t="shared" si="8"/>
        <v>4.1211000000000002</v>
      </c>
      <c r="F41" s="77">
        <f t="shared" si="9"/>
        <v>4.4169119999999999</v>
      </c>
      <c r="G41" s="77">
        <f t="shared" si="5"/>
        <v>4.1100000000000005E-2</v>
      </c>
      <c r="H41" s="77">
        <f t="shared" si="5"/>
        <v>1.0289999999999999</v>
      </c>
      <c r="I41" s="77">
        <f t="shared" si="5"/>
        <v>1.4999999999999999E-2</v>
      </c>
      <c r="J41" s="77">
        <f t="shared" si="5"/>
        <v>9.5999999999999992E-4</v>
      </c>
      <c r="K41" s="77">
        <f t="shared" si="5"/>
        <v>1.5E-3</v>
      </c>
      <c r="L41" s="77">
        <f t="shared" si="5"/>
        <v>2.0789999999999999E-2</v>
      </c>
      <c r="M41" s="77">
        <f t="shared" si="5"/>
        <v>1.77E-2</v>
      </c>
      <c r="N41" s="77">
        <f t="shared" si="5"/>
        <v>0</v>
      </c>
      <c r="O41" s="77">
        <f t="shared" si="5"/>
        <v>0</v>
      </c>
      <c r="P41" s="77">
        <f t="shared" si="5"/>
        <v>11.01</v>
      </c>
      <c r="Q41" s="77">
        <f t="shared" si="10"/>
        <v>7.7250000000000005</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30</v>
      </c>
      <c r="C42" s="77">
        <f t="shared" si="6"/>
        <v>21.000000000000004</v>
      </c>
      <c r="D42" s="77">
        <f t="shared" si="7"/>
        <v>8.7287099999999995</v>
      </c>
      <c r="E42" s="77">
        <f t="shared" si="8"/>
        <v>4.1211000000000002</v>
      </c>
      <c r="F42" s="77">
        <f t="shared" si="9"/>
        <v>4.4169119999999999</v>
      </c>
      <c r="G42" s="77">
        <f t="shared" si="5"/>
        <v>4.1100000000000005E-2</v>
      </c>
      <c r="H42" s="77">
        <f t="shared" si="5"/>
        <v>1.0289999999999999</v>
      </c>
      <c r="I42" s="77">
        <f t="shared" si="5"/>
        <v>1.4999999999999999E-2</v>
      </c>
      <c r="J42" s="77">
        <f t="shared" si="5"/>
        <v>9.5999999999999992E-4</v>
      </c>
      <c r="K42" s="77">
        <f t="shared" si="5"/>
        <v>1.5E-3</v>
      </c>
      <c r="L42" s="77">
        <f t="shared" si="5"/>
        <v>2.0789999999999999E-2</v>
      </c>
      <c r="M42" s="77">
        <f t="shared" si="5"/>
        <v>1.77E-2</v>
      </c>
      <c r="N42" s="77">
        <f t="shared" si="5"/>
        <v>0</v>
      </c>
      <c r="O42" s="77">
        <f t="shared" si="5"/>
        <v>0</v>
      </c>
      <c r="P42" s="77">
        <f t="shared" si="5"/>
        <v>11.01</v>
      </c>
      <c r="Q42" s="77">
        <f t="shared" si="10"/>
        <v>7.7250000000000005</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30</v>
      </c>
      <c r="C43" s="77">
        <f t="shared" si="6"/>
        <v>21.000000000000004</v>
      </c>
      <c r="D43" s="77">
        <f t="shared" si="7"/>
        <v>8.7287099999999995</v>
      </c>
      <c r="E43" s="77">
        <f t="shared" si="8"/>
        <v>4.1211000000000002</v>
      </c>
      <c r="F43" s="77">
        <f t="shared" si="9"/>
        <v>4.4169119999999999</v>
      </c>
      <c r="G43" s="77">
        <f t="shared" si="5"/>
        <v>4.1100000000000005E-2</v>
      </c>
      <c r="H43" s="77">
        <f t="shared" si="5"/>
        <v>1.0289999999999999</v>
      </c>
      <c r="I43" s="77">
        <f t="shared" si="5"/>
        <v>1.4999999999999999E-2</v>
      </c>
      <c r="J43" s="77">
        <f t="shared" si="5"/>
        <v>9.5999999999999992E-4</v>
      </c>
      <c r="K43" s="77">
        <f t="shared" si="5"/>
        <v>1.5E-3</v>
      </c>
      <c r="L43" s="77">
        <f t="shared" si="5"/>
        <v>2.0789999999999999E-2</v>
      </c>
      <c r="M43" s="77">
        <f t="shared" si="5"/>
        <v>1.77E-2</v>
      </c>
      <c r="N43" s="77">
        <f t="shared" si="5"/>
        <v>0</v>
      </c>
      <c r="O43" s="77">
        <f t="shared" si="5"/>
        <v>0</v>
      </c>
      <c r="P43" s="77">
        <f t="shared" si="5"/>
        <v>11.01</v>
      </c>
      <c r="Q43" s="77">
        <f t="shared" si="10"/>
        <v>7.7250000000000005</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30</v>
      </c>
      <c r="C44" s="77">
        <f t="shared" si="6"/>
        <v>21.000000000000004</v>
      </c>
      <c r="D44" s="77">
        <f t="shared" si="7"/>
        <v>8.7287099999999995</v>
      </c>
      <c r="E44" s="77">
        <f t="shared" si="8"/>
        <v>4.1211000000000002</v>
      </c>
      <c r="F44" s="77">
        <f t="shared" si="9"/>
        <v>4.4169119999999999</v>
      </c>
      <c r="G44" s="77">
        <f t="shared" si="5"/>
        <v>4.1100000000000005E-2</v>
      </c>
      <c r="H44" s="77">
        <f t="shared" si="5"/>
        <v>1.0289999999999999</v>
      </c>
      <c r="I44" s="77">
        <f t="shared" si="5"/>
        <v>1.4999999999999999E-2</v>
      </c>
      <c r="J44" s="77">
        <f t="shared" si="5"/>
        <v>9.5999999999999992E-4</v>
      </c>
      <c r="K44" s="77">
        <f t="shared" si="5"/>
        <v>1.5E-3</v>
      </c>
      <c r="L44" s="77">
        <f t="shared" si="5"/>
        <v>2.0789999999999999E-2</v>
      </c>
      <c r="M44" s="77">
        <f t="shared" si="5"/>
        <v>1.77E-2</v>
      </c>
      <c r="N44" s="77">
        <f t="shared" si="5"/>
        <v>0</v>
      </c>
      <c r="O44" s="77">
        <f t="shared" si="5"/>
        <v>0</v>
      </c>
      <c r="P44" s="77">
        <f t="shared" si="5"/>
        <v>11.01</v>
      </c>
      <c r="Q44" s="77">
        <f t="shared" si="10"/>
        <v>7.7250000000000005</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30</v>
      </c>
      <c r="C45" s="77">
        <f t="shared" si="6"/>
        <v>21.000000000000004</v>
      </c>
      <c r="D45" s="77">
        <f t="shared" si="7"/>
        <v>8.7287099999999995</v>
      </c>
      <c r="E45" s="77">
        <f t="shared" si="8"/>
        <v>4.1211000000000002</v>
      </c>
      <c r="F45" s="77">
        <f t="shared" si="9"/>
        <v>4.4169119999999999</v>
      </c>
      <c r="G45" s="77">
        <f t="shared" si="5"/>
        <v>4.1100000000000005E-2</v>
      </c>
      <c r="H45" s="77">
        <f t="shared" si="5"/>
        <v>1.0289999999999999</v>
      </c>
      <c r="I45" s="77">
        <f t="shared" si="5"/>
        <v>1.4999999999999999E-2</v>
      </c>
      <c r="J45" s="77">
        <f t="shared" si="5"/>
        <v>9.5999999999999992E-4</v>
      </c>
      <c r="K45" s="77">
        <f t="shared" si="5"/>
        <v>1.5E-3</v>
      </c>
      <c r="L45" s="77">
        <f t="shared" si="5"/>
        <v>2.0789999999999999E-2</v>
      </c>
      <c r="M45" s="77">
        <f t="shared" si="5"/>
        <v>1.77E-2</v>
      </c>
      <c r="N45" s="77">
        <f t="shared" si="5"/>
        <v>0</v>
      </c>
      <c r="O45" s="77">
        <f t="shared" si="5"/>
        <v>0</v>
      </c>
      <c r="P45" s="77">
        <f t="shared" si="5"/>
        <v>11.01</v>
      </c>
      <c r="Q45" s="77">
        <f t="shared" si="10"/>
        <v>7.7250000000000005</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30</v>
      </c>
      <c r="C46" s="77">
        <f t="shared" si="6"/>
        <v>21.000000000000004</v>
      </c>
      <c r="D46" s="77">
        <f t="shared" si="7"/>
        <v>8.7287099999999995</v>
      </c>
      <c r="E46" s="77">
        <f t="shared" si="8"/>
        <v>4.1211000000000002</v>
      </c>
      <c r="F46" s="77">
        <f t="shared" si="9"/>
        <v>4.4169119999999999</v>
      </c>
      <c r="G46" s="77">
        <f t="shared" si="5"/>
        <v>4.1100000000000005E-2</v>
      </c>
      <c r="H46" s="77">
        <f t="shared" si="5"/>
        <v>1.0289999999999999</v>
      </c>
      <c r="I46" s="77">
        <f t="shared" si="5"/>
        <v>1.4999999999999999E-2</v>
      </c>
      <c r="J46" s="77">
        <f t="shared" si="5"/>
        <v>9.5999999999999992E-4</v>
      </c>
      <c r="K46" s="77">
        <f t="shared" si="5"/>
        <v>1.5E-3</v>
      </c>
      <c r="L46" s="77">
        <f t="shared" si="5"/>
        <v>2.0789999999999999E-2</v>
      </c>
      <c r="M46" s="77">
        <f t="shared" si="5"/>
        <v>1.77E-2</v>
      </c>
      <c r="N46" s="77">
        <f t="shared" si="5"/>
        <v>0</v>
      </c>
      <c r="O46" s="77">
        <f t="shared" si="5"/>
        <v>0</v>
      </c>
      <c r="P46" s="77">
        <f t="shared" si="5"/>
        <v>11.01</v>
      </c>
      <c r="Q46" s="77">
        <f t="shared" si="10"/>
        <v>7.7250000000000005</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30</v>
      </c>
      <c r="C47" s="77">
        <f t="shared" si="6"/>
        <v>21.000000000000004</v>
      </c>
      <c r="D47" s="77">
        <f t="shared" si="7"/>
        <v>8.7287099999999995</v>
      </c>
      <c r="E47" s="77">
        <f t="shared" si="8"/>
        <v>4.1211000000000002</v>
      </c>
      <c r="F47" s="77">
        <f t="shared" si="9"/>
        <v>4.4169119999999999</v>
      </c>
      <c r="G47" s="77">
        <f t="shared" ref="G47:P50" si="12">IF(G$27="%w/w SAR",((G$28*10)*$B47),IF(G$27="%w/w DM",(((G$28*10)*($B$28/100))*$B47),IF(G$27="kg/t SAR",(G$28*$B47),IF(G$27="kg/t DM",((G$28*($B$28/100))*$B47),IF(G$27="mg/kg SAR",((G$28*0.001)*$B47),IF(G$27="mg/kg DM",(((G$28*0.001)*($B$28/100))*$B47),0))))))</f>
        <v>4.1100000000000005E-2</v>
      </c>
      <c r="H47" s="77">
        <f t="shared" si="12"/>
        <v>1.0289999999999999</v>
      </c>
      <c r="I47" s="77">
        <f t="shared" si="12"/>
        <v>1.4999999999999999E-2</v>
      </c>
      <c r="J47" s="77">
        <f t="shared" si="12"/>
        <v>9.5999999999999992E-4</v>
      </c>
      <c r="K47" s="77">
        <f t="shared" si="12"/>
        <v>1.5E-3</v>
      </c>
      <c r="L47" s="77">
        <f t="shared" si="12"/>
        <v>2.0789999999999999E-2</v>
      </c>
      <c r="M47" s="77">
        <f t="shared" si="12"/>
        <v>1.77E-2</v>
      </c>
      <c r="N47" s="77">
        <f t="shared" si="12"/>
        <v>0</v>
      </c>
      <c r="O47" s="77">
        <f t="shared" si="12"/>
        <v>0</v>
      </c>
      <c r="P47" s="77">
        <f t="shared" si="12"/>
        <v>11.01</v>
      </c>
      <c r="Q47" s="77">
        <f t="shared" si="10"/>
        <v>7.7250000000000005</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30</v>
      </c>
      <c r="C48" s="77">
        <f t="shared" si="6"/>
        <v>21.000000000000004</v>
      </c>
      <c r="D48" s="77">
        <f t="shared" si="7"/>
        <v>8.7287099999999995</v>
      </c>
      <c r="E48" s="77">
        <f t="shared" si="8"/>
        <v>4.1211000000000002</v>
      </c>
      <c r="F48" s="77">
        <f t="shared" si="9"/>
        <v>4.4169119999999999</v>
      </c>
      <c r="G48" s="77">
        <f t="shared" si="12"/>
        <v>4.1100000000000005E-2</v>
      </c>
      <c r="H48" s="77">
        <f t="shared" si="12"/>
        <v>1.0289999999999999</v>
      </c>
      <c r="I48" s="77">
        <f t="shared" si="12"/>
        <v>1.4999999999999999E-2</v>
      </c>
      <c r="J48" s="77">
        <f t="shared" si="12"/>
        <v>9.5999999999999992E-4</v>
      </c>
      <c r="K48" s="77">
        <f t="shared" si="12"/>
        <v>1.5E-3</v>
      </c>
      <c r="L48" s="77">
        <f t="shared" si="12"/>
        <v>2.0789999999999999E-2</v>
      </c>
      <c r="M48" s="77">
        <f t="shared" si="12"/>
        <v>1.77E-2</v>
      </c>
      <c r="N48" s="77">
        <f t="shared" si="12"/>
        <v>0</v>
      </c>
      <c r="O48" s="77">
        <f t="shared" si="12"/>
        <v>0</v>
      </c>
      <c r="P48" s="77">
        <f t="shared" si="12"/>
        <v>11.01</v>
      </c>
      <c r="Q48" s="77">
        <f t="shared" si="10"/>
        <v>7.7250000000000005</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"&amp;(VLOOKUP(C14,Table24581112[],6,FALSE))</f>
        <v>Sandy Loam I Grass</v>
      </c>
      <c r="C58" s="13" t="str">
        <f>D16&amp;" I "&amp;(VLOOKUP(D14,Table24581112[],6,FALSE))</f>
        <v>Sandy Loam I Grass</v>
      </c>
      <c r="D58" s="13" t="str">
        <f>E16&amp;" I "&amp;(VLOOKUP(E14,Table24581112[],6,FALSE))</f>
        <v>Sandy Loam I Grass</v>
      </c>
      <c r="E58" s="13" t="str">
        <f>F16&amp;" I "&amp;(VLOOKUP(F14,Table24581112[],6,FALSE))</f>
        <v>Sandy Loam I Grass</v>
      </c>
      <c r="F58" s="13" t="str">
        <f>G16&amp;" I "&amp;(VLOOKUP(G14,Table24581112[],6,FALSE))</f>
        <v>Sandy Loam I Grass</v>
      </c>
      <c r="G58" s="13" t="str">
        <f>H16&amp;" I "&amp;(VLOOKUP(H14,Table24581112[],6,FALSE))</f>
        <v>Sandy Loam I Grass</v>
      </c>
      <c r="H58" s="13" t="str">
        <f>I16&amp;" I "&amp;(VLOOKUP(I14,Table24581112[],6,FALSE))</f>
        <v>Sandy Loam I Grass</v>
      </c>
      <c r="I58" s="13" t="str">
        <f>J16&amp;" I "&amp;(VLOOKUP(J14,Table24581112[],6,FALSE))</f>
        <v>Sandy Loam I Grass</v>
      </c>
      <c r="J58" s="13" t="str">
        <f>K16&amp;" I "&amp;(VLOOKUP(K14,Table24581112[],6,FALSE))</f>
        <v>Sandy Loam I Grass</v>
      </c>
      <c r="K58" s="13" t="str">
        <f>L16&amp;" I "&amp;(VLOOKUP(L14,Table24581112[],6,FALSE))</f>
        <v>Sandy Loam I Grass</v>
      </c>
      <c r="L58" s="13" t="str">
        <f>M16&amp;" I "&amp;(VLOOKUP(M14,Table24581112[],6,FALSE))</f>
        <v>Sandy Loam I Grass</v>
      </c>
      <c r="M58" s="13" t="str">
        <f>N16&amp;" I "&amp;(VLOOKUP(N14,Table24581112[],6,FALSE))</f>
        <v>Sandy Loam I Grass</v>
      </c>
      <c r="N58" s="13" t="str">
        <f>O16&amp;" I "&amp;(VLOOKUP(O14,Table24581112[],6,FALSE))</f>
        <v>Sandy Loam I Grass</v>
      </c>
      <c r="O58" s="13" t="str">
        <f>P16&amp;" I "&amp;(VLOOKUP(P14,Table24581112[],6,FALSE))</f>
        <v>Sandy Loam I Grass</v>
      </c>
      <c r="P58" s="13" t="str">
        <f>Q16&amp;" I "&amp;(VLOOKUP(Q14,Table24581112[],6,FALSE))</f>
        <v>Sandy Loam I Grass</v>
      </c>
      <c r="Q58" s="13" t="str">
        <f>R16&amp;" I "&amp;(VLOOKUP(R14,Table24581112[],6,FALSE))</f>
        <v>Sandy Loam I Grass</v>
      </c>
      <c r="R58" s="13" t="str">
        <f>S16&amp;" I "&amp;(VLOOKUP(S14,Table24581112[],6,FALSE))</f>
        <v>Sandy Loam I Grass</v>
      </c>
      <c r="S58" s="13" t="str">
        <f>T16&amp;" I "&amp;(VLOOKUP(T14,Table24581112[],6,FALSE))</f>
        <v>Sandy Loam I Grass</v>
      </c>
      <c r="T58" s="13" t="str">
        <f>U16&amp;" I "&amp;(VLOOKUP(U14,Table24581112[],6,FALSE))</f>
        <v>Sandy Loam I Grass</v>
      </c>
      <c r="U58" s="13" t="str">
        <f>V16&amp;" I "&amp;(VLOOKUP(V14,Table24581112[],6,FALSE))</f>
        <v>Sandy Loam I Grass</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f>VLOOKUP(J$14,Table24581112[],5,FALSE)</f>
        <v>6.2</v>
      </c>
      <c r="J59" s="76">
        <f>VLOOKUP(K$14,Table24581112[],5,FALSE)</f>
        <v>6.2</v>
      </c>
      <c r="K59" s="76">
        <f>VLOOKUP(L$14,Table24581112[],5,FALSE)</f>
        <v>6.2</v>
      </c>
      <c r="L59" s="76">
        <f>VLOOKUP(M$14,Table24581112[],5,FALSE)</f>
        <v>6.2</v>
      </c>
      <c r="M59" s="76">
        <f>VLOOKUP(N$14,Table24581112[],5,FALSE)</f>
        <v>6.2</v>
      </c>
      <c r="N59" s="76">
        <f>VLOOKUP(O$14,Table24581112[],5,FALSE)</f>
        <v>6.2</v>
      </c>
      <c r="O59" s="76">
        <f>VLOOKUP(P$14,Table24581112[],5,FALSE)</f>
        <v>6.2</v>
      </c>
      <c r="P59" s="76">
        <f>VLOOKUP(Q$14,Table24581112[],5,FALSE)</f>
        <v>6.2</v>
      </c>
      <c r="Q59" s="76">
        <f>VLOOKUP(R$14,Table24581112[],5,FALSE)</f>
        <v>6.2</v>
      </c>
      <c r="R59" s="76">
        <f>VLOOKUP(S$14,Table24581112[],5,FALSE)</f>
        <v>6.2</v>
      </c>
      <c r="S59" s="76">
        <f>VLOOKUP(T$14,Table24581112[],5,FALSE)</f>
        <v>6.2</v>
      </c>
      <c r="T59" s="76">
        <f>VLOOKUP(U$14,Table24581112[],5,FALSE)</f>
        <v>6.2</v>
      </c>
      <c r="U59" s="76">
        <f>VLOOKUP(V$14,Table24581112[],5,FALSE)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30</v>
      </c>
      <c r="C62" s="77">
        <f>B32</f>
        <v>30</v>
      </c>
      <c r="D62" s="77">
        <f>B33</f>
        <v>30</v>
      </c>
      <c r="E62" s="77">
        <f>B34</f>
        <v>30</v>
      </c>
      <c r="F62" s="77">
        <f>B35</f>
        <v>30</v>
      </c>
      <c r="G62" s="77">
        <f>B36</f>
        <v>30</v>
      </c>
      <c r="H62" s="77">
        <f>B37</f>
        <v>30</v>
      </c>
      <c r="I62" s="77">
        <f>B38</f>
        <v>30</v>
      </c>
      <c r="J62" s="77">
        <f>B39</f>
        <v>30</v>
      </c>
      <c r="K62" s="77">
        <f>B40</f>
        <v>30</v>
      </c>
      <c r="L62" s="77">
        <f>B41</f>
        <v>30</v>
      </c>
      <c r="M62" s="77">
        <f>B42</f>
        <v>30</v>
      </c>
      <c r="N62" s="77">
        <f>B43</f>
        <v>30</v>
      </c>
      <c r="O62" s="77">
        <f>B44</f>
        <v>30</v>
      </c>
      <c r="P62" s="77">
        <f>B45</f>
        <v>30</v>
      </c>
      <c r="Q62" s="77">
        <f>B46</f>
        <v>30</v>
      </c>
      <c r="R62" s="77">
        <f>B47</f>
        <v>30</v>
      </c>
      <c r="S62" s="77">
        <f>B48</f>
        <v>30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S0wN++bb//5c22akgZqDoYc3nLbFSwofVW4PoumfyNl+ZYUyfdhz9oZA4VL4/0K1HNte7W0e2T5OJT5fKOGQ+w==" saltValue="SlixrScU6P7KX2bHf+BVc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6.6</v>
      </c>
      <c r="J1" s="127" t="s">
        <v>153</v>
      </c>
      <c r="K1" s="127"/>
      <c r="L1" s="97">
        <v>569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166</v>
      </c>
      <c r="G2" s="125" t="s">
        <v>110</v>
      </c>
      <c r="H2" s="126"/>
      <c r="I2" s="118">
        <v>1316</v>
      </c>
      <c r="J2" s="127" t="s">
        <v>158</v>
      </c>
      <c r="K2" s="127"/>
      <c r="L2" s="97">
        <v>0.08</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3800</v>
      </c>
      <c r="J3" s="123" t="s">
        <v>154</v>
      </c>
      <c r="K3" s="124"/>
      <c r="L3" s="97">
        <f>(L1/(L2*10000))*100</f>
        <v>71.125</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173</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62.470987999999998</v>
      </c>
      <c r="D18" s="16">
        <f>$D32</f>
        <v>62.470987999999998</v>
      </c>
      <c r="E18" s="16">
        <f>$D33</f>
        <v>62.470987999999998</v>
      </c>
      <c r="F18" s="16">
        <f>$D34</f>
        <v>62.470987999999998</v>
      </c>
      <c r="G18" s="16">
        <f>$D35</f>
        <v>62.470987999999998</v>
      </c>
      <c r="H18" s="16">
        <f>$D36</f>
        <v>62.470987999999998</v>
      </c>
      <c r="I18" s="16">
        <f>$D37</f>
        <v>62.470987999999998</v>
      </c>
      <c r="J18" s="16">
        <f>$D38</f>
        <v>62.470987999999998</v>
      </c>
      <c r="K18" s="16">
        <f>$D39</f>
        <v>62.470987999999998</v>
      </c>
      <c r="L18" s="16">
        <f>$D40</f>
        <v>62.470987999999998</v>
      </c>
      <c r="M18" s="16">
        <f>$D41</f>
        <v>62.470987999999998</v>
      </c>
      <c r="N18" s="16">
        <f>$D42</f>
        <v>62.470987999999998</v>
      </c>
      <c r="O18" s="16">
        <f>$D43</f>
        <v>62.470987999999998</v>
      </c>
      <c r="P18" s="16">
        <f>$D44</f>
        <v>62.470987999999998</v>
      </c>
      <c r="Q18" s="16">
        <f>$D45</f>
        <v>62.470987999999998</v>
      </c>
      <c r="R18" s="16">
        <f>$D46</f>
        <v>62.470987999999998</v>
      </c>
      <c r="S18" s="16">
        <f>$D47</f>
        <v>62.470987999999998</v>
      </c>
      <c r="T18" s="16">
        <f>$D48</f>
        <v>62.470987999999998</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-2.1290119999999959</v>
      </c>
      <c r="D19" s="16">
        <f t="shared" ref="D19:V19" si="1">D18-D17</f>
        <v>-2.1290119999999959</v>
      </c>
      <c r="E19" s="16">
        <f t="shared" si="1"/>
        <v>-2.1290119999999959</v>
      </c>
      <c r="F19" s="16">
        <f t="shared" si="1"/>
        <v>-2.1290119999999959</v>
      </c>
      <c r="G19" s="16">
        <f t="shared" si="1"/>
        <v>-2.1290119999999959</v>
      </c>
      <c r="H19" s="16">
        <f t="shared" si="1"/>
        <v>-2.1290119999999959</v>
      </c>
      <c r="I19" s="16">
        <f t="shared" si="1"/>
        <v>-2.1290119999999959</v>
      </c>
      <c r="J19" s="16">
        <f t="shared" si="1"/>
        <v>-2.1290119999999959</v>
      </c>
      <c r="K19" s="16">
        <f t="shared" si="1"/>
        <v>-2.1290119999999959</v>
      </c>
      <c r="L19" s="16">
        <f t="shared" si="1"/>
        <v>-2.1290119999999959</v>
      </c>
      <c r="M19" s="16">
        <f t="shared" si="1"/>
        <v>-2.1290119999999959</v>
      </c>
      <c r="N19" s="16">
        <f t="shared" si="1"/>
        <v>-2.1290119999999959</v>
      </c>
      <c r="O19" s="16">
        <f t="shared" si="1"/>
        <v>-2.1290119999999959</v>
      </c>
      <c r="P19" s="16">
        <f t="shared" si="1"/>
        <v>-2.1290119999999959</v>
      </c>
      <c r="Q19" s="16">
        <f t="shared" si="1"/>
        <v>-2.1290119999999959</v>
      </c>
      <c r="R19" s="16">
        <f t="shared" si="1"/>
        <v>-2.1290119999999959</v>
      </c>
      <c r="S19" s="16">
        <f t="shared" si="1"/>
        <v>-2.1290119999999959</v>
      </c>
      <c r="T19" s="16">
        <f t="shared" si="1"/>
        <v>-2.1290119999999959</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13.68398</v>
      </c>
      <c r="D22" s="16">
        <f>$E32</f>
        <v>13.68398</v>
      </c>
      <c r="E22" s="16">
        <f>$E33</f>
        <v>13.68398</v>
      </c>
      <c r="F22" s="16">
        <f>$E34</f>
        <v>13.68398</v>
      </c>
      <c r="G22" s="16">
        <f>$E35</f>
        <v>13.68398</v>
      </c>
      <c r="H22" s="16">
        <f>$E36</f>
        <v>13.68398</v>
      </c>
      <c r="I22" s="16">
        <f>$E37</f>
        <v>13.68398</v>
      </c>
      <c r="J22" s="16">
        <f>$E38</f>
        <v>13.68398</v>
      </c>
      <c r="K22" s="16">
        <f>$E39</f>
        <v>13.68398</v>
      </c>
      <c r="L22" s="16">
        <f>$E40</f>
        <v>13.68398</v>
      </c>
      <c r="M22" s="16">
        <f>$E41</f>
        <v>13.68398</v>
      </c>
      <c r="N22" s="16">
        <f>$E42</f>
        <v>13.68398</v>
      </c>
      <c r="O22" s="16">
        <f>$E43</f>
        <v>13.68398</v>
      </c>
      <c r="P22" s="16">
        <f>$E44</f>
        <v>13.68398</v>
      </c>
      <c r="Q22" s="16">
        <f>$E45</f>
        <v>13.68398</v>
      </c>
      <c r="R22" s="16">
        <f>$E46</f>
        <v>13.68398</v>
      </c>
      <c r="S22" s="16">
        <f>$E47</f>
        <v>13.68398</v>
      </c>
      <c r="T22" s="16">
        <f>$E48</f>
        <v>13.68398</v>
      </c>
      <c r="U22" s="16">
        <f>$E49</f>
        <v>0</v>
      </c>
      <c r="V22" s="16">
        <f>$E50</f>
        <v>0</v>
      </c>
      <c r="AI22" s="63" t="s">
        <v>102</v>
      </c>
      <c r="AJ22" s="64">
        <v>1.2</v>
      </c>
      <c r="AK22" s="65">
        <v>5</v>
      </c>
      <c r="AL22" s="29">
        <v>20</v>
      </c>
      <c r="AM22" s="11">
        <v>6.7</v>
      </c>
      <c r="AN22" s="11" t="s">
        <v>135</v>
      </c>
    </row>
    <row r="23" spans="1:40" ht="13" x14ac:dyDescent="0.25">
      <c r="A23" s="131" t="s">
        <v>92</v>
      </c>
      <c r="B23" s="132"/>
      <c r="C23" s="16">
        <f>C22-C21</f>
        <v>-214.31602000000001</v>
      </c>
      <c r="D23" s="16">
        <f t="shared" ref="D23:V23" si="3">D22-D21</f>
        <v>-214.31602000000001</v>
      </c>
      <c r="E23" s="16">
        <f t="shared" si="3"/>
        <v>-214.31602000000001</v>
      </c>
      <c r="F23" s="16">
        <f t="shared" si="3"/>
        <v>-214.31602000000001</v>
      </c>
      <c r="G23" s="16">
        <f t="shared" si="3"/>
        <v>-214.31602000000001</v>
      </c>
      <c r="H23" s="16">
        <f t="shared" si="3"/>
        <v>-214.31602000000001</v>
      </c>
      <c r="I23" s="16">
        <f t="shared" si="3"/>
        <v>-214.31602000000001</v>
      </c>
      <c r="J23" s="16">
        <f t="shared" si="3"/>
        <v>-214.31602000000001</v>
      </c>
      <c r="K23" s="16">
        <f t="shared" si="3"/>
        <v>-214.31602000000001</v>
      </c>
      <c r="L23" s="16">
        <f t="shared" si="3"/>
        <v>-214.31602000000001</v>
      </c>
      <c r="M23" s="16">
        <f t="shared" si="3"/>
        <v>-214.31602000000001</v>
      </c>
      <c r="N23" s="16">
        <f t="shared" si="3"/>
        <v>-214.31602000000001</v>
      </c>
      <c r="O23" s="16">
        <f t="shared" si="3"/>
        <v>-214.31602000000001</v>
      </c>
      <c r="P23" s="16">
        <f t="shared" si="3"/>
        <v>-214.31602000000001</v>
      </c>
      <c r="Q23" s="16">
        <f t="shared" si="3"/>
        <v>-214.31602000000001</v>
      </c>
      <c r="R23" s="16">
        <f t="shared" si="3"/>
        <v>-214.31602000000001</v>
      </c>
      <c r="S23" s="16">
        <f t="shared" si="3"/>
        <v>-214.31602000000001</v>
      </c>
      <c r="T23" s="16">
        <f t="shared" si="3"/>
        <v>-214.31602000000001</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3.59</v>
      </c>
      <c r="C28" s="15">
        <v>0.08</v>
      </c>
      <c r="D28" s="15">
        <v>401</v>
      </c>
      <c r="E28" s="15">
        <v>167</v>
      </c>
      <c r="F28" s="15">
        <v>108</v>
      </c>
      <c r="G28" s="15">
        <v>2.2599999999999998</v>
      </c>
      <c r="H28" s="15">
        <v>9.98</v>
      </c>
      <c r="I28" s="15">
        <v>0.5</v>
      </c>
      <c r="J28" s="15">
        <v>0.01</v>
      </c>
      <c r="K28" s="23">
        <v>0.05</v>
      </c>
      <c r="L28" s="15">
        <v>1.05</v>
      </c>
      <c r="M28" s="15">
        <v>0.90400000000000003</v>
      </c>
      <c r="N28" s="15"/>
      <c r="O28" s="15"/>
      <c r="P28" s="15">
        <v>629</v>
      </c>
      <c r="Q28" s="15">
        <v>368</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68</v>
      </c>
      <c r="C31" s="77">
        <f>IF(C$27="%w/w SAR",((C$28*10)*$B31),IF(C$27="%w/w DM",(((C$28*10)*($B$28/100))*$B31),IF(C$27="kg/t SAR",(C$28*$B31),IF(C$27="kg/t DM",((C$28*($B$28/100))*$B31),IF(C$27="mg/kg SAR",((C$28*0.001)*$B31),IF(C$27="mg/kg DM",(((C$28*0.001)*($B$28/100))*$B31),0))))))</f>
        <v>54.400000000000006</v>
      </c>
      <c r="D31" s="77">
        <f>(IF(D$27="%w/w SAR",((D$28*10)*$B31),IF(D$27="%w/w DM",(((D$28*10)*($B$28/100))*$B31),IF(D$27="kg/t SAR",(D$28*$B31),IF(D$27="kg/t DM",((D$28*($B$28/100))*$B31),IF(D$27="mg/kg SAR",((D$28*0.001)*$B31),IF(D$27="mg/kg DM",(((D$28*0.001)*($B$28/100))*$B31),"0")))))))*2.291</f>
        <v>62.470987999999998</v>
      </c>
      <c r="E31" s="77">
        <f>(IF(E$27="%w/w SAR",((E$28*10)*$B31),IF(E$27="%w/w DM",(((E$28*10)*($B$28/100))*$B31),IF(E$27="kg/t SAR",(E$28*$B31),IF(E$27="kg/t DM",((E$28*($B$28/100))*$B31),IF(E$27="mg/kg SAR",((E$28*0.001)*$B31),IF(E$27="mg/kg DM",(((E$28*0.001)*($B$28/100))*$B31),"0")))))))*1.205</f>
        <v>13.68398</v>
      </c>
      <c r="F31" s="77">
        <f>(IF(F$27="%w/w SAR",((F$28*10)*$B31),IF(F$27="%w/w DM",(((F$28*10)*($B$28/100))*$B31),IF(F$27="kg/t SAR",(F$28*$B31),IF(F$27="kg/t DM",((F$28*($B$28/100))*$B31),IF(F$27="mg/kg SAR",((F$28*0.001)*$B31),IF(F$27="mg/kg DM",(((F$28*0.001)*($B$28/100))*$B31),"0")))))))*1.658</f>
        <v>12.176352</v>
      </c>
      <c r="G31" s="77">
        <f t="shared" ref="G31:P46" si="5">IF(G$27="%w/w SAR",((G$28*10)*$B31),IF(G$27="%w/w DM",(((G$28*10)*($B$28/100))*$B31),IF(G$27="kg/t SAR",(G$28*$B31),IF(G$27="kg/t DM",((G$28*($B$28/100))*$B31),IF(G$27="mg/kg SAR",((G$28*0.001)*$B31),IF(G$27="mg/kg DM",(((G$28*0.001)*($B$28/100))*$B31),0))))))</f>
        <v>0.15367999999999998</v>
      </c>
      <c r="H31" s="77">
        <f t="shared" si="5"/>
        <v>0.67864000000000002</v>
      </c>
      <c r="I31" s="77">
        <f t="shared" si="5"/>
        <v>3.4000000000000002E-2</v>
      </c>
      <c r="J31" s="77">
        <f t="shared" si="5"/>
        <v>6.8000000000000005E-4</v>
      </c>
      <c r="K31" s="77">
        <f t="shared" si="5"/>
        <v>3.4000000000000002E-3</v>
      </c>
      <c r="L31" s="77">
        <f t="shared" si="5"/>
        <v>7.1400000000000005E-2</v>
      </c>
      <c r="M31" s="77">
        <f t="shared" si="5"/>
        <v>6.1472000000000006E-2</v>
      </c>
      <c r="N31" s="77">
        <f t="shared" si="5"/>
        <v>0</v>
      </c>
      <c r="O31" s="77">
        <f t="shared" si="5"/>
        <v>0</v>
      </c>
      <c r="P31" s="77">
        <f t="shared" si="5"/>
        <v>42.771999999999998</v>
      </c>
      <c r="Q31" s="77">
        <f>(IF(Q$27="%w/w SAR",((Q$28*10)*$B31),IF(Q$27="%w/w DM",(((Q$28*10)*($B$28/100))*$B31),IF(Q$27="kg/t SAR",(Q$28*$B31),IF(Q$27="kg/t DM",((Q$28*($B$28/100))*$B31),IF(Q$27="mg/kg SAR",((Q$28*0.001)*$B31),IF(Q$27="mg/kg DM",(((Q$28*0.001)*($B$28/100))*$B31),0)))))))*2.5</f>
        <v>62.56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68</v>
      </c>
      <c r="C32" s="77">
        <f t="shared" ref="C32:C50" si="6">IF(C$27="%w/w SAR",((C$28*10)*$B32),IF(C$27="%w/w DM",(((C$28*10)*($B$28/100))*$B32),IF(C$27="kg/t SAR",(C$28*$B32),IF(C$27="kg/t DM",((C$28*($B$28/100))*$B32),IF(C$27="mg/kg SAR",((C$28*0.001)*$B32),IF(C$27="mg/kg DM",(((C$28*0.001)*($B$28/100))*$B32),0))))))</f>
        <v>54.400000000000006</v>
      </c>
      <c r="D32" s="77">
        <f t="shared" ref="D32:D50" si="7">(IF(D$27="%w/w SAR",((D$28*10)*$B32),IF(D$27="%w/w DM",(((D$28*10)*($B$28/100))*$B32),IF(D$27="kg/t SAR",(D$28*$B32),IF(D$27="kg/t DM",((D$28*($B$28/100))*$B32),IF(D$27="mg/kg SAR",((D$28*0.001)*$B32),IF(D$27="mg/kg DM",(((D$28*0.001)*($B$28/100))*$B32),"0")))))))*2.291</f>
        <v>62.470987999999998</v>
      </c>
      <c r="E32" s="77">
        <f t="shared" ref="E32:E50" si="8">(IF(E$27="%w/w SAR",((E$28*10)*$B32),IF(E$27="%w/w DM",(((E$28*10)*($B$28/100))*$B32),IF(E$27="kg/t SAR",(E$28*$B32),IF(E$27="kg/t DM",((E$28*($B$28/100))*$B32),IF(E$27="mg/kg SAR",((E$28*0.001)*$B32),IF(E$27="mg/kg DM",(((E$28*0.001)*($B$28/100))*$B32),"0")))))))*1.205</f>
        <v>13.68398</v>
      </c>
      <c r="F32" s="77">
        <f t="shared" ref="F32:F50" si="9">(IF(F$27="%w/w SAR",((F$28*10)*$B32),IF(F$27="%w/w DM",(((F$28*10)*($B$28/100))*$B32),IF(F$27="kg/t SAR",(F$28*$B32),IF(F$27="kg/t DM",((F$28*($B$28/100))*$B32),IF(F$27="mg/kg SAR",((F$28*0.001)*$B32),IF(F$27="mg/kg DM",(((F$28*0.001)*($B$28/100))*$B32),"0")))))))*1.658</f>
        <v>12.176352</v>
      </c>
      <c r="G32" s="77">
        <f t="shared" si="5"/>
        <v>0.15367999999999998</v>
      </c>
      <c r="H32" s="77">
        <f t="shared" si="5"/>
        <v>0.67864000000000002</v>
      </c>
      <c r="I32" s="77">
        <f t="shared" si="5"/>
        <v>3.4000000000000002E-2</v>
      </c>
      <c r="J32" s="77">
        <f t="shared" si="5"/>
        <v>6.8000000000000005E-4</v>
      </c>
      <c r="K32" s="77">
        <f t="shared" si="5"/>
        <v>3.4000000000000002E-3</v>
      </c>
      <c r="L32" s="77">
        <f t="shared" si="5"/>
        <v>7.1400000000000005E-2</v>
      </c>
      <c r="M32" s="77">
        <f t="shared" si="5"/>
        <v>6.1472000000000006E-2</v>
      </c>
      <c r="N32" s="77">
        <f t="shared" si="5"/>
        <v>0</v>
      </c>
      <c r="O32" s="77">
        <f t="shared" si="5"/>
        <v>0</v>
      </c>
      <c r="P32" s="77">
        <f t="shared" si="5"/>
        <v>42.771999999999998</v>
      </c>
      <c r="Q32" s="77">
        <f t="shared" ref="Q32:Q50" si="10">(IF(Q$27="%w/w SAR",((Q$28*10)*$B32),IF(Q$27="%w/w DM",(((Q$28*10)*($B$28/100))*$B32),IF(Q$27="kg/t SAR",(Q$28*$B32),IF(Q$27="kg/t DM",((Q$28*($B$28/100))*$B32),IF(Q$27="mg/kg SAR",((Q$28*0.001)*$B32),IF(Q$27="mg/kg DM",(((Q$28*0.001)*($B$28/100))*$B32),0)))))))*2.5</f>
        <v>62.56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68</v>
      </c>
      <c r="C33" s="77">
        <f t="shared" si="6"/>
        <v>54.400000000000006</v>
      </c>
      <c r="D33" s="77">
        <f t="shared" si="7"/>
        <v>62.470987999999998</v>
      </c>
      <c r="E33" s="77">
        <f t="shared" si="8"/>
        <v>13.68398</v>
      </c>
      <c r="F33" s="77">
        <f t="shared" si="9"/>
        <v>12.176352</v>
      </c>
      <c r="G33" s="77">
        <f t="shared" si="5"/>
        <v>0.15367999999999998</v>
      </c>
      <c r="H33" s="77">
        <f t="shared" si="5"/>
        <v>0.67864000000000002</v>
      </c>
      <c r="I33" s="77">
        <f t="shared" si="5"/>
        <v>3.4000000000000002E-2</v>
      </c>
      <c r="J33" s="77">
        <f t="shared" si="5"/>
        <v>6.8000000000000005E-4</v>
      </c>
      <c r="K33" s="77">
        <f t="shared" si="5"/>
        <v>3.4000000000000002E-3</v>
      </c>
      <c r="L33" s="77">
        <f t="shared" si="5"/>
        <v>7.1400000000000005E-2</v>
      </c>
      <c r="M33" s="77">
        <f t="shared" si="5"/>
        <v>6.1472000000000006E-2</v>
      </c>
      <c r="N33" s="77">
        <f t="shared" si="5"/>
        <v>0</v>
      </c>
      <c r="O33" s="77">
        <f t="shared" si="5"/>
        <v>0</v>
      </c>
      <c r="P33" s="77">
        <f t="shared" si="5"/>
        <v>42.771999999999998</v>
      </c>
      <c r="Q33" s="77">
        <f t="shared" si="10"/>
        <v>62.56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68</v>
      </c>
      <c r="C34" s="77">
        <f t="shared" si="6"/>
        <v>54.400000000000006</v>
      </c>
      <c r="D34" s="77">
        <f t="shared" si="7"/>
        <v>62.470987999999998</v>
      </c>
      <c r="E34" s="77">
        <f t="shared" si="8"/>
        <v>13.68398</v>
      </c>
      <c r="F34" s="77">
        <f t="shared" si="9"/>
        <v>12.176352</v>
      </c>
      <c r="G34" s="77">
        <f t="shared" si="5"/>
        <v>0.15367999999999998</v>
      </c>
      <c r="H34" s="77">
        <f t="shared" si="5"/>
        <v>0.67864000000000002</v>
      </c>
      <c r="I34" s="77">
        <f t="shared" si="5"/>
        <v>3.4000000000000002E-2</v>
      </c>
      <c r="J34" s="77">
        <f t="shared" si="5"/>
        <v>6.8000000000000005E-4</v>
      </c>
      <c r="K34" s="77">
        <f t="shared" si="5"/>
        <v>3.4000000000000002E-3</v>
      </c>
      <c r="L34" s="77">
        <f t="shared" si="5"/>
        <v>7.1400000000000005E-2</v>
      </c>
      <c r="M34" s="77">
        <f t="shared" si="5"/>
        <v>6.1472000000000006E-2</v>
      </c>
      <c r="N34" s="77">
        <f t="shared" si="5"/>
        <v>0</v>
      </c>
      <c r="O34" s="77">
        <f t="shared" si="5"/>
        <v>0</v>
      </c>
      <c r="P34" s="77">
        <f t="shared" si="5"/>
        <v>42.771999999999998</v>
      </c>
      <c r="Q34" s="77">
        <f t="shared" si="10"/>
        <v>62.56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68</v>
      </c>
      <c r="C35" s="77">
        <f t="shared" si="6"/>
        <v>54.400000000000006</v>
      </c>
      <c r="D35" s="77">
        <f t="shared" si="7"/>
        <v>62.470987999999998</v>
      </c>
      <c r="E35" s="77">
        <f t="shared" si="8"/>
        <v>13.68398</v>
      </c>
      <c r="F35" s="77">
        <f t="shared" si="9"/>
        <v>12.176352</v>
      </c>
      <c r="G35" s="77">
        <f t="shared" si="5"/>
        <v>0.15367999999999998</v>
      </c>
      <c r="H35" s="77">
        <f t="shared" si="5"/>
        <v>0.67864000000000002</v>
      </c>
      <c r="I35" s="77">
        <f t="shared" si="5"/>
        <v>3.4000000000000002E-2</v>
      </c>
      <c r="J35" s="77">
        <f t="shared" si="5"/>
        <v>6.8000000000000005E-4</v>
      </c>
      <c r="K35" s="77">
        <f t="shared" si="5"/>
        <v>3.4000000000000002E-3</v>
      </c>
      <c r="L35" s="77">
        <f t="shared" si="5"/>
        <v>7.1400000000000005E-2</v>
      </c>
      <c r="M35" s="77">
        <f t="shared" si="5"/>
        <v>6.1472000000000006E-2</v>
      </c>
      <c r="N35" s="77">
        <f t="shared" si="5"/>
        <v>0</v>
      </c>
      <c r="O35" s="77">
        <f t="shared" si="5"/>
        <v>0</v>
      </c>
      <c r="P35" s="77">
        <f t="shared" si="5"/>
        <v>42.771999999999998</v>
      </c>
      <c r="Q35" s="77">
        <f t="shared" si="10"/>
        <v>62.56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68</v>
      </c>
      <c r="C36" s="77">
        <f t="shared" si="6"/>
        <v>54.400000000000006</v>
      </c>
      <c r="D36" s="77">
        <f t="shared" si="7"/>
        <v>62.470987999999998</v>
      </c>
      <c r="E36" s="77">
        <f t="shared" si="8"/>
        <v>13.68398</v>
      </c>
      <c r="F36" s="77">
        <f t="shared" si="9"/>
        <v>12.176352</v>
      </c>
      <c r="G36" s="77">
        <f t="shared" si="5"/>
        <v>0.15367999999999998</v>
      </c>
      <c r="H36" s="77">
        <f t="shared" si="5"/>
        <v>0.67864000000000002</v>
      </c>
      <c r="I36" s="77">
        <f t="shared" si="5"/>
        <v>3.4000000000000002E-2</v>
      </c>
      <c r="J36" s="77">
        <f t="shared" si="5"/>
        <v>6.8000000000000005E-4</v>
      </c>
      <c r="K36" s="77">
        <f t="shared" si="5"/>
        <v>3.4000000000000002E-3</v>
      </c>
      <c r="L36" s="77">
        <f t="shared" si="5"/>
        <v>7.1400000000000005E-2</v>
      </c>
      <c r="M36" s="77">
        <f t="shared" si="5"/>
        <v>6.1472000000000006E-2</v>
      </c>
      <c r="N36" s="77">
        <f t="shared" si="5"/>
        <v>0</v>
      </c>
      <c r="O36" s="77">
        <f t="shared" si="5"/>
        <v>0</v>
      </c>
      <c r="P36" s="77">
        <f t="shared" si="5"/>
        <v>42.771999999999998</v>
      </c>
      <c r="Q36" s="77">
        <f t="shared" si="10"/>
        <v>62.56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68</v>
      </c>
      <c r="C37" s="77">
        <f t="shared" si="6"/>
        <v>54.400000000000006</v>
      </c>
      <c r="D37" s="77">
        <f t="shared" si="7"/>
        <v>62.470987999999998</v>
      </c>
      <c r="E37" s="77">
        <f t="shared" si="8"/>
        <v>13.68398</v>
      </c>
      <c r="F37" s="77">
        <f t="shared" si="9"/>
        <v>12.176352</v>
      </c>
      <c r="G37" s="77">
        <f t="shared" si="5"/>
        <v>0.15367999999999998</v>
      </c>
      <c r="H37" s="77">
        <f t="shared" si="5"/>
        <v>0.67864000000000002</v>
      </c>
      <c r="I37" s="77">
        <f t="shared" si="5"/>
        <v>3.4000000000000002E-2</v>
      </c>
      <c r="J37" s="77">
        <f t="shared" si="5"/>
        <v>6.8000000000000005E-4</v>
      </c>
      <c r="K37" s="77">
        <f t="shared" si="5"/>
        <v>3.4000000000000002E-3</v>
      </c>
      <c r="L37" s="77">
        <f t="shared" si="5"/>
        <v>7.1400000000000005E-2</v>
      </c>
      <c r="M37" s="77">
        <f t="shared" si="5"/>
        <v>6.1472000000000006E-2</v>
      </c>
      <c r="N37" s="77">
        <f t="shared" si="5"/>
        <v>0</v>
      </c>
      <c r="O37" s="77">
        <f t="shared" si="5"/>
        <v>0</v>
      </c>
      <c r="P37" s="77">
        <f t="shared" si="5"/>
        <v>42.771999999999998</v>
      </c>
      <c r="Q37" s="77">
        <f t="shared" si="10"/>
        <v>62.56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68</v>
      </c>
      <c r="C38" s="77">
        <f t="shared" si="6"/>
        <v>54.400000000000006</v>
      </c>
      <c r="D38" s="77">
        <f t="shared" si="7"/>
        <v>62.470987999999998</v>
      </c>
      <c r="E38" s="77">
        <f t="shared" si="8"/>
        <v>13.68398</v>
      </c>
      <c r="F38" s="77">
        <f t="shared" si="9"/>
        <v>12.176352</v>
      </c>
      <c r="G38" s="77">
        <f t="shared" si="5"/>
        <v>0.15367999999999998</v>
      </c>
      <c r="H38" s="77">
        <f t="shared" si="5"/>
        <v>0.67864000000000002</v>
      </c>
      <c r="I38" s="77">
        <f t="shared" si="5"/>
        <v>3.4000000000000002E-2</v>
      </c>
      <c r="J38" s="77">
        <f t="shared" si="5"/>
        <v>6.8000000000000005E-4</v>
      </c>
      <c r="K38" s="77">
        <f t="shared" si="5"/>
        <v>3.4000000000000002E-3</v>
      </c>
      <c r="L38" s="77">
        <f t="shared" si="5"/>
        <v>7.1400000000000005E-2</v>
      </c>
      <c r="M38" s="77">
        <f t="shared" si="5"/>
        <v>6.1472000000000006E-2</v>
      </c>
      <c r="N38" s="77">
        <f t="shared" si="5"/>
        <v>0</v>
      </c>
      <c r="O38" s="77">
        <f t="shared" si="5"/>
        <v>0</v>
      </c>
      <c r="P38" s="77">
        <f t="shared" si="5"/>
        <v>42.771999999999998</v>
      </c>
      <c r="Q38" s="77">
        <f t="shared" si="10"/>
        <v>62.56</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68</v>
      </c>
      <c r="C39" s="77">
        <f t="shared" si="6"/>
        <v>54.400000000000006</v>
      </c>
      <c r="D39" s="77">
        <f t="shared" si="7"/>
        <v>62.470987999999998</v>
      </c>
      <c r="E39" s="77">
        <f t="shared" si="8"/>
        <v>13.68398</v>
      </c>
      <c r="F39" s="77">
        <f t="shared" si="9"/>
        <v>12.176352</v>
      </c>
      <c r="G39" s="77">
        <f t="shared" si="5"/>
        <v>0.15367999999999998</v>
      </c>
      <c r="H39" s="77">
        <f t="shared" si="5"/>
        <v>0.67864000000000002</v>
      </c>
      <c r="I39" s="77">
        <f t="shared" si="5"/>
        <v>3.4000000000000002E-2</v>
      </c>
      <c r="J39" s="77">
        <f t="shared" si="5"/>
        <v>6.8000000000000005E-4</v>
      </c>
      <c r="K39" s="77">
        <f t="shared" si="5"/>
        <v>3.4000000000000002E-3</v>
      </c>
      <c r="L39" s="77">
        <f t="shared" si="5"/>
        <v>7.1400000000000005E-2</v>
      </c>
      <c r="M39" s="77">
        <f t="shared" si="5"/>
        <v>6.1472000000000006E-2</v>
      </c>
      <c r="N39" s="77">
        <f t="shared" si="5"/>
        <v>0</v>
      </c>
      <c r="O39" s="77">
        <f t="shared" si="5"/>
        <v>0</v>
      </c>
      <c r="P39" s="77">
        <f t="shared" si="5"/>
        <v>42.771999999999998</v>
      </c>
      <c r="Q39" s="77">
        <f t="shared" si="10"/>
        <v>62.56</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68</v>
      </c>
      <c r="C40" s="77">
        <f t="shared" si="6"/>
        <v>54.400000000000006</v>
      </c>
      <c r="D40" s="77">
        <f t="shared" si="7"/>
        <v>62.470987999999998</v>
      </c>
      <c r="E40" s="77">
        <f t="shared" si="8"/>
        <v>13.68398</v>
      </c>
      <c r="F40" s="77">
        <f t="shared" si="9"/>
        <v>12.176352</v>
      </c>
      <c r="G40" s="77">
        <f t="shared" si="5"/>
        <v>0.15367999999999998</v>
      </c>
      <c r="H40" s="77">
        <f t="shared" si="5"/>
        <v>0.67864000000000002</v>
      </c>
      <c r="I40" s="77">
        <f t="shared" si="5"/>
        <v>3.4000000000000002E-2</v>
      </c>
      <c r="J40" s="77">
        <f t="shared" si="5"/>
        <v>6.8000000000000005E-4</v>
      </c>
      <c r="K40" s="77">
        <f t="shared" si="5"/>
        <v>3.4000000000000002E-3</v>
      </c>
      <c r="L40" s="77">
        <f t="shared" si="5"/>
        <v>7.1400000000000005E-2</v>
      </c>
      <c r="M40" s="77">
        <f t="shared" si="5"/>
        <v>6.1472000000000006E-2</v>
      </c>
      <c r="N40" s="77">
        <f t="shared" si="5"/>
        <v>0</v>
      </c>
      <c r="O40" s="77">
        <f t="shared" si="5"/>
        <v>0</v>
      </c>
      <c r="P40" s="77">
        <f t="shared" si="5"/>
        <v>42.771999999999998</v>
      </c>
      <c r="Q40" s="77">
        <f t="shared" si="10"/>
        <v>62.56</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68</v>
      </c>
      <c r="C41" s="77">
        <f t="shared" si="6"/>
        <v>54.400000000000006</v>
      </c>
      <c r="D41" s="77">
        <f t="shared" si="7"/>
        <v>62.470987999999998</v>
      </c>
      <c r="E41" s="77">
        <f t="shared" si="8"/>
        <v>13.68398</v>
      </c>
      <c r="F41" s="77">
        <f t="shared" si="9"/>
        <v>12.176352</v>
      </c>
      <c r="G41" s="77">
        <f t="shared" si="5"/>
        <v>0.15367999999999998</v>
      </c>
      <c r="H41" s="77">
        <f t="shared" si="5"/>
        <v>0.67864000000000002</v>
      </c>
      <c r="I41" s="77">
        <f t="shared" si="5"/>
        <v>3.4000000000000002E-2</v>
      </c>
      <c r="J41" s="77">
        <f t="shared" si="5"/>
        <v>6.8000000000000005E-4</v>
      </c>
      <c r="K41" s="77">
        <f t="shared" si="5"/>
        <v>3.4000000000000002E-3</v>
      </c>
      <c r="L41" s="77">
        <f t="shared" si="5"/>
        <v>7.1400000000000005E-2</v>
      </c>
      <c r="M41" s="77">
        <f t="shared" si="5"/>
        <v>6.1472000000000006E-2</v>
      </c>
      <c r="N41" s="77">
        <f t="shared" si="5"/>
        <v>0</v>
      </c>
      <c r="O41" s="77">
        <f t="shared" si="5"/>
        <v>0</v>
      </c>
      <c r="P41" s="77">
        <f t="shared" si="5"/>
        <v>42.771999999999998</v>
      </c>
      <c r="Q41" s="77">
        <f t="shared" si="10"/>
        <v>62.56</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68</v>
      </c>
      <c r="C42" s="77">
        <f t="shared" si="6"/>
        <v>54.400000000000006</v>
      </c>
      <c r="D42" s="77">
        <f t="shared" si="7"/>
        <v>62.470987999999998</v>
      </c>
      <c r="E42" s="77">
        <f t="shared" si="8"/>
        <v>13.68398</v>
      </c>
      <c r="F42" s="77">
        <f t="shared" si="9"/>
        <v>12.176352</v>
      </c>
      <c r="G42" s="77">
        <f t="shared" si="5"/>
        <v>0.15367999999999998</v>
      </c>
      <c r="H42" s="77">
        <f t="shared" si="5"/>
        <v>0.67864000000000002</v>
      </c>
      <c r="I42" s="77">
        <f t="shared" si="5"/>
        <v>3.4000000000000002E-2</v>
      </c>
      <c r="J42" s="77">
        <f t="shared" si="5"/>
        <v>6.8000000000000005E-4</v>
      </c>
      <c r="K42" s="77">
        <f t="shared" si="5"/>
        <v>3.4000000000000002E-3</v>
      </c>
      <c r="L42" s="77">
        <f t="shared" si="5"/>
        <v>7.1400000000000005E-2</v>
      </c>
      <c r="M42" s="77">
        <f t="shared" si="5"/>
        <v>6.1472000000000006E-2</v>
      </c>
      <c r="N42" s="77">
        <f t="shared" si="5"/>
        <v>0</v>
      </c>
      <c r="O42" s="77">
        <f t="shared" si="5"/>
        <v>0</v>
      </c>
      <c r="P42" s="77">
        <f t="shared" si="5"/>
        <v>42.771999999999998</v>
      </c>
      <c r="Q42" s="77">
        <f t="shared" si="10"/>
        <v>62.56</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68</v>
      </c>
      <c r="C43" s="77">
        <f t="shared" si="6"/>
        <v>54.400000000000006</v>
      </c>
      <c r="D43" s="77">
        <f t="shared" si="7"/>
        <v>62.470987999999998</v>
      </c>
      <c r="E43" s="77">
        <f t="shared" si="8"/>
        <v>13.68398</v>
      </c>
      <c r="F43" s="77">
        <f t="shared" si="9"/>
        <v>12.176352</v>
      </c>
      <c r="G43" s="77">
        <f t="shared" si="5"/>
        <v>0.15367999999999998</v>
      </c>
      <c r="H43" s="77">
        <f t="shared" si="5"/>
        <v>0.67864000000000002</v>
      </c>
      <c r="I43" s="77">
        <f t="shared" si="5"/>
        <v>3.4000000000000002E-2</v>
      </c>
      <c r="J43" s="77">
        <f t="shared" si="5"/>
        <v>6.8000000000000005E-4</v>
      </c>
      <c r="K43" s="77">
        <f t="shared" si="5"/>
        <v>3.4000000000000002E-3</v>
      </c>
      <c r="L43" s="77">
        <f t="shared" si="5"/>
        <v>7.1400000000000005E-2</v>
      </c>
      <c r="M43" s="77">
        <f t="shared" si="5"/>
        <v>6.1472000000000006E-2</v>
      </c>
      <c r="N43" s="77">
        <f t="shared" si="5"/>
        <v>0</v>
      </c>
      <c r="O43" s="77">
        <f t="shared" si="5"/>
        <v>0</v>
      </c>
      <c r="P43" s="77">
        <f t="shared" si="5"/>
        <v>42.771999999999998</v>
      </c>
      <c r="Q43" s="77">
        <f t="shared" si="10"/>
        <v>62.56</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68</v>
      </c>
      <c r="C44" s="77">
        <f t="shared" si="6"/>
        <v>54.400000000000006</v>
      </c>
      <c r="D44" s="77">
        <f t="shared" si="7"/>
        <v>62.470987999999998</v>
      </c>
      <c r="E44" s="77">
        <f t="shared" si="8"/>
        <v>13.68398</v>
      </c>
      <c r="F44" s="77">
        <f t="shared" si="9"/>
        <v>12.176352</v>
      </c>
      <c r="G44" s="77">
        <f t="shared" si="5"/>
        <v>0.15367999999999998</v>
      </c>
      <c r="H44" s="77">
        <f t="shared" si="5"/>
        <v>0.67864000000000002</v>
      </c>
      <c r="I44" s="77">
        <f t="shared" si="5"/>
        <v>3.4000000000000002E-2</v>
      </c>
      <c r="J44" s="77">
        <f t="shared" si="5"/>
        <v>6.8000000000000005E-4</v>
      </c>
      <c r="K44" s="77">
        <f t="shared" si="5"/>
        <v>3.4000000000000002E-3</v>
      </c>
      <c r="L44" s="77">
        <f t="shared" si="5"/>
        <v>7.1400000000000005E-2</v>
      </c>
      <c r="M44" s="77">
        <f t="shared" si="5"/>
        <v>6.1472000000000006E-2</v>
      </c>
      <c r="N44" s="77">
        <f t="shared" si="5"/>
        <v>0</v>
      </c>
      <c r="O44" s="77">
        <f t="shared" si="5"/>
        <v>0</v>
      </c>
      <c r="P44" s="77">
        <f t="shared" si="5"/>
        <v>42.771999999999998</v>
      </c>
      <c r="Q44" s="77">
        <f t="shared" si="10"/>
        <v>62.56</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68</v>
      </c>
      <c r="C45" s="77">
        <f t="shared" si="6"/>
        <v>54.400000000000006</v>
      </c>
      <c r="D45" s="77">
        <f t="shared" si="7"/>
        <v>62.470987999999998</v>
      </c>
      <c r="E45" s="77">
        <f t="shared" si="8"/>
        <v>13.68398</v>
      </c>
      <c r="F45" s="77">
        <f t="shared" si="9"/>
        <v>12.176352</v>
      </c>
      <c r="G45" s="77">
        <f t="shared" si="5"/>
        <v>0.15367999999999998</v>
      </c>
      <c r="H45" s="77">
        <f t="shared" si="5"/>
        <v>0.67864000000000002</v>
      </c>
      <c r="I45" s="77">
        <f t="shared" si="5"/>
        <v>3.4000000000000002E-2</v>
      </c>
      <c r="J45" s="77">
        <f t="shared" si="5"/>
        <v>6.8000000000000005E-4</v>
      </c>
      <c r="K45" s="77">
        <f t="shared" si="5"/>
        <v>3.4000000000000002E-3</v>
      </c>
      <c r="L45" s="77">
        <f t="shared" si="5"/>
        <v>7.1400000000000005E-2</v>
      </c>
      <c r="M45" s="77">
        <f t="shared" si="5"/>
        <v>6.1472000000000006E-2</v>
      </c>
      <c r="N45" s="77">
        <f t="shared" si="5"/>
        <v>0</v>
      </c>
      <c r="O45" s="77">
        <f t="shared" si="5"/>
        <v>0</v>
      </c>
      <c r="P45" s="77">
        <f t="shared" si="5"/>
        <v>42.771999999999998</v>
      </c>
      <c r="Q45" s="77">
        <f t="shared" si="10"/>
        <v>62.56</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68</v>
      </c>
      <c r="C46" s="77">
        <f t="shared" si="6"/>
        <v>54.400000000000006</v>
      </c>
      <c r="D46" s="77">
        <f t="shared" si="7"/>
        <v>62.470987999999998</v>
      </c>
      <c r="E46" s="77">
        <f t="shared" si="8"/>
        <v>13.68398</v>
      </c>
      <c r="F46" s="77">
        <f t="shared" si="9"/>
        <v>12.176352</v>
      </c>
      <c r="G46" s="77">
        <f t="shared" si="5"/>
        <v>0.15367999999999998</v>
      </c>
      <c r="H46" s="77">
        <f t="shared" si="5"/>
        <v>0.67864000000000002</v>
      </c>
      <c r="I46" s="77">
        <f t="shared" si="5"/>
        <v>3.4000000000000002E-2</v>
      </c>
      <c r="J46" s="77">
        <f t="shared" si="5"/>
        <v>6.8000000000000005E-4</v>
      </c>
      <c r="K46" s="77">
        <f t="shared" si="5"/>
        <v>3.4000000000000002E-3</v>
      </c>
      <c r="L46" s="77">
        <f t="shared" si="5"/>
        <v>7.1400000000000005E-2</v>
      </c>
      <c r="M46" s="77">
        <f t="shared" si="5"/>
        <v>6.1472000000000006E-2</v>
      </c>
      <c r="N46" s="77">
        <f t="shared" si="5"/>
        <v>0</v>
      </c>
      <c r="O46" s="77">
        <f t="shared" si="5"/>
        <v>0</v>
      </c>
      <c r="P46" s="77">
        <f t="shared" si="5"/>
        <v>42.771999999999998</v>
      </c>
      <c r="Q46" s="77">
        <f t="shared" si="10"/>
        <v>62.56</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68</v>
      </c>
      <c r="C47" s="77">
        <f t="shared" si="6"/>
        <v>54.400000000000006</v>
      </c>
      <c r="D47" s="77">
        <f t="shared" si="7"/>
        <v>62.470987999999998</v>
      </c>
      <c r="E47" s="77">
        <f t="shared" si="8"/>
        <v>13.68398</v>
      </c>
      <c r="F47" s="77">
        <f t="shared" si="9"/>
        <v>12.176352</v>
      </c>
      <c r="G47" s="77">
        <f t="shared" ref="G47:P50" si="12">IF(G$27="%w/w SAR",((G$28*10)*$B47),IF(G$27="%w/w DM",(((G$28*10)*($B$28/100))*$B47),IF(G$27="kg/t SAR",(G$28*$B47),IF(G$27="kg/t DM",((G$28*($B$28/100))*$B47),IF(G$27="mg/kg SAR",((G$28*0.001)*$B47),IF(G$27="mg/kg DM",(((G$28*0.001)*($B$28/100))*$B47),0))))))</f>
        <v>0.15367999999999998</v>
      </c>
      <c r="H47" s="77">
        <f t="shared" si="12"/>
        <v>0.67864000000000002</v>
      </c>
      <c r="I47" s="77">
        <f t="shared" si="12"/>
        <v>3.4000000000000002E-2</v>
      </c>
      <c r="J47" s="77">
        <f t="shared" si="12"/>
        <v>6.8000000000000005E-4</v>
      </c>
      <c r="K47" s="77">
        <f t="shared" si="12"/>
        <v>3.4000000000000002E-3</v>
      </c>
      <c r="L47" s="77">
        <f t="shared" si="12"/>
        <v>7.1400000000000005E-2</v>
      </c>
      <c r="M47" s="77">
        <f t="shared" si="12"/>
        <v>6.1472000000000006E-2</v>
      </c>
      <c r="N47" s="77">
        <f t="shared" si="12"/>
        <v>0</v>
      </c>
      <c r="O47" s="77">
        <f t="shared" si="12"/>
        <v>0</v>
      </c>
      <c r="P47" s="77">
        <f t="shared" si="12"/>
        <v>42.771999999999998</v>
      </c>
      <c r="Q47" s="77">
        <f t="shared" si="10"/>
        <v>62.56</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68</v>
      </c>
      <c r="C48" s="77">
        <f t="shared" si="6"/>
        <v>54.400000000000006</v>
      </c>
      <c r="D48" s="77">
        <f t="shared" si="7"/>
        <v>62.470987999999998</v>
      </c>
      <c r="E48" s="77">
        <f t="shared" si="8"/>
        <v>13.68398</v>
      </c>
      <c r="F48" s="77">
        <f t="shared" si="9"/>
        <v>12.176352</v>
      </c>
      <c r="G48" s="77">
        <f t="shared" si="12"/>
        <v>0.15367999999999998</v>
      </c>
      <c r="H48" s="77">
        <f t="shared" si="12"/>
        <v>0.67864000000000002</v>
      </c>
      <c r="I48" s="77">
        <f t="shared" si="12"/>
        <v>3.4000000000000002E-2</v>
      </c>
      <c r="J48" s="77">
        <f t="shared" si="12"/>
        <v>6.8000000000000005E-4</v>
      </c>
      <c r="K48" s="77">
        <f t="shared" si="12"/>
        <v>3.4000000000000002E-3</v>
      </c>
      <c r="L48" s="77">
        <f t="shared" si="12"/>
        <v>7.1400000000000005E-2</v>
      </c>
      <c r="M48" s="77">
        <f t="shared" si="12"/>
        <v>6.1472000000000006E-2</v>
      </c>
      <c r="N48" s="77">
        <f t="shared" si="12"/>
        <v>0</v>
      </c>
      <c r="O48" s="77">
        <f t="shared" si="12"/>
        <v>0</v>
      </c>
      <c r="P48" s="77">
        <f t="shared" si="12"/>
        <v>42.771999999999998</v>
      </c>
      <c r="Q48" s="77">
        <f t="shared" si="10"/>
        <v>62.56</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"&amp;(VLOOKUP(C14,Table24581114[],6,FALSE))</f>
        <v>Sandy Loam I Grass</v>
      </c>
      <c r="C58" s="13" t="str">
        <f>D16&amp;" I "&amp;(VLOOKUP(D14,Table24581114[],6,FALSE))</f>
        <v>Sandy Loam I Grass</v>
      </c>
      <c r="D58" s="13" t="str">
        <f>E16&amp;" I "&amp;(VLOOKUP(E14,Table24581114[],6,FALSE))</f>
        <v>Sandy Loam I Grass</v>
      </c>
      <c r="E58" s="13" t="str">
        <f>F16&amp;" I "&amp;(VLOOKUP(F14,Table24581114[],6,FALSE))</f>
        <v>Sandy Loam I Grass</v>
      </c>
      <c r="F58" s="13" t="str">
        <f>G16&amp;" I "&amp;(VLOOKUP(G14,Table24581114[],6,FALSE))</f>
        <v>Sandy Loam I Grass</v>
      </c>
      <c r="G58" s="13" t="str">
        <f>H16&amp;" I "&amp;(VLOOKUP(H14,Table24581114[],6,FALSE))</f>
        <v>Sandy Loam I Grass</v>
      </c>
      <c r="H58" s="13" t="str">
        <f>I16&amp;" I "&amp;(VLOOKUP(I14,Table24581114[],6,FALSE))</f>
        <v>Sandy Loam I Grass</v>
      </c>
      <c r="I58" s="13" t="str">
        <f>J16&amp;" I "&amp;(VLOOKUP(J14,Table24581114[],6,FALSE))</f>
        <v>Sandy Loam I Grass</v>
      </c>
      <c r="J58" s="13" t="str">
        <f>K16&amp;" I "&amp;(VLOOKUP(K14,Table24581114[],6,FALSE))</f>
        <v>Sandy Loam I Grass</v>
      </c>
      <c r="K58" s="13" t="str">
        <f>L16&amp;" I "&amp;(VLOOKUP(L14,Table24581114[],6,FALSE))</f>
        <v>Sandy Loam I Grass</v>
      </c>
      <c r="L58" s="13" t="str">
        <f>M16&amp;" I "&amp;(VLOOKUP(M14,Table24581114[],6,FALSE))</f>
        <v>Sandy Loam I Grass</v>
      </c>
      <c r="M58" s="13" t="str">
        <f>N16&amp;" I "&amp;(VLOOKUP(N14,Table24581114[],6,FALSE))</f>
        <v>Sandy Loam I Grass</v>
      </c>
      <c r="N58" s="13" t="str">
        <f>O16&amp;" I "&amp;(VLOOKUP(O14,Table24581114[],6,FALSE))</f>
        <v>Sandy Loam I Grass</v>
      </c>
      <c r="O58" s="13" t="str">
        <f>P16&amp;" I "&amp;(VLOOKUP(P14,Table24581114[],6,FALSE))</f>
        <v>Sandy Loam I Grass</v>
      </c>
      <c r="P58" s="13" t="str">
        <f>Q16&amp;" I "&amp;(VLOOKUP(Q14,Table24581114[],6,FALSE))</f>
        <v>Sandy Loam I Grass</v>
      </c>
      <c r="Q58" s="13" t="str">
        <f>R16&amp;" I "&amp;(VLOOKUP(R14,Table24581114[],6,FALSE))</f>
        <v>Sandy Loam I Grass</v>
      </c>
      <c r="R58" s="13" t="str">
        <f>S16&amp;" I "&amp;(VLOOKUP(S14,Table24581114[],6,FALSE))</f>
        <v>Sandy Loam I Grass</v>
      </c>
      <c r="S58" s="13" t="str">
        <f>T16&amp;" I "&amp;(VLOOKUP(T14,Table24581114[],6,FALSE))</f>
        <v>Sandy Loam I Grass</v>
      </c>
      <c r="T58" s="13" t="str">
        <f>U16&amp;" I "&amp;(VLOOKUP(U14,Table24581114[],6,FALSE))</f>
        <v>Sandy Loam I Grass</v>
      </c>
      <c r="U58" s="13" t="str">
        <f>V16&amp;" I "&amp;(VLOOKUP(V14,Table24581114[],6,FALSE))</f>
        <v>Sandy Loam I Grass</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f>VLOOKUP(J$14,Table24581114[],5,FALSE)</f>
        <v>6.2</v>
      </c>
      <c r="J59" s="76">
        <f>VLOOKUP(K$14,Table24581114[],5,FALSE)</f>
        <v>6.2</v>
      </c>
      <c r="K59" s="76">
        <f>VLOOKUP(L$14,Table24581114[],5,FALSE)</f>
        <v>6.2</v>
      </c>
      <c r="L59" s="76">
        <f>VLOOKUP(M$14,Table24581114[],5,FALSE)</f>
        <v>6.2</v>
      </c>
      <c r="M59" s="76">
        <f>VLOOKUP(N$14,Table24581114[],5,FALSE)</f>
        <v>6.2</v>
      </c>
      <c r="N59" s="76">
        <f>VLOOKUP(O$14,Table24581114[],5,FALSE)</f>
        <v>6.2</v>
      </c>
      <c r="O59" s="76">
        <f>VLOOKUP(P$14,Table24581114[],5,FALSE)</f>
        <v>6.2</v>
      </c>
      <c r="P59" s="76">
        <f>VLOOKUP(Q$14,Table24581114[],5,FALSE)</f>
        <v>6.2</v>
      </c>
      <c r="Q59" s="76">
        <f>VLOOKUP(R$14,Table24581114[],5,FALSE)</f>
        <v>6.2</v>
      </c>
      <c r="R59" s="76">
        <f>VLOOKUP(S$14,Table24581114[],5,FALSE)</f>
        <v>6.2</v>
      </c>
      <c r="S59" s="76">
        <f>VLOOKUP(T$14,Table24581114[],5,FALSE)</f>
        <v>6.2</v>
      </c>
      <c r="T59" s="76">
        <f>VLOOKUP(U$14,Table24581114[],5,FALSE)</f>
        <v>6.2</v>
      </c>
      <c r="U59" s="76">
        <f>VLOOKUP(V$14,Table24581114[],5,FALSE)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68</v>
      </c>
      <c r="C62" s="77">
        <f>B32</f>
        <v>68</v>
      </c>
      <c r="D62" s="77">
        <f>B33</f>
        <v>68</v>
      </c>
      <c r="E62" s="77">
        <f>B34</f>
        <v>68</v>
      </c>
      <c r="F62" s="77">
        <f>B35</f>
        <v>68</v>
      </c>
      <c r="G62" s="77">
        <f>B36</f>
        <v>68</v>
      </c>
      <c r="H62" s="77">
        <f>B37</f>
        <v>68</v>
      </c>
      <c r="I62" s="77">
        <f>B38</f>
        <v>68</v>
      </c>
      <c r="J62" s="77">
        <f>B39</f>
        <v>68</v>
      </c>
      <c r="K62" s="77">
        <f>B40</f>
        <v>68</v>
      </c>
      <c r="L62" s="77">
        <f>B41</f>
        <v>68</v>
      </c>
      <c r="M62" s="77">
        <f>B42</f>
        <v>68</v>
      </c>
      <c r="N62" s="77">
        <f>B43</f>
        <v>68</v>
      </c>
      <c r="O62" s="77">
        <f>B44</f>
        <v>68</v>
      </c>
      <c r="P62" s="77">
        <f>B45</f>
        <v>68</v>
      </c>
      <c r="Q62" s="77">
        <f>B46</f>
        <v>68</v>
      </c>
      <c r="R62" s="77">
        <f>B47</f>
        <v>68</v>
      </c>
      <c r="S62" s="77">
        <f>B48</f>
        <v>68</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TZZVWlHMlDSC2esGZn3NcR0IWCrUPBFFgIsapkN5arzyEza6Z6YnceaiyS0BnKhpQovr5aDMfrn3Jy5cd28BrA==" saltValue="OGaLsDJJBbstJqc3zQfqrQ=="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4" zoomScale="90" zoomScaleNormal="90" workbookViewId="0">
      <selection activeCell="A28" sqref="A28"/>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5.97</v>
      </c>
      <c r="J1" s="127" t="s">
        <v>153</v>
      </c>
      <c r="K1" s="127"/>
      <c r="L1" s="97">
        <v>251</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166</v>
      </c>
      <c r="G2" s="125" t="s">
        <v>110</v>
      </c>
      <c r="H2" s="126"/>
      <c r="I2" s="118">
        <v>1015</v>
      </c>
      <c r="J2" s="127" t="s">
        <v>158</v>
      </c>
      <c r="K2" s="127"/>
      <c r="L2" s="97">
        <v>0.13</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13460</v>
      </c>
      <c r="J3" s="123" t="s">
        <v>154</v>
      </c>
      <c r="K3" s="124"/>
      <c r="L3" s="97">
        <f>(L1/(L2*10000))*100</f>
        <v>19.30769230769231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174</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63.231599999999993</v>
      </c>
      <c r="K18" s="16">
        <f>$D39</f>
        <v>63.231599999999993</v>
      </c>
      <c r="L18" s="16">
        <f>$D40</f>
        <v>63.231599999999993</v>
      </c>
      <c r="M18" s="16">
        <f>$D41</f>
        <v>63.231599999999993</v>
      </c>
      <c r="N18" s="16">
        <f>$D42</f>
        <v>63.231599999999993</v>
      </c>
      <c r="O18" s="16">
        <f>$D43</f>
        <v>63.231599999999993</v>
      </c>
      <c r="P18" s="16">
        <f>$D44</f>
        <v>63.231599999999993</v>
      </c>
      <c r="Q18" s="16">
        <f>$D45</f>
        <v>63.231599999999993</v>
      </c>
      <c r="R18" s="16">
        <f>$D46</f>
        <v>63.231599999999993</v>
      </c>
      <c r="S18" s="16">
        <f>$D47</f>
        <v>63.231599999999993</v>
      </c>
      <c r="T18" s="16">
        <f>$D48</f>
        <v>63.231599999999993</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f t="shared" si="1"/>
        <v>-1.3684000000000012</v>
      </c>
      <c r="K19" s="16">
        <f t="shared" si="1"/>
        <v>-1.3684000000000012</v>
      </c>
      <c r="L19" s="16">
        <f t="shared" si="1"/>
        <v>-1.3684000000000012</v>
      </c>
      <c r="M19" s="16">
        <f t="shared" si="1"/>
        <v>-1.3684000000000012</v>
      </c>
      <c r="N19" s="16">
        <f t="shared" si="1"/>
        <v>-1.3684000000000012</v>
      </c>
      <c r="O19" s="16">
        <f t="shared" si="1"/>
        <v>-1.3684000000000012</v>
      </c>
      <c r="P19" s="16">
        <f t="shared" si="1"/>
        <v>-1.3684000000000012</v>
      </c>
      <c r="Q19" s="16">
        <f t="shared" si="1"/>
        <v>-1.3684000000000012</v>
      </c>
      <c r="R19" s="16">
        <f t="shared" si="1"/>
        <v>-1.3684000000000012</v>
      </c>
      <c r="S19" s="16">
        <f t="shared" si="1"/>
        <v>-1.3684000000000012</v>
      </c>
      <c r="T19" s="16">
        <f t="shared" si="1"/>
        <v>-1.3684000000000012</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25.27608</v>
      </c>
      <c r="D22" s="16">
        <f>$E32</f>
        <v>25.27608</v>
      </c>
      <c r="E22" s="16">
        <f>$E33</f>
        <v>25.27608</v>
      </c>
      <c r="F22" s="16">
        <f>$E34</f>
        <v>25.27608</v>
      </c>
      <c r="G22" s="16">
        <f>$E35</f>
        <v>25.27608</v>
      </c>
      <c r="H22" s="16">
        <f>$E36</f>
        <v>25.27608</v>
      </c>
      <c r="I22" s="16">
        <f>$E37</f>
        <v>25.27608</v>
      </c>
      <c r="J22" s="16">
        <f>$E38</f>
        <v>25.27608</v>
      </c>
      <c r="K22" s="16">
        <f>$E39</f>
        <v>25.27608</v>
      </c>
      <c r="L22" s="16">
        <f>$E40</f>
        <v>25.27608</v>
      </c>
      <c r="M22" s="16">
        <f>$E41</f>
        <v>25.27608</v>
      </c>
      <c r="N22" s="16">
        <f>$E42</f>
        <v>25.27608</v>
      </c>
      <c r="O22" s="16">
        <f>$E43</f>
        <v>25.27608</v>
      </c>
      <c r="P22" s="16">
        <f>$E44</f>
        <v>25.27608</v>
      </c>
      <c r="Q22" s="16">
        <f>$E45</f>
        <v>25.27608</v>
      </c>
      <c r="R22" s="16">
        <f>$E46</f>
        <v>25.27608</v>
      </c>
      <c r="S22" s="16">
        <f>$E47</f>
        <v>25.27608</v>
      </c>
      <c r="T22" s="16">
        <f>$E48</f>
        <v>25.27608</v>
      </c>
      <c r="U22" s="16">
        <f>$E49</f>
        <v>0</v>
      </c>
      <c r="V22" s="16">
        <f>$E50</f>
        <v>0</v>
      </c>
      <c r="AI22" s="63" t="s">
        <v>102</v>
      </c>
      <c r="AJ22" s="64">
        <v>1.2</v>
      </c>
      <c r="AK22" s="65">
        <v>5</v>
      </c>
      <c r="AL22" s="29">
        <v>20</v>
      </c>
      <c r="AM22" s="11">
        <v>6.7</v>
      </c>
      <c r="AN22" s="11" t="s">
        <v>135</v>
      </c>
    </row>
    <row r="23" spans="1:40" ht="13" x14ac:dyDescent="0.25">
      <c r="A23" s="131" t="s">
        <v>92</v>
      </c>
      <c r="B23" s="132"/>
      <c r="C23" s="16">
        <f>C22-C21</f>
        <v>-202.72391999999999</v>
      </c>
      <c r="D23" s="16">
        <f t="shared" ref="D23:V23" si="3">D22-D21</f>
        <v>-202.72391999999999</v>
      </c>
      <c r="E23" s="16">
        <f t="shared" si="3"/>
        <v>-202.72391999999999</v>
      </c>
      <c r="F23" s="16">
        <f t="shared" si="3"/>
        <v>-202.72391999999999</v>
      </c>
      <c r="G23" s="16">
        <f t="shared" si="3"/>
        <v>-202.72391999999999</v>
      </c>
      <c r="H23" s="16">
        <f t="shared" si="3"/>
        <v>-202.72391999999999</v>
      </c>
      <c r="I23" s="16">
        <f t="shared" si="3"/>
        <v>-202.72391999999999</v>
      </c>
      <c r="J23" s="16">
        <f t="shared" si="3"/>
        <v>-202.72391999999999</v>
      </c>
      <c r="K23" s="16">
        <f t="shared" si="3"/>
        <v>-202.72391999999999</v>
      </c>
      <c r="L23" s="16">
        <f t="shared" si="3"/>
        <v>-202.72391999999999</v>
      </c>
      <c r="M23" s="16">
        <f t="shared" si="3"/>
        <v>-202.72391999999999</v>
      </c>
      <c r="N23" s="16">
        <f t="shared" si="3"/>
        <v>-202.72391999999999</v>
      </c>
      <c r="O23" s="16">
        <f t="shared" si="3"/>
        <v>-202.72391999999999</v>
      </c>
      <c r="P23" s="16">
        <f t="shared" si="3"/>
        <v>-202.72391999999999</v>
      </c>
      <c r="Q23" s="16">
        <f t="shared" si="3"/>
        <v>-202.72391999999999</v>
      </c>
      <c r="R23" s="16">
        <f t="shared" si="3"/>
        <v>-202.72391999999999</v>
      </c>
      <c r="S23" s="16">
        <f t="shared" si="3"/>
        <v>-202.72391999999999</v>
      </c>
      <c r="T23" s="16">
        <f t="shared" si="3"/>
        <v>-202.72391999999999</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3.11</v>
      </c>
      <c r="C28" s="15">
        <v>0.13</v>
      </c>
      <c r="D28" s="15">
        <v>300</v>
      </c>
      <c r="E28" s="15">
        <v>228</v>
      </c>
      <c r="F28" s="15">
        <v>87.2</v>
      </c>
      <c r="G28" s="15">
        <v>2.17</v>
      </c>
      <c r="H28" s="15">
        <v>9.43</v>
      </c>
      <c r="I28" s="15">
        <v>0.63300000000000001</v>
      </c>
      <c r="J28" s="15">
        <v>1.2999999999999999E-2</v>
      </c>
      <c r="K28" s="23">
        <v>0.05</v>
      </c>
      <c r="L28" s="15">
        <v>0.33200000000000002</v>
      </c>
      <c r="M28" s="15">
        <v>0.72499999999999998</v>
      </c>
      <c r="N28" s="15"/>
      <c r="O28" s="15"/>
      <c r="P28" s="15">
        <v>797</v>
      </c>
      <c r="Q28" s="15">
        <v>520</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92</v>
      </c>
      <c r="C31" s="77">
        <f>IF(C$27="%w/w SAR",((C$28*10)*$B31),IF(C$27="%w/w DM",(((C$28*10)*($B$28/100))*$B31),IF(C$27="kg/t SAR",(C$28*$B31),IF(C$27="kg/t DM",((C$28*($B$28/100))*$B31),IF(C$27="mg/kg SAR",((C$28*0.001)*$B31),IF(C$27="mg/kg DM",(((C$28*0.001)*($B$28/100))*$B31),0))))))</f>
        <v>119.60000000000001</v>
      </c>
      <c r="D31" s="77">
        <f>(IF(D$27="%w/w SAR",((D$28*10)*$B31),IF(D$27="%w/w DM",(((D$28*10)*($B$28/100))*$B31),IF(D$27="kg/t SAR",(D$28*$B31),IF(D$27="kg/t DM",((D$28*($B$28/100))*$B31),IF(D$27="mg/kg SAR",((D$28*0.001)*$B31),IF(D$27="mg/kg DM",(((D$28*0.001)*($B$28/100))*$B31),"0")))))))*2.291</f>
        <v>63.231599999999993</v>
      </c>
      <c r="E31" s="77">
        <f>(IF(E$27="%w/w SAR",((E$28*10)*$B31),IF(E$27="%w/w DM",(((E$28*10)*($B$28/100))*$B31),IF(E$27="kg/t SAR",(E$28*$B31),IF(E$27="kg/t DM",((E$28*($B$28/100))*$B31),IF(E$27="mg/kg SAR",((E$28*0.001)*$B31),IF(E$27="mg/kg DM",(((E$28*0.001)*($B$28/100))*$B31),"0")))))))*1.205</f>
        <v>25.27608</v>
      </c>
      <c r="F31" s="77">
        <f>(IF(F$27="%w/w SAR",((F$28*10)*$B31),IF(F$27="%w/w DM",(((F$28*10)*($B$28/100))*$B31),IF(F$27="kg/t SAR",(F$28*$B31),IF(F$27="kg/t DM",((F$28*($B$28/100))*$B31),IF(F$27="mg/kg SAR",((F$28*0.001)*$B31),IF(F$27="mg/kg DM",(((F$28*0.001)*($B$28/100))*$B31),"0")))))))*1.658</f>
        <v>13.301139199999998</v>
      </c>
      <c r="G31" s="77">
        <f t="shared" ref="G31:P46" si="5">IF(G$27="%w/w SAR",((G$28*10)*$B31),IF(G$27="%w/w DM",(((G$28*10)*($B$28/100))*$B31),IF(G$27="kg/t SAR",(G$28*$B31),IF(G$27="kg/t DM",((G$28*($B$28/100))*$B31),IF(G$27="mg/kg SAR",((G$28*0.001)*$B31),IF(G$27="mg/kg DM",(((G$28*0.001)*($B$28/100))*$B31),0))))))</f>
        <v>0.19964000000000001</v>
      </c>
      <c r="H31" s="77">
        <f t="shared" si="5"/>
        <v>0.86755999999999989</v>
      </c>
      <c r="I31" s="77">
        <f t="shared" si="5"/>
        <v>5.8235999999999996E-2</v>
      </c>
      <c r="J31" s="77">
        <f t="shared" si="5"/>
        <v>1.196E-3</v>
      </c>
      <c r="K31" s="77">
        <f t="shared" si="5"/>
        <v>4.5999999999999999E-3</v>
      </c>
      <c r="L31" s="77">
        <f t="shared" si="5"/>
        <v>3.0544000000000005E-2</v>
      </c>
      <c r="M31" s="77">
        <f t="shared" si="5"/>
        <v>6.6699999999999995E-2</v>
      </c>
      <c r="N31" s="77">
        <f t="shared" si="5"/>
        <v>0</v>
      </c>
      <c r="O31" s="77">
        <f t="shared" si="5"/>
        <v>0</v>
      </c>
      <c r="P31" s="77">
        <f t="shared" si="5"/>
        <v>73.323999999999998</v>
      </c>
      <c r="Q31" s="77">
        <f>(IF(Q$27="%w/w SAR",((Q$28*10)*$B31),IF(Q$27="%w/w DM",(((Q$28*10)*($B$28/100))*$B31),IF(Q$27="kg/t SAR",(Q$28*$B31),IF(Q$27="kg/t DM",((Q$28*($B$28/100))*$B31),IF(Q$27="mg/kg SAR",((Q$28*0.001)*$B31),IF(Q$27="mg/kg DM",(((Q$28*0.001)*($B$28/100))*$B31),0)))))))*2.5</f>
        <v>119.60000000000001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92</v>
      </c>
      <c r="C32" s="77">
        <f t="shared" ref="C32:C50" si="6">IF(C$27="%w/w SAR",((C$28*10)*$B32),IF(C$27="%w/w DM",(((C$28*10)*($B$28/100))*$B32),IF(C$27="kg/t SAR",(C$28*$B32),IF(C$27="kg/t DM",((C$28*($B$28/100))*$B32),IF(C$27="mg/kg SAR",((C$28*0.001)*$B32),IF(C$27="mg/kg DM",(((C$28*0.001)*($B$28/100))*$B32),0))))))</f>
        <v>119.60000000000001</v>
      </c>
      <c r="D32" s="77">
        <f t="shared" ref="D32:D50" si="7">(IF(D$27="%w/w SAR",((D$28*10)*$B32),IF(D$27="%w/w DM",(((D$28*10)*($B$28/100))*$B32),IF(D$27="kg/t SAR",(D$28*$B32),IF(D$27="kg/t DM",((D$28*($B$28/100))*$B32),IF(D$27="mg/kg SAR",((D$28*0.001)*$B32),IF(D$27="mg/kg DM",(((D$28*0.001)*($B$28/100))*$B32),"0")))))))*2.291</f>
        <v>63.231599999999993</v>
      </c>
      <c r="E32" s="77">
        <f t="shared" ref="E32:E50" si="8">(IF(E$27="%w/w SAR",((E$28*10)*$B32),IF(E$27="%w/w DM",(((E$28*10)*($B$28/100))*$B32),IF(E$27="kg/t SAR",(E$28*$B32),IF(E$27="kg/t DM",((E$28*($B$28/100))*$B32),IF(E$27="mg/kg SAR",((E$28*0.001)*$B32),IF(E$27="mg/kg DM",(((E$28*0.001)*($B$28/100))*$B32),"0")))))))*1.205</f>
        <v>25.27608</v>
      </c>
      <c r="F32" s="77">
        <f t="shared" ref="F32:F50" si="9">(IF(F$27="%w/w SAR",((F$28*10)*$B32),IF(F$27="%w/w DM",(((F$28*10)*($B$28/100))*$B32),IF(F$27="kg/t SAR",(F$28*$B32),IF(F$27="kg/t DM",((F$28*($B$28/100))*$B32),IF(F$27="mg/kg SAR",((F$28*0.001)*$B32),IF(F$27="mg/kg DM",(((F$28*0.001)*($B$28/100))*$B32),"0")))))))*1.658</f>
        <v>13.301139199999998</v>
      </c>
      <c r="G32" s="77">
        <f t="shared" si="5"/>
        <v>0.19964000000000001</v>
      </c>
      <c r="H32" s="77">
        <f t="shared" si="5"/>
        <v>0.86755999999999989</v>
      </c>
      <c r="I32" s="77">
        <f t="shared" si="5"/>
        <v>5.8235999999999996E-2</v>
      </c>
      <c r="J32" s="77">
        <f t="shared" si="5"/>
        <v>1.196E-3</v>
      </c>
      <c r="K32" s="77">
        <f t="shared" si="5"/>
        <v>4.5999999999999999E-3</v>
      </c>
      <c r="L32" s="77">
        <f t="shared" si="5"/>
        <v>3.0544000000000005E-2</v>
      </c>
      <c r="M32" s="77">
        <f t="shared" si="5"/>
        <v>6.6699999999999995E-2</v>
      </c>
      <c r="N32" s="77">
        <f t="shared" si="5"/>
        <v>0</v>
      </c>
      <c r="O32" s="77">
        <f t="shared" si="5"/>
        <v>0</v>
      </c>
      <c r="P32" s="77">
        <f t="shared" si="5"/>
        <v>73.323999999999998</v>
      </c>
      <c r="Q32" s="77">
        <f t="shared" ref="Q32:Q50" si="10">(IF(Q$27="%w/w SAR",((Q$28*10)*$B32),IF(Q$27="%w/w DM",(((Q$28*10)*($B$28/100))*$B32),IF(Q$27="kg/t SAR",(Q$28*$B32),IF(Q$27="kg/t DM",((Q$28*($B$28/100))*$B32),IF(Q$27="mg/kg SAR",((Q$28*0.001)*$B32),IF(Q$27="mg/kg DM",(((Q$28*0.001)*($B$28/100))*$B32),0)))))))*2.5</f>
        <v>119.60000000000001</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92</v>
      </c>
      <c r="C33" s="77">
        <f t="shared" si="6"/>
        <v>119.60000000000001</v>
      </c>
      <c r="D33" s="77">
        <f t="shared" si="7"/>
        <v>63.231599999999993</v>
      </c>
      <c r="E33" s="77">
        <f t="shared" si="8"/>
        <v>25.27608</v>
      </c>
      <c r="F33" s="77">
        <f t="shared" si="9"/>
        <v>13.301139199999998</v>
      </c>
      <c r="G33" s="77">
        <f t="shared" si="5"/>
        <v>0.19964000000000001</v>
      </c>
      <c r="H33" s="77">
        <f t="shared" si="5"/>
        <v>0.86755999999999989</v>
      </c>
      <c r="I33" s="77">
        <f t="shared" si="5"/>
        <v>5.8235999999999996E-2</v>
      </c>
      <c r="J33" s="77">
        <f t="shared" si="5"/>
        <v>1.196E-3</v>
      </c>
      <c r="K33" s="77">
        <f t="shared" si="5"/>
        <v>4.5999999999999999E-3</v>
      </c>
      <c r="L33" s="77">
        <f t="shared" si="5"/>
        <v>3.0544000000000005E-2</v>
      </c>
      <c r="M33" s="77">
        <f t="shared" si="5"/>
        <v>6.6699999999999995E-2</v>
      </c>
      <c r="N33" s="77">
        <f t="shared" si="5"/>
        <v>0</v>
      </c>
      <c r="O33" s="77">
        <f t="shared" si="5"/>
        <v>0</v>
      </c>
      <c r="P33" s="77">
        <f t="shared" si="5"/>
        <v>73.323999999999998</v>
      </c>
      <c r="Q33" s="77">
        <f t="shared" si="10"/>
        <v>119.60000000000001</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92</v>
      </c>
      <c r="C34" s="77">
        <f t="shared" si="6"/>
        <v>119.60000000000001</v>
      </c>
      <c r="D34" s="77">
        <f t="shared" si="7"/>
        <v>63.231599999999993</v>
      </c>
      <c r="E34" s="77">
        <f t="shared" si="8"/>
        <v>25.27608</v>
      </c>
      <c r="F34" s="77">
        <f t="shared" si="9"/>
        <v>13.301139199999998</v>
      </c>
      <c r="G34" s="77">
        <f t="shared" si="5"/>
        <v>0.19964000000000001</v>
      </c>
      <c r="H34" s="77">
        <f t="shared" si="5"/>
        <v>0.86755999999999989</v>
      </c>
      <c r="I34" s="77">
        <f t="shared" si="5"/>
        <v>5.8235999999999996E-2</v>
      </c>
      <c r="J34" s="77">
        <f t="shared" si="5"/>
        <v>1.196E-3</v>
      </c>
      <c r="K34" s="77">
        <f t="shared" si="5"/>
        <v>4.5999999999999999E-3</v>
      </c>
      <c r="L34" s="77">
        <f t="shared" si="5"/>
        <v>3.0544000000000005E-2</v>
      </c>
      <c r="M34" s="77">
        <f t="shared" si="5"/>
        <v>6.6699999999999995E-2</v>
      </c>
      <c r="N34" s="77">
        <f t="shared" si="5"/>
        <v>0</v>
      </c>
      <c r="O34" s="77">
        <f t="shared" si="5"/>
        <v>0</v>
      </c>
      <c r="P34" s="77">
        <f t="shared" si="5"/>
        <v>73.323999999999998</v>
      </c>
      <c r="Q34" s="77">
        <f t="shared" si="10"/>
        <v>119.60000000000001</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92</v>
      </c>
      <c r="C35" s="77">
        <f t="shared" si="6"/>
        <v>119.60000000000001</v>
      </c>
      <c r="D35" s="77">
        <f t="shared" si="7"/>
        <v>63.231599999999993</v>
      </c>
      <c r="E35" s="77">
        <f t="shared" si="8"/>
        <v>25.27608</v>
      </c>
      <c r="F35" s="77">
        <f t="shared" si="9"/>
        <v>13.301139199999998</v>
      </c>
      <c r="G35" s="77">
        <f t="shared" si="5"/>
        <v>0.19964000000000001</v>
      </c>
      <c r="H35" s="77">
        <f t="shared" si="5"/>
        <v>0.86755999999999989</v>
      </c>
      <c r="I35" s="77">
        <f t="shared" si="5"/>
        <v>5.8235999999999996E-2</v>
      </c>
      <c r="J35" s="77">
        <f t="shared" si="5"/>
        <v>1.196E-3</v>
      </c>
      <c r="K35" s="77">
        <f t="shared" si="5"/>
        <v>4.5999999999999999E-3</v>
      </c>
      <c r="L35" s="77">
        <f t="shared" si="5"/>
        <v>3.0544000000000005E-2</v>
      </c>
      <c r="M35" s="77">
        <f t="shared" si="5"/>
        <v>6.6699999999999995E-2</v>
      </c>
      <c r="N35" s="77">
        <f t="shared" si="5"/>
        <v>0</v>
      </c>
      <c r="O35" s="77">
        <f t="shared" si="5"/>
        <v>0</v>
      </c>
      <c r="P35" s="77">
        <f t="shared" si="5"/>
        <v>73.323999999999998</v>
      </c>
      <c r="Q35" s="77">
        <f t="shared" si="10"/>
        <v>119.60000000000001</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92</v>
      </c>
      <c r="C36" s="77">
        <f t="shared" si="6"/>
        <v>119.60000000000001</v>
      </c>
      <c r="D36" s="77">
        <f t="shared" si="7"/>
        <v>63.231599999999993</v>
      </c>
      <c r="E36" s="77">
        <f t="shared" si="8"/>
        <v>25.27608</v>
      </c>
      <c r="F36" s="77">
        <f t="shared" si="9"/>
        <v>13.301139199999998</v>
      </c>
      <c r="G36" s="77">
        <f t="shared" si="5"/>
        <v>0.19964000000000001</v>
      </c>
      <c r="H36" s="77">
        <f t="shared" si="5"/>
        <v>0.86755999999999989</v>
      </c>
      <c r="I36" s="77">
        <f t="shared" si="5"/>
        <v>5.8235999999999996E-2</v>
      </c>
      <c r="J36" s="77">
        <f t="shared" si="5"/>
        <v>1.196E-3</v>
      </c>
      <c r="K36" s="77">
        <f t="shared" si="5"/>
        <v>4.5999999999999999E-3</v>
      </c>
      <c r="L36" s="77">
        <f t="shared" si="5"/>
        <v>3.0544000000000005E-2</v>
      </c>
      <c r="M36" s="77">
        <f t="shared" si="5"/>
        <v>6.6699999999999995E-2</v>
      </c>
      <c r="N36" s="77">
        <f t="shared" si="5"/>
        <v>0</v>
      </c>
      <c r="O36" s="77">
        <f t="shared" si="5"/>
        <v>0</v>
      </c>
      <c r="P36" s="77">
        <f t="shared" si="5"/>
        <v>73.323999999999998</v>
      </c>
      <c r="Q36" s="77">
        <f t="shared" si="10"/>
        <v>119.60000000000001</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92</v>
      </c>
      <c r="C37" s="77">
        <f t="shared" si="6"/>
        <v>119.60000000000001</v>
      </c>
      <c r="D37" s="77">
        <f t="shared" si="7"/>
        <v>63.231599999999993</v>
      </c>
      <c r="E37" s="77">
        <f t="shared" si="8"/>
        <v>25.27608</v>
      </c>
      <c r="F37" s="77">
        <f t="shared" si="9"/>
        <v>13.301139199999998</v>
      </c>
      <c r="G37" s="77">
        <f t="shared" si="5"/>
        <v>0.19964000000000001</v>
      </c>
      <c r="H37" s="77">
        <f t="shared" si="5"/>
        <v>0.86755999999999989</v>
      </c>
      <c r="I37" s="77">
        <f t="shared" si="5"/>
        <v>5.8235999999999996E-2</v>
      </c>
      <c r="J37" s="77">
        <f t="shared" si="5"/>
        <v>1.196E-3</v>
      </c>
      <c r="K37" s="77">
        <f t="shared" si="5"/>
        <v>4.5999999999999999E-3</v>
      </c>
      <c r="L37" s="77">
        <f t="shared" si="5"/>
        <v>3.0544000000000005E-2</v>
      </c>
      <c r="M37" s="77">
        <f t="shared" si="5"/>
        <v>6.6699999999999995E-2</v>
      </c>
      <c r="N37" s="77">
        <f t="shared" si="5"/>
        <v>0</v>
      </c>
      <c r="O37" s="77">
        <f t="shared" si="5"/>
        <v>0</v>
      </c>
      <c r="P37" s="77">
        <f t="shared" si="5"/>
        <v>73.323999999999998</v>
      </c>
      <c r="Q37" s="77">
        <f t="shared" si="10"/>
        <v>119.60000000000001</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92</v>
      </c>
      <c r="C38" s="77">
        <f t="shared" si="6"/>
        <v>119.60000000000001</v>
      </c>
      <c r="D38" s="77">
        <f t="shared" si="7"/>
        <v>63.231599999999993</v>
      </c>
      <c r="E38" s="77">
        <f t="shared" si="8"/>
        <v>25.27608</v>
      </c>
      <c r="F38" s="77">
        <f t="shared" si="9"/>
        <v>13.301139199999998</v>
      </c>
      <c r="G38" s="77">
        <f t="shared" si="5"/>
        <v>0.19964000000000001</v>
      </c>
      <c r="H38" s="77">
        <f t="shared" si="5"/>
        <v>0.86755999999999989</v>
      </c>
      <c r="I38" s="77">
        <f t="shared" si="5"/>
        <v>5.8235999999999996E-2</v>
      </c>
      <c r="J38" s="77">
        <f t="shared" si="5"/>
        <v>1.196E-3</v>
      </c>
      <c r="K38" s="77">
        <f t="shared" si="5"/>
        <v>4.5999999999999999E-3</v>
      </c>
      <c r="L38" s="77">
        <f t="shared" si="5"/>
        <v>3.0544000000000005E-2</v>
      </c>
      <c r="M38" s="77">
        <f t="shared" si="5"/>
        <v>6.6699999999999995E-2</v>
      </c>
      <c r="N38" s="77">
        <f t="shared" si="5"/>
        <v>0</v>
      </c>
      <c r="O38" s="77">
        <f t="shared" si="5"/>
        <v>0</v>
      </c>
      <c r="P38" s="77">
        <f t="shared" si="5"/>
        <v>73.323999999999998</v>
      </c>
      <c r="Q38" s="77">
        <f t="shared" si="10"/>
        <v>119.60000000000001</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92</v>
      </c>
      <c r="C39" s="77">
        <f t="shared" si="6"/>
        <v>119.60000000000001</v>
      </c>
      <c r="D39" s="77">
        <f t="shared" si="7"/>
        <v>63.231599999999993</v>
      </c>
      <c r="E39" s="77">
        <f t="shared" si="8"/>
        <v>25.27608</v>
      </c>
      <c r="F39" s="77">
        <f t="shared" si="9"/>
        <v>13.301139199999998</v>
      </c>
      <c r="G39" s="77">
        <f t="shared" si="5"/>
        <v>0.19964000000000001</v>
      </c>
      <c r="H39" s="77">
        <f t="shared" si="5"/>
        <v>0.86755999999999989</v>
      </c>
      <c r="I39" s="77">
        <f t="shared" si="5"/>
        <v>5.8235999999999996E-2</v>
      </c>
      <c r="J39" s="77">
        <f t="shared" si="5"/>
        <v>1.196E-3</v>
      </c>
      <c r="K39" s="77">
        <f t="shared" si="5"/>
        <v>4.5999999999999999E-3</v>
      </c>
      <c r="L39" s="77">
        <f t="shared" si="5"/>
        <v>3.0544000000000005E-2</v>
      </c>
      <c r="M39" s="77">
        <f t="shared" si="5"/>
        <v>6.6699999999999995E-2</v>
      </c>
      <c r="N39" s="77">
        <f t="shared" si="5"/>
        <v>0</v>
      </c>
      <c r="O39" s="77">
        <f t="shared" si="5"/>
        <v>0</v>
      </c>
      <c r="P39" s="77">
        <f t="shared" si="5"/>
        <v>73.323999999999998</v>
      </c>
      <c r="Q39" s="77">
        <f t="shared" si="10"/>
        <v>119.60000000000001</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92</v>
      </c>
      <c r="C40" s="77">
        <f t="shared" si="6"/>
        <v>119.60000000000001</v>
      </c>
      <c r="D40" s="77">
        <f t="shared" si="7"/>
        <v>63.231599999999993</v>
      </c>
      <c r="E40" s="77">
        <f t="shared" si="8"/>
        <v>25.27608</v>
      </c>
      <c r="F40" s="77">
        <f t="shared" si="9"/>
        <v>13.301139199999998</v>
      </c>
      <c r="G40" s="77">
        <f t="shared" si="5"/>
        <v>0.19964000000000001</v>
      </c>
      <c r="H40" s="77">
        <f t="shared" si="5"/>
        <v>0.86755999999999989</v>
      </c>
      <c r="I40" s="77">
        <f t="shared" si="5"/>
        <v>5.8235999999999996E-2</v>
      </c>
      <c r="J40" s="77">
        <f t="shared" si="5"/>
        <v>1.196E-3</v>
      </c>
      <c r="K40" s="77">
        <f t="shared" si="5"/>
        <v>4.5999999999999999E-3</v>
      </c>
      <c r="L40" s="77">
        <f t="shared" si="5"/>
        <v>3.0544000000000005E-2</v>
      </c>
      <c r="M40" s="77">
        <f t="shared" si="5"/>
        <v>6.6699999999999995E-2</v>
      </c>
      <c r="N40" s="77">
        <f t="shared" si="5"/>
        <v>0</v>
      </c>
      <c r="O40" s="77">
        <f t="shared" si="5"/>
        <v>0</v>
      </c>
      <c r="P40" s="77">
        <f t="shared" si="5"/>
        <v>73.323999999999998</v>
      </c>
      <c r="Q40" s="77">
        <f t="shared" si="10"/>
        <v>119.60000000000001</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92</v>
      </c>
      <c r="C41" s="77">
        <f t="shared" si="6"/>
        <v>119.60000000000001</v>
      </c>
      <c r="D41" s="77">
        <f t="shared" si="7"/>
        <v>63.231599999999993</v>
      </c>
      <c r="E41" s="77">
        <f t="shared" si="8"/>
        <v>25.27608</v>
      </c>
      <c r="F41" s="77">
        <f t="shared" si="9"/>
        <v>13.301139199999998</v>
      </c>
      <c r="G41" s="77">
        <f t="shared" si="5"/>
        <v>0.19964000000000001</v>
      </c>
      <c r="H41" s="77">
        <f t="shared" si="5"/>
        <v>0.86755999999999989</v>
      </c>
      <c r="I41" s="77">
        <f t="shared" si="5"/>
        <v>5.8235999999999996E-2</v>
      </c>
      <c r="J41" s="77">
        <f t="shared" si="5"/>
        <v>1.196E-3</v>
      </c>
      <c r="K41" s="77">
        <f t="shared" si="5"/>
        <v>4.5999999999999999E-3</v>
      </c>
      <c r="L41" s="77">
        <f t="shared" si="5"/>
        <v>3.0544000000000005E-2</v>
      </c>
      <c r="M41" s="77">
        <f t="shared" si="5"/>
        <v>6.6699999999999995E-2</v>
      </c>
      <c r="N41" s="77">
        <f t="shared" si="5"/>
        <v>0</v>
      </c>
      <c r="O41" s="77">
        <f t="shared" si="5"/>
        <v>0</v>
      </c>
      <c r="P41" s="77">
        <f t="shared" si="5"/>
        <v>73.323999999999998</v>
      </c>
      <c r="Q41" s="77">
        <f t="shared" si="10"/>
        <v>119.60000000000001</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92</v>
      </c>
      <c r="C42" s="77">
        <f t="shared" si="6"/>
        <v>119.60000000000001</v>
      </c>
      <c r="D42" s="77">
        <f t="shared" si="7"/>
        <v>63.231599999999993</v>
      </c>
      <c r="E42" s="77">
        <f t="shared" si="8"/>
        <v>25.27608</v>
      </c>
      <c r="F42" s="77">
        <f t="shared" si="9"/>
        <v>13.301139199999998</v>
      </c>
      <c r="G42" s="77">
        <f t="shared" si="5"/>
        <v>0.19964000000000001</v>
      </c>
      <c r="H42" s="77">
        <f t="shared" si="5"/>
        <v>0.86755999999999989</v>
      </c>
      <c r="I42" s="77">
        <f t="shared" si="5"/>
        <v>5.8235999999999996E-2</v>
      </c>
      <c r="J42" s="77">
        <f t="shared" si="5"/>
        <v>1.196E-3</v>
      </c>
      <c r="K42" s="77">
        <f t="shared" si="5"/>
        <v>4.5999999999999999E-3</v>
      </c>
      <c r="L42" s="77">
        <f t="shared" si="5"/>
        <v>3.0544000000000005E-2</v>
      </c>
      <c r="M42" s="77">
        <f t="shared" si="5"/>
        <v>6.6699999999999995E-2</v>
      </c>
      <c r="N42" s="77">
        <f t="shared" si="5"/>
        <v>0</v>
      </c>
      <c r="O42" s="77">
        <f t="shared" si="5"/>
        <v>0</v>
      </c>
      <c r="P42" s="77">
        <f t="shared" si="5"/>
        <v>73.323999999999998</v>
      </c>
      <c r="Q42" s="77">
        <f t="shared" si="10"/>
        <v>119.60000000000001</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92</v>
      </c>
      <c r="C43" s="77">
        <f t="shared" si="6"/>
        <v>119.60000000000001</v>
      </c>
      <c r="D43" s="77">
        <f t="shared" si="7"/>
        <v>63.231599999999993</v>
      </c>
      <c r="E43" s="77">
        <f t="shared" si="8"/>
        <v>25.27608</v>
      </c>
      <c r="F43" s="77">
        <f t="shared" si="9"/>
        <v>13.301139199999998</v>
      </c>
      <c r="G43" s="77">
        <f t="shared" si="5"/>
        <v>0.19964000000000001</v>
      </c>
      <c r="H43" s="77">
        <f t="shared" si="5"/>
        <v>0.86755999999999989</v>
      </c>
      <c r="I43" s="77">
        <f t="shared" si="5"/>
        <v>5.8235999999999996E-2</v>
      </c>
      <c r="J43" s="77">
        <f t="shared" si="5"/>
        <v>1.196E-3</v>
      </c>
      <c r="K43" s="77">
        <f t="shared" si="5"/>
        <v>4.5999999999999999E-3</v>
      </c>
      <c r="L43" s="77">
        <f t="shared" si="5"/>
        <v>3.0544000000000005E-2</v>
      </c>
      <c r="M43" s="77">
        <f t="shared" si="5"/>
        <v>6.6699999999999995E-2</v>
      </c>
      <c r="N43" s="77">
        <f t="shared" si="5"/>
        <v>0</v>
      </c>
      <c r="O43" s="77">
        <f t="shared" si="5"/>
        <v>0</v>
      </c>
      <c r="P43" s="77">
        <f t="shared" si="5"/>
        <v>73.323999999999998</v>
      </c>
      <c r="Q43" s="77">
        <f t="shared" si="10"/>
        <v>119.60000000000001</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92</v>
      </c>
      <c r="C44" s="77">
        <f t="shared" si="6"/>
        <v>119.60000000000001</v>
      </c>
      <c r="D44" s="77">
        <f t="shared" si="7"/>
        <v>63.231599999999993</v>
      </c>
      <c r="E44" s="77">
        <f t="shared" si="8"/>
        <v>25.27608</v>
      </c>
      <c r="F44" s="77">
        <f t="shared" si="9"/>
        <v>13.301139199999998</v>
      </c>
      <c r="G44" s="77">
        <f t="shared" si="5"/>
        <v>0.19964000000000001</v>
      </c>
      <c r="H44" s="77">
        <f t="shared" si="5"/>
        <v>0.86755999999999989</v>
      </c>
      <c r="I44" s="77">
        <f t="shared" si="5"/>
        <v>5.8235999999999996E-2</v>
      </c>
      <c r="J44" s="77">
        <f t="shared" si="5"/>
        <v>1.196E-3</v>
      </c>
      <c r="K44" s="77">
        <f t="shared" si="5"/>
        <v>4.5999999999999999E-3</v>
      </c>
      <c r="L44" s="77">
        <f t="shared" si="5"/>
        <v>3.0544000000000005E-2</v>
      </c>
      <c r="M44" s="77">
        <f t="shared" si="5"/>
        <v>6.6699999999999995E-2</v>
      </c>
      <c r="N44" s="77">
        <f t="shared" si="5"/>
        <v>0</v>
      </c>
      <c r="O44" s="77">
        <f t="shared" si="5"/>
        <v>0</v>
      </c>
      <c r="P44" s="77">
        <f t="shared" si="5"/>
        <v>73.323999999999998</v>
      </c>
      <c r="Q44" s="77">
        <f t="shared" si="10"/>
        <v>119.60000000000001</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92</v>
      </c>
      <c r="C45" s="77">
        <f t="shared" si="6"/>
        <v>119.60000000000001</v>
      </c>
      <c r="D45" s="77">
        <f t="shared" si="7"/>
        <v>63.231599999999993</v>
      </c>
      <c r="E45" s="77">
        <f t="shared" si="8"/>
        <v>25.27608</v>
      </c>
      <c r="F45" s="77">
        <f t="shared" si="9"/>
        <v>13.301139199999998</v>
      </c>
      <c r="G45" s="77">
        <f t="shared" si="5"/>
        <v>0.19964000000000001</v>
      </c>
      <c r="H45" s="77">
        <f t="shared" si="5"/>
        <v>0.86755999999999989</v>
      </c>
      <c r="I45" s="77">
        <f t="shared" si="5"/>
        <v>5.8235999999999996E-2</v>
      </c>
      <c r="J45" s="77">
        <f t="shared" si="5"/>
        <v>1.196E-3</v>
      </c>
      <c r="K45" s="77">
        <f t="shared" si="5"/>
        <v>4.5999999999999999E-3</v>
      </c>
      <c r="L45" s="77">
        <f t="shared" si="5"/>
        <v>3.0544000000000005E-2</v>
      </c>
      <c r="M45" s="77">
        <f t="shared" si="5"/>
        <v>6.6699999999999995E-2</v>
      </c>
      <c r="N45" s="77">
        <f t="shared" si="5"/>
        <v>0</v>
      </c>
      <c r="O45" s="77">
        <f t="shared" si="5"/>
        <v>0</v>
      </c>
      <c r="P45" s="77">
        <f t="shared" si="5"/>
        <v>73.323999999999998</v>
      </c>
      <c r="Q45" s="77">
        <f t="shared" si="10"/>
        <v>119.60000000000001</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92</v>
      </c>
      <c r="C46" s="77">
        <f t="shared" si="6"/>
        <v>119.60000000000001</v>
      </c>
      <c r="D46" s="77">
        <f t="shared" si="7"/>
        <v>63.231599999999993</v>
      </c>
      <c r="E46" s="77">
        <f t="shared" si="8"/>
        <v>25.27608</v>
      </c>
      <c r="F46" s="77">
        <f t="shared" si="9"/>
        <v>13.301139199999998</v>
      </c>
      <c r="G46" s="77">
        <f t="shared" si="5"/>
        <v>0.19964000000000001</v>
      </c>
      <c r="H46" s="77">
        <f t="shared" si="5"/>
        <v>0.86755999999999989</v>
      </c>
      <c r="I46" s="77">
        <f t="shared" si="5"/>
        <v>5.8235999999999996E-2</v>
      </c>
      <c r="J46" s="77">
        <f t="shared" si="5"/>
        <v>1.196E-3</v>
      </c>
      <c r="K46" s="77">
        <f t="shared" si="5"/>
        <v>4.5999999999999999E-3</v>
      </c>
      <c r="L46" s="77">
        <f t="shared" si="5"/>
        <v>3.0544000000000005E-2</v>
      </c>
      <c r="M46" s="77">
        <f t="shared" si="5"/>
        <v>6.6699999999999995E-2</v>
      </c>
      <c r="N46" s="77">
        <f t="shared" si="5"/>
        <v>0</v>
      </c>
      <c r="O46" s="77">
        <f t="shared" si="5"/>
        <v>0</v>
      </c>
      <c r="P46" s="77">
        <f t="shared" si="5"/>
        <v>73.323999999999998</v>
      </c>
      <c r="Q46" s="77">
        <f t="shared" si="10"/>
        <v>119.60000000000001</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92</v>
      </c>
      <c r="C47" s="77">
        <f t="shared" si="6"/>
        <v>119.60000000000001</v>
      </c>
      <c r="D47" s="77">
        <f t="shared" si="7"/>
        <v>63.231599999999993</v>
      </c>
      <c r="E47" s="77">
        <f t="shared" si="8"/>
        <v>25.27608</v>
      </c>
      <c r="F47" s="77">
        <f t="shared" si="9"/>
        <v>13.301139199999998</v>
      </c>
      <c r="G47" s="77">
        <f t="shared" ref="G47:P50" si="12">IF(G$27="%w/w SAR",((G$28*10)*$B47),IF(G$27="%w/w DM",(((G$28*10)*($B$28/100))*$B47),IF(G$27="kg/t SAR",(G$28*$B47),IF(G$27="kg/t DM",((G$28*($B$28/100))*$B47),IF(G$27="mg/kg SAR",((G$28*0.001)*$B47),IF(G$27="mg/kg DM",(((G$28*0.001)*($B$28/100))*$B47),0))))))</f>
        <v>0.19964000000000001</v>
      </c>
      <c r="H47" s="77">
        <f t="shared" si="12"/>
        <v>0.86755999999999989</v>
      </c>
      <c r="I47" s="77">
        <f t="shared" si="12"/>
        <v>5.8235999999999996E-2</v>
      </c>
      <c r="J47" s="77">
        <f t="shared" si="12"/>
        <v>1.196E-3</v>
      </c>
      <c r="K47" s="77">
        <f t="shared" si="12"/>
        <v>4.5999999999999999E-3</v>
      </c>
      <c r="L47" s="77">
        <f t="shared" si="12"/>
        <v>3.0544000000000005E-2</v>
      </c>
      <c r="M47" s="77">
        <f t="shared" si="12"/>
        <v>6.6699999999999995E-2</v>
      </c>
      <c r="N47" s="77">
        <f t="shared" si="12"/>
        <v>0</v>
      </c>
      <c r="O47" s="77">
        <f t="shared" si="12"/>
        <v>0</v>
      </c>
      <c r="P47" s="77">
        <f t="shared" si="12"/>
        <v>73.323999999999998</v>
      </c>
      <c r="Q47" s="77">
        <f t="shared" si="10"/>
        <v>119.60000000000001</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92</v>
      </c>
      <c r="C48" s="77">
        <f t="shared" si="6"/>
        <v>119.60000000000001</v>
      </c>
      <c r="D48" s="77">
        <f t="shared" si="7"/>
        <v>63.231599999999993</v>
      </c>
      <c r="E48" s="77">
        <f t="shared" si="8"/>
        <v>25.27608</v>
      </c>
      <c r="F48" s="77">
        <f t="shared" si="9"/>
        <v>13.301139199999998</v>
      </c>
      <c r="G48" s="77">
        <f t="shared" si="12"/>
        <v>0.19964000000000001</v>
      </c>
      <c r="H48" s="77">
        <f t="shared" si="12"/>
        <v>0.86755999999999989</v>
      </c>
      <c r="I48" s="77">
        <f t="shared" si="12"/>
        <v>5.8235999999999996E-2</v>
      </c>
      <c r="J48" s="77">
        <f t="shared" si="12"/>
        <v>1.196E-3</v>
      </c>
      <c r="K48" s="77">
        <f t="shared" si="12"/>
        <v>4.5999999999999999E-3</v>
      </c>
      <c r="L48" s="77">
        <f t="shared" si="12"/>
        <v>3.0544000000000005E-2</v>
      </c>
      <c r="M48" s="77">
        <f t="shared" si="12"/>
        <v>6.6699999999999995E-2</v>
      </c>
      <c r="N48" s="77">
        <f t="shared" si="12"/>
        <v>0</v>
      </c>
      <c r="O48" s="77">
        <f t="shared" si="12"/>
        <v>0</v>
      </c>
      <c r="P48" s="77">
        <f t="shared" si="12"/>
        <v>73.323999999999998</v>
      </c>
      <c r="Q48" s="77">
        <f t="shared" si="10"/>
        <v>119.60000000000001</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"&amp;(VLOOKUP(C14,Table245810[],6,FALSE))</f>
        <v>Sandy Loam I Grass</v>
      </c>
      <c r="C58" s="13" t="str">
        <f>D16&amp;" I "&amp;(VLOOKUP(D14,Table245810[],6,FALSE))</f>
        <v>Sandy Loam I Grass</v>
      </c>
      <c r="D58" s="13" t="str">
        <f>E16&amp;" I "&amp;(VLOOKUP(E14,Table245810[],6,FALSE))</f>
        <v>Sandy Loam I Grass</v>
      </c>
      <c r="E58" s="13" t="str">
        <f>F16&amp;" I "&amp;(VLOOKUP(F14,Table245810[],6,FALSE))</f>
        <v>Sandy Loam I Grass</v>
      </c>
      <c r="F58" s="13" t="str">
        <f>G16&amp;" I "&amp;(VLOOKUP(G14,Table245810[],6,FALSE))</f>
        <v>Sandy Loam I Grass</v>
      </c>
      <c r="G58" s="13" t="str">
        <f>H16&amp;" I "&amp;(VLOOKUP(H14,Table245810[],6,FALSE))</f>
        <v>Sandy Loam I Grass</v>
      </c>
      <c r="H58" s="13" t="str">
        <f>I16&amp;" I "&amp;(VLOOKUP(I14,Table245810[],6,FALSE))</f>
        <v>Sandy Loam I Grass</v>
      </c>
      <c r="I58" s="13" t="str">
        <f>J16&amp;" I "&amp;(VLOOKUP(J14,Table245810[],6,FALSE))</f>
        <v>Sandy Loam I Grass</v>
      </c>
      <c r="J58" s="13" t="str">
        <f>K16&amp;" I "&amp;(VLOOKUP(K14,Table245810[],6,FALSE))</f>
        <v>Sandy Loam I Grass</v>
      </c>
      <c r="K58" s="13" t="str">
        <f>L16&amp;" I "&amp;(VLOOKUP(L14,Table245810[],6,FALSE))</f>
        <v>Sandy Loam I Grass</v>
      </c>
      <c r="L58" s="13" t="str">
        <f>M16&amp;" I "&amp;(VLOOKUP(M14,Table245810[],6,FALSE))</f>
        <v>Sandy Loam I Grass</v>
      </c>
      <c r="M58" s="13" t="str">
        <f>N16&amp;" I "&amp;(VLOOKUP(N14,Table245810[],6,FALSE))</f>
        <v>Sandy Loam I Grass</v>
      </c>
      <c r="N58" s="13" t="str">
        <f>O16&amp;" I "&amp;(VLOOKUP(O14,Table245810[],6,FALSE))</f>
        <v>Sandy Loam I Grass</v>
      </c>
      <c r="O58" s="13" t="str">
        <f>P16&amp;" I "&amp;(VLOOKUP(P14,Table245810[],6,FALSE))</f>
        <v>Sandy Loam I Grass</v>
      </c>
      <c r="P58" s="13" t="str">
        <f>Q16&amp;" I "&amp;(VLOOKUP(Q14,Table245810[],6,FALSE))</f>
        <v>Sandy Loam I Grass</v>
      </c>
      <c r="Q58" s="13" t="str">
        <f>R16&amp;" I "&amp;(VLOOKUP(R14,Table245810[],6,FALSE))</f>
        <v>Sandy Loam I Grass</v>
      </c>
      <c r="R58" s="13" t="str">
        <f>S16&amp;" I "&amp;(VLOOKUP(S14,Table245810[],6,FALSE))</f>
        <v>Sandy Loam I Grass</v>
      </c>
      <c r="S58" s="13" t="str">
        <f>T16&amp;" I "&amp;(VLOOKUP(T14,Table245810[],6,FALSE))</f>
        <v>Sandy Loam I Grass</v>
      </c>
      <c r="T58" s="13" t="str">
        <f>U16&amp;" I "&amp;(VLOOKUP(U14,Table245810[],6,FALSE))</f>
        <v>Sandy Loam I Grass</v>
      </c>
      <c r="U58" s="13" t="str">
        <f>V16&amp;" I "&amp;(VLOOKUP(V14,Table245810[],6,FALSE))</f>
        <v>Sandy Loam I Grass</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f>VLOOKUP(J$14,Table245810[],5,FALSE)</f>
        <v>6.2</v>
      </c>
      <c r="J59" s="76">
        <f>VLOOKUP(K$14,Table245810[],5,FALSE)</f>
        <v>6.2</v>
      </c>
      <c r="K59" s="76">
        <f>VLOOKUP(L$14,Table245810[],5,FALSE)</f>
        <v>6.2</v>
      </c>
      <c r="L59" s="76">
        <f>VLOOKUP(M$14,Table245810[],5,FALSE)</f>
        <v>6.2</v>
      </c>
      <c r="M59" s="76">
        <f>VLOOKUP(N$14,Table245810[],5,FALSE)</f>
        <v>6.2</v>
      </c>
      <c r="N59" s="76">
        <f>VLOOKUP(O$14,Table245810[],5,FALSE)</f>
        <v>6.2</v>
      </c>
      <c r="O59" s="76">
        <f>VLOOKUP(P$14,Table245810[],5,FALSE)</f>
        <v>6.2</v>
      </c>
      <c r="P59" s="76">
        <f>VLOOKUP(Q$14,Table245810[],5,FALSE)</f>
        <v>6.2</v>
      </c>
      <c r="Q59" s="76">
        <f>VLOOKUP(R$14,Table245810[],5,FALSE)</f>
        <v>6.2</v>
      </c>
      <c r="R59" s="76">
        <f>VLOOKUP(S$14,Table245810[],5,FALSE)</f>
        <v>6.2</v>
      </c>
      <c r="S59" s="76">
        <f>VLOOKUP(T$14,Table245810[],5,FALSE)</f>
        <v>6.2</v>
      </c>
      <c r="T59" s="76">
        <f>VLOOKUP(U$14,Table245810[],5,FALSE)</f>
        <v>6.2</v>
      </c>
      <c r="U59" s="76">
        <f>VLOOKUP(V$14,Table245810[],5,FALSE)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92</v>
      </c>
      <c r="C62" s="77">
        <f>B32</f>
        <v>92</v>
      </c>
      <c r="D62" s="77">
        <f>B33</f>
        <v>92</v>
      </c>
      <c r="E62" s="77">
        <f>B34</f>
        <v>92</v>
      </c>
      <c r="F62" s="77">
        <f>B35</f>
        <v>92</v>
      </c>
      <c r="G62" s="77">
        <f>B36</f>
        <v>92</v>
      </c>
      <c r="H62" s="77">
        <f>B37</f>
        <v>92</v>
      </c>
      <c r="I62" s="77">
        <f>B38</f>
        <v>92</v>
      </c>
      <c r="J62" s="77">
        <f>B39</f>
        <v>92</v>
      </c>
      <c r="K62" s="77">
        <f>B40</f>
        <v>92</v>
      </c>
      <c r="L62" s="77">
        <f>B41</f>
        <v>92</v>
      </c>
      <c r="M62" s="77">
        <f>B42</f>
        <v>92</v>
      </c>
      <c r="N62" s="77">
        <f>B43</f>
        <v>92</v>
      </c>
      <c r="O62" s="77">
        <f>B44</f>
        <v>92</v>
      </c>
      <c r="P62" s="77">
        <f>B45</f>
        <v>92</v>
      </c>
      <c r="Q62" s="77">
        <f>B46</f>
        <v>92</v>
      </c>
      <c r="R62" s="77">
        <f>B47</f>
        <v>92</v>
      </c>
      <c r="S62" s="77">
        <f>B48</f>
        <v>92</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3XaHORpvb0EY7PRrhJxVizwLE/iUZms/O8cPPPiyB58op7QyRvqOXNzOruKcfszSBAm2hl7G2p2YdleQn3WMjw==" saltValue="C0fXVgIDClAn5+hkdNZV1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abSelected="1" zoomScale="90" zoomScaleNormal="90" workbookViewId="0">
      <selection activeCell="C27" sqref="C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v>7.24</v>
      </c>
      <c r="J1" s="127" t="s">
        <v>153</v>
      </c>
      <c r="K1" s="127"/>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t="s">
        <v>176</v>
      </c>
      <c r="G2" s="125" t="s">
        <v>110</v>
      </c>
      <c r="H2" s="126"/>
      <c r="I2" s="118">
        <v>2500</v>
      </c>
      <c r="J2" s="127" t="s">
        <v>158</v>
      </c>
      <c r="K2" s="127"/>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t="s">
        <v>78</v>
      </c>
      <c r="G3" s="127" t="s">
        <v>159</v>
      </c>
      <c r="H3" s="127"/>
      <c r="I3" s="118">
        <v>200</v>
      </c>
      <c r="J3" s="123" t="s">
        <v>154</v>
      </c>
      <c r="K3" s="124"/>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t="s">
        <v>175</v>
      </c>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62.977298999999995</v>
      </c>
      <c r="D18" s="16">
        <f>$D32</f>
        <v>62.977298999999995</v>
      </c>
      <c r="E18" s="16">
        <f>$D33</f>
        <v>62.977298999999995</v>
      </c>
      <c r="F18" s="16">
        <f>$D34</f>
        <v>62.977298999999995</v>
      </c>
      <c r="G18" s="16">
        <f>$D35</f>
        <v>62.977298999999995</v>
      </c>
      <c r="H18" s="16">
        <f>$D36</f>
        <v>62.977298999999995</v>
      </c>
      <c r="I18" s="16">
        <f>$D37</f>
        <v>62.977298999999995</v>
      </c>
      <c r="J18" s="16">
        <f>$D38</f>
        <v>62.977298999999995</v>
      </c>
      <c r="K18" s="16">
        <f>$D39</f>
        <v>62.977298999999995</v>
      </c>
      <c r="L18" s="16">
        <f>$D40</f>
        <v>62.977298999999995</v>
      </c>
      <c r="M18" s="16">
        <f>$D41</f>
        <v>62.977298999999995</v>
      </c>
      <c r="N18" s="16">
        <f>$D42</f>
        <v>62.977298999999995</v>
      </c>
      <c r="O18" s="16">
        <f>$D43</f>
        <v>62.977298999999995</v>
      </c>
      <c r="P18" s="16">
        <f>$D44</f>
        <v>62.977298999999995</v>
      </c>
      <c r="Q18" s="16">
        <f>$D45</f>
        <v>62.977298999999995</v>
      </c>
      <c r="R18" s="16">
        <f>$D46</f>
        <v>62.977298999999995</v>
      </c>
      <c r="S18" s="16">
        <f>$D47</f>
        <v>62.977298999999995</v>
      </c>
      <c r="T18" s="16">
        <f>$D48</f>
        <v>62.977298999999995</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-1.6227009999999993</v>
      </c>
      <c r="D19" s="16">
        <f t="shared" ref="D19:V19" si="1">D18-D17</f>
        <v>-1.6227009999999993</v>
      </c>
      <c r="E19" s="16">
        <f t="shared" si="1"/>
        <v>-1.6227009999999993</v>
      </c>
      <c r="F19" s="16">
        <f t="shared" si="1"/>
        <v>-1.6227009999999993</v>
      </c>
      <c r="G19" s="16">
        <f t="shared" si="1"/>
        <v>-1.6227009999999993</v>
      </c>
      <c r="H19" s="16">
        <f t="shared" si="1"/>
        <v>-1.6227009999999993</v>
      </c>
      <c r="I19" s="16">
        <f t="shared" si="1"/>
        <v>-1.6227009999999993</v>
      </c>
      <c r="J19" s="16">
        <f t="shared" si="1"/>
        <v>-1.6227009999999993</v>
      </c>
      <c r="K19" s="16">
        <f t="shared" si="1"/>
        <v>-1.6227009999999993</v>
      </c>
      <c r="L19" s="16">
        <f t="shared" si="1"/>
        <v>-1.6227009999999993</v>
      </c>
      <c r="M19" s="16">
        <f t="shared" si="1"/>
        <v>-1.6227009999999993</v>
      </c>
      <c r="N19" s="16">
        <f t="shared" si="1"/>
        <v>-1.6227009999999993</v>
      </c>
      <c r="O19" s="16">
        <f t="shared" si="1"/>
        <v>-1.6227009999999993</v>
      </c>
      <c r="P19" s="16">
        <f t="shared" si="1"/>
        <v>-1.6227009999999993</v>
      </c>
      <c r="Q19" s="16">
        <f t="shared" si="1"/>
        <v>-1.6227009999999993</v>
      </c>
      <c r="R19" s="16">
        <f t="shared" si="1"/>
        <v>-1.6227009999999993</v>
      </c>
      <c r="S19" s="16">
        <f t="shared" si="1"/>
        <v>-1.6227009999999993</v>
      </c>
      <c r="T19" s="16">
        <f t="shared" si="1"/>
        <v>-1.6227009999999993</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DECREASE</v>
      </c>
      <c r="K20" s="26" t="str">
        <f>IF($B39="","",IF(K$19&gt;=0,"INCREASE","DECREASE"))</f>
        <v>DECREASE</v>
      </c>
      <c r="L20" s="26" t="str">
        <f>IF($B40="","",IF(L$19&gt;=0,"INCREASE","DECREASE"))</f>
        <v>DECREASE</v>
      </c>
      <c r="M20" s="26" t="str">
        <f>IF($B41="","",IF(M$19&gt;=0,"INCREASE","DECREASE"))</f>
        <v>DECREASE</v>
      </c>
      <c r="N20" s="26" t="str">
        <f>IF($B42="","",IF(N$19&gt;=0,"INCREASE","DECREASE"))</f>
        <v>DECREASE</v>
      </c>
      <c r="O20" s="26" t="str">
        <f>IF($B43="","",IF(O$19&gt;=0,"INCREASE","DECREASE"))</f>
        <v>DECREASE</v>
      </c>
      <c r="P20" s="26" t="str">
        <f>IF($B44="","",IF(P$19&gt;=0,"INCREASE","DECREASE"))</f>
        <v>DECREASE</v>
      </c>
      <c r="Q20" s="26" t="str">
        <f>IF($B45="","",IF(Q$19&gt;=0,"INCREASE","DECREASE"))</f>
        <v>DECREASE</v>
      </c>
      <c r="R20" s="26" t="str">
        <f>IF($B46="","",IF(R$19&gt;=0,"INCREASE","DECREASE"))</f>
        <v>DECREASE</v>
      </c>
      <c r="S20" s="26" t="str">
        <f>IF($B47="","",IF(S$19&gt;=0,"INCREASE","DECREASE"))</f>
        <v>DECREASE</v>
      </c>
      <c r="T20" s="26" t="str">
        <f>IF($B48="","",IF(T$19&gt;=0,"INCREASE","DECREASE"))</f>
        <v>DECREASE</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5.9011260000000014</v>
      </c>
      <c r="D22" s="16">
        <f>$E32</f>
        <v>5.9011260000000014</v>
      </c>
      <c r="E22" s="16">
        <f>$E33</f>
        <v>5.9011260000000014</v>
      </c>
      <c r="F22" s="16">
        <f>$E34</f>
        <v>5.9011260000000014</v>
      </c>
      <c r="G22" s="16">
        <f>$E35</f>
        <v>5.9011260000000014</v>
      </c>
      <c r="H22" s="16">
        <f>$E36</f>
        <v>5.9011260000000014</v>
      </c>
      <c r="I22" s="16">
        <f>$E37</f>
        <v>5.9011260000000014</v>
      </c>
      <c r="J22" s="16">
        <f>$E38</f>
        <v>5.9011260000000014</v>
      </c>
      <c r="K22" s="16">
        <f>$E39</f>
        <v>5.9011260000000014</v>
      </c>
      <c r="L22" s="16">
        <f>$E40</f>
        <v>5.9011260000000014</v>
      </c>
      <c r="M22" s="16">
        <f>$E41</f>
        <v>5.9011260000000014</v>
      </c>
      <c r="N22" s="16">
        <f>$E42</f>
        <v>5.9011260000000014</v>
      </c>
      <c r="O22" s="16">
        <f>$E43</f>
        <v>5.9011260000000014</v>
      </c>
      <c r="P22" s="16">
        <f>$E44</f>
        <v>5.9011260000000014</v>
      </c>
      <c r="Q22" s="16">
        <f>$E45</f>
        <v>5.9011260000000014</v>
      </c>
      <c r="R22" s="16">
        <f>$E46</f>
        <v>5.9011260000000014</v>
      </c>
      <c r="S22" s="16">
        <f>$E47</f>
        <v>5.9011260000000014</v>
      </c>
      <c r="T22" s="16">
        <f>$E48</f>
        <v>5.9011260000000014</v>
      </c>
      <c r="U22" s="16">
        <f>$E49</f>
        <v>0</v>
      </c>
      <c r="V22" s="16">
        <f>$E50</f>
        <v>0</v>
      </c>
      <c r="AI22" s="63" t="s">
        <v>102</v>
      </c>
      <c r="AJ22" s="64">
        <v>1.2</v>
      </c>
      <c r="AK22" s="65">
        <v>5</v>
      </c>
      <c r="AL22" s="29">
        <v>20</v>
      </c>
      <c r="AM22" s="11">
        <v>6.7</v>
      </c>
      <c r="AN22" s="11" t="s">
        <v>135</v>
      </c>
    </row>
    <row r="23" spans="1:40" ht="13" x14ac:dyDescent="0.25">
      <c r="A23" s="131" t="s">
        <v>92</v>
      </c>
      <c r="B23" s="132"/>
      <c r="C23" s="16">
        <f>C22-C21</f>
        <v>-222.098874</v>
      </c>
      <c r="D23" s="16">
        <f t="shared" ref="D23:V23" si="3">D22-D21</f>
        <v>-222.098874</v>
      </c>
      <c r="E23" s="16">
        <f t="shared" si="3"/>
        <v>-222.098874</v>
      </c>
      <c r="F23" s="16">
        <f t="shared" si="3"/>
        <v>-222.098874</v>
      </c>
      <c r="G23" s="16">
        <f t="shared" si="3"/>
        <v>-222.098874</v>
      </c>
      <c r="H23" s="16">
        <f t="shared" si="3"/>
        <v>-222.098874</v>
      </c>
      <c r="I23" s="16">
        <f t="shared" si="3"/>
        <v>-222.098874</v>
      </c>
      <c r="J23" s="16">
        <f t="shared" si="3"/>
        <v>-222.098874</v>
      </c>
      <c r="K23" s="16">
        <f t="shared" si="3"/>
        <v>-222.098874</v>
      </c>
      <c r="L23" s="16">
        <f t="shared" si="3"/>
        <v>-222.098874</v>
      </c>
      <c r="M23" s="16">
        <f t="shared" si="3"/>
        <v>-222.098874</v>
      </c>
      <c r="N23" s="16">
        <f t="shared" si="3"/>
        <v>-222.098874</v>
      </c>
      <c r="O23" s="16">
        <f t="shared" si="3"/>
        <v>-222.098874</v>
      </c>
      <c r="P23" s="16">
        <f t="shared" si="3"/>
        <v>-222.098874</v>
      </c>
      <c r="Q23" s="16">
        <f t="shared" si="3"/>
        <v>-222.098874</v>
      </c>
      <c r="R23" s="16">
        <f t="shared" si="3"/>
        <v>-222.098874</v>
      </c>
      <c r="S23" s="16">
        <f t="shared" si="3"/>
        <v>-222.098874</v>
      </c>
      <c r="T23" s="16">
        <f t="shared" si="3"/>
        <v>-222.098874</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str">
        <f t="shared" si="4"/>
        <v>DECREASE</v>
      </c>
      <c r="K24" s="26" t="str">
        <f t="shared" si="4"/>
        <v>DECREASE</v>
      </c>
      <c r="L24" s="26" t="str">
        <f t="shared" si="4"/>
        <v>DECREASE</v>
      </c>
      <c r="M24" s="26" t="str">
        <f t="shared" si="4"/>
        <v>DECREASE</v>
      </c>
      <c r="N24" s="26" t="str">
        <f t="shared" si="4"/>
        <v>DECREASE</v>
      </c>
      <c r="O24" s="26" t="str">
        <f t="shared" si="4"/>
        <v>DECREASE</v>
      </c>
      <c r="P24" s="26" t="str">
        <f t="shared" si="4"/>
        <v>DECREASE</v>
      </c>
      <c r="Q24" s="26" t="str">
        <f t="shared" si="4"/>
        <v>DECREASE</v>
      </c>
      <c r="R24" s="26" t="str">
        <f t="shared" si="4"/>
        <v>DECREASE</v>
      </c>
      <c r="S24" s="26" t="str">
        <f t="shared" si="4"/>
        <v>DECREASE</v>
      </c>
      <c r="T24" s="26" t="str">
        <f t="shared" si="4"/>
        <v>DECREASE</v>
      </c>
      <c r="U24" s="26" t="str">
        <f t="shared" si="4"/>
        <v>DECREASE</v>
      </c>
      <c r="V24" s="26" t="str">
        <f t="shared" si="4"/>
        <v>DECREASE</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t="s">
        <v>54</v>
      </c>
      <c r="P27" s="107" t="s">
        <v>54</v>
      </c>
      <c r="Q27" s="107" t="s">
        <v>54</v>
      </c>
      <c r="R27" s="107" t="s">
        <v>54</v>
      </c>
      <c r="S27" s="107" t="s">
        <v>54</v>
      </c>
      <c r="T27" s="107" t="s">
        <v>54</v>
      </c>
      <c r="U27" s="107" t="s">
        <v>54</v>
      </c>
    </row>
    <row r="28" spans="1:40" s="57" customFormat="1" x14ac:dyDescent="0.35">
      <c r="A28" s="108"/>
      <c r="B28" s="24">
        <v>1.8</v>
      </c>
      <c r="C28" s="15">
        <v>0.06</v>
      </c>
      <c r="D28" s="15">
        <v>357</v>
      </c>
      <c r="E28" s="15">
        <v>63.6</v>
      </c>
      <c r="F28" s="15">
        <v>25.7</v>
      </c>
      <c r="G28" s="15">
        <v>0.48</v>
      </c>
      <c r="H28" s="15">
        <v>6.47</v>
      </c>
      <c r="I28" s="15">
        <v>0.5</v>
      </c>
      <c r="J28" s="15">
        <v>0.01</v>
      </c>
      <c r="K28" s="23">
        <v>0.05</v>
      </c>
      <c r="L28" s="15">
        <v>0.29299999999999998</v>
      </c>
      <c r="M28" s="15">
        <v>1.1399999999999999</v>
      </c>
      <c r="N28" s="15"/>
      <c r="O28" s="15"/>
      <c r="P28" s="15">
        <v>3039</v>
      </c>
      <c r="Q28" s="15">
        <v>1287</v>
      </c>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77</v>
      </c>
      <c r="C31" s="77">
        <f>IF(C$27="%w/w SAR",((C$28*10)*$B31),IF(C$27="%w/w DM",(((C$28*10)*($B$28/100))*$B31),IF(C$27="kg/t SAR",(C$28*$B31),IF(C$27="kg/t DM",((C$28*($B$28/100))*$B31),IF(C$27="mg/kg SAR",((C$28*0.001)*$B31),IF(C$27="mg/kg DM",(((C$28*0.001)*($B$28/100))*$B31),0))))))</f>
        <v>46.199999999999996</v>
      </c>
      <c r="D31" s="77">
        <f>(IF(D$27="%w/w SAR",((D$28*10)*$B31),IF(D$27="%w/w DM",(((D$28*10)*($B$28/100))*$B31),IF(D$27="kg/t SAR",(D$28*$B31),IF(D$27="kg/t DM",((D$28*($B$28/100))*$B31),IF(D$27="mg/kg SAR",((D$28*0.001)*$B31),IF(D$27="mg/kg DM",(((D$28*0.001)*($B$28/100))*$B31),"0")))))))*2.291</f>
        <v>62.977298999999995</v>
      </c>
      <c r="E31" s="77">
        <f>(IF(E$27="%w/w SAR",((E$28*10)*$B31),IF(E$27="%w/w DM",(((E$28*10)*($B$28/100))*$B31),IF(E$27="kg/t SAR",(E$28*$B31),IF(E$27="kg/t DM",((E$28*($B$28/100))*$B31),IF(E$27="mg/kg SAR",((E$28*0.001)*$B31),IF(E$27="mg/kg DM",(((E$28*0.001)*($B$28/100))*$B31),"0")))))))*1.205</f>
        <v>5.9011260000000014</v>
      </c>
      <c r="F31" s="77">
        <f>(IF(F$27="%w/w SAR",((F$28*10)*$B31),IF(F$27="%w/w DM",(((F$28*10)*($B$28/100))*$B31),IF(F$27="kg/t SAR",(F$28*$B31),IF(F$27="kg/t DM",((F$28*($B$28/100))*$B31),IF(F$27="mg/kg SAR",((F$28*0.001)*$B31),IF(F$27="mg/kg DM",(((F$28*0.001)*($B$28/100))*$B31),"0")))))))*1.658</f>
        <v>3.2810161999999998</v>
      </c>
      <c r="G31" s="77">
        <f t="shared" ref="G31:P46" si="5">IF(G$27="%w/w SAR",((G$28*10)*$B31),IF(G$27="%w/w DM",(((G$28*10)*($B$28/100))*$B31),IF(G$27="kg/t SAR",(G$28*$B31),IF(G$27="kg/t DM",((G$28*($B$28/100))*$B31),IF(G$27="mg/kg SAR",((G$28*0.001)*$B31),IF(G$27="mg/kg DM",(((G$28*0.001)*($B$28/100))*$B31),0))))))</f>
        <v>3.696E-2</v>
      </c>
      <c r="H31" s="77">
        <f t="shared" si="5"/>
        <v>0.49819000000000002</v>
      </c>
      <c r="I31" s="77">
        <f t="shared" si="5"/>
        <v>3.85E-2</v>
      </c>
      <c r="J31" s="77">
        <f t="shared" si="5"/>
        <v>7.7000000000000007E-4</v>
      </c>
      <c r="K31" s="77">
        <f t="shared" si="5"/>
        <v>3.8500000000000001E-3</v>
      </c>
      <c r="L31" s="77">
        <f t="shared" si="5"/>
        <v>2.2560999999999998E-2</v>
      </c>
      <c r="M31" s="77">
        <f t="shared" si="5"/>
        <v>8.7779999999999997E-2</v>
      </c>
      <c r="N31" s="77">
        <f t="shared" si="5"/>
        <v>0</v>
      </c>
      <c r="O31" s="77">
        <f t="shared" si="5"/>
        <v>0</v>
      </c>
      <c r="P31" s="77">
        <f t="shared" si="5"/>
        <v>234.00300000000001</v>
      </c>
      <c r="Q31" s="77">
        <f>(IF(Q$27="%w/w SAR",((Q$28*10)*$B31),IF(Q$27="%w/w DM",(((Q$28*10)*($B$28/100))*$B31),IF(Q$27="kg/t SAR",(Q$28*$B31),IF(Q$27="kg/t DM",((Q$28*($B$28/100))*$B31),IF(Q$27="mg/kg SAR",((Q$28*0.001)*$B31),IF(Q$27="mg/kg DM",(((Q$28*0.001)*($B$28/100))*$B31),0)))))))*2.5</f>
        <v>247.74749999999997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77</v>
      </c>
      <c r="C32" s="77">
        <f t="shared" ref="C32:C50" si="6">IF(C$27="%w/w SAR",((C$28*10)*$B32),IF(C$27="%w/w DM",(((C$28*10)*($B$28/100))*$B32),IF(C$27="kg/t SAR",(C$28*$B32),IF(C$27="kg/t DM",((C$28*($B$28/100))*$B32),IF(C$27="mg/kg SAR",((C$28*0.001)*$B32),IF(C$27="mg/kg DM",(((C$28*0.001)*($B$28/100))*$B32),0))))))</f>
        <v>46.199999999999996</v>
      </c>
      <c r="D32" s="77">
        <f t="shared" ref="D32:D50" si="7">(IF(D$27="%w/w SAR",((D$28*10)*$B32),IF(D$27="%w/w DM",(((D$28*10)*($B$28/100))*$B32),IF(D$27="kg/t SAR",(D$28*$B32),IF(D$27="kg/t DM",((D$28*($B$28/100))*$B32),IF(D$27="mg/kg SAR",((D$28*0.001)*$B32),IF(D$27="mg/kg DM",(((D$28*0.001)*($B$28/100))*$B32),"0")))))))*2.291</f>
        <v>62.977298999999995</v>
      </c>
      <c r="E32" s="77">
        <f t="shared" ref="E32:E50" si="8">(IF(E$27="%w/w SAR",((E$28*10)*$B32),IF(E$27="%w/w DM",(((E$28*10)*($B$28/100))*$B32),IF(E$27="kg/t SAR",(E$28*$B32),IF(E$27="kg/t DM",((E$28*($B$28/100))*$B32),IF(E$27="mg/kg SAR",((E$28*0.001)*$B32),IF(E$27="mg/kg DM",(((E$28*0.001)*($B$28/100))*$B32),"0")))))))*1.205</f>
        <v>5.9011260000000014</v>
      </c>
      <c r="F32" s="77">
        <f t="shared" ref="F32:F50" si="9">(IF(F$27="%w/w SAR",((F$28*10)*$B32),IF(F$27="%w/w DM",(((F$28*10)*($B$28/100))*$B32),IF(F$27="kg/t SAR",(F$28*$B32),IF(F$27="kg/t DM",((F$28*($B$28/100))*$B32),IF(F$27="mg/kg SAR",((F$28*0.001)*$B32),IF(F$27="mg/kg DM",(((F$28*0.001)*($B$28/100))*$B32),"0")))))))*1.658</f>
        <v>3.2810161999999998</v>
      </c>
      <c r="G32" s="77">
        <f t="shared" si="5"/>
        <v>3.696E-2</v>
      </c>
      <c r="H32" s="77">
        <f t="shared" si="5"/>
        <v>0.49819000000000002</v>
      </c>
      <c r="I32" s="77">
        <f t="shared" si="5"/>
        <v>3.85E-2</v>
      </c>
      <c r="J32" s="77">
        <f t="shared" si="5"/>
        <v>7.7000000000000007E-4</v>
      </c>
      <c r="K32" s="77">
        <f t="shared" si="5"/>
        <v>3.8500000000000001E-3</v>
      </c>
      <c r="L32" s="77">
        <f t="shared" si="5"/>
        <v>2.2560999999999998E-2</v>
      </c>
      <c r="M32" s="77">
        <f t="shared" si="5"/>
        <v>8.7779999999999997E-2</v>
      </c>
      <c r="N32" s="77">
        <f t="shared" si="5"/>
        <v>0</v>
      </c>
      <c r="O32" s="77">
        <f t="shared" si="5"/>
        <v>0</v>
      </c>
      <c r="P32" s="77">
        <f t="shared" si="5"/>
        <v>234.00300000000001</v>
      </c>
      <c r="Q32" s="77">
        <f t="shared" ref="Q32:Q50" si="10">(IF(Q$27="%w/w SAR",((Q$28*10)*$B32),IF(Q$27="%w/w DM",(((Q$28*10)*($B$28/100))*$B32),IF(Q$27="kg/t SAR",(Q$28*$B32),IF(Q$27="kg/t DM",((Q$28*($B$28/100))*$B32),IF(Q$27="mg/kg SAR",((Q$28*0.001)*$B32),IF(Q$27="mg/kg DM",(((Q$28*0.001)*($B$28/100))*$B32),0)))))))*2.5</f>
        <v>247.74749999999997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77</v>
      </c>
      <c r="C33" s="77">
        <f t="shared" si="6"/>
        <v>46.199999999999996</v>
      </c>
      <c r="D33" s="77">
        <f t="shared" si="7"/>
        <v>62.977298999999995</v>
      </c>
      <c r="E33" s="77">
        <f t="shared" si="8"/>
        <v>5.9011260000000014</v>
      </c>
      <c r="F33" s="77">
        <f t="shared" si="9"/>
        <v>3.2810161999999998</v>
      </c>
      <c r="G33" s="77">
        <f t="shared" si="5"/>
        <v>3.696E-2</v>
      </c>
      <c r="H33" s="77">
        <f t="shared" si="5"/>
        <v>0.49819000000000002</v>
      </c>
      <c r="I33" s="77">
        <f t="shared" si="5"/>
        <v>3.85E-2</v>
      </c>
      <c r="J33" s="77">
        <f t="shared" si="5"/>
        <v>7.7000000000000007E-4</v>
      </c>
      <c r="K33" s="77">
        <f t="shared" si="5"/>
        <v>3.8500000000000001E-3</v>
      </c>
      <c r="L33" s="77">
        <f t="shared" si="5"/>
        <v>2.2560999999999998E-2</v>
      </c>
      <c r="M33" s="77">
        <f t="shared" si="5"/>
        <v>8.7779999999999997E-2</v>
      </c>
      <c r="N33" s="77">
        <f t="shared" si="5"/>
        <v>0</v>
      </c>
      <c r="O33" s="77">
        <f t="shared" si="5"/>
        <v>0</v>
      </c>
      <c r="P33" s="77">
        <f t="shared" si="5"/>
        <v>234.00300000000001</v>
      </c>
      <c r="Q33" s="77">
        <f t="shared" si="10"/>
        <v>247.74749999999997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77</v>
      </c>
      <c r="C34" s="77">
        <f t="shared" si="6"/>
        <v>46.199999999999996</v>
      </c>
      <c r="D34" s="77">
        <f t="shared" si="7"/>
        <v>62.977298999999995</v>
      </c>
      <c r="E34" s="77">
        <f t="shared" si="8"/>
        <v>5.9011260000000014</v>
      </c>
      <c r="F34" s="77">
        <f t="shared" si="9"/>
        <v>3.2810161999999998</v>
      </c>
      <c r="G34" s="77">
        <f t="shared" si="5"/>
        <v>3.696E-2</v>
      </c>
      <c r="H34" s="77">
        <f t="shared" si="5"/>
        <v>0.49819000000000002</v>
      </c>
      <c r="I34" s="77">
        <f t="shared" si="5"/>
        <v>3.85E-2</v>
      </c>
      <c r="J34" s="77">
        <f t="shared" si="5"/>
        <v>7.7000000000000007E-4</v>
      </c>
      <c r="K34" s="77">
        <f t="shared" si="5"/>
        <v>3.8500000000000001E-3</v>
      </c>
      <c r="L34" s="77">
        <f t="shared" si="5"/>
        <v>2.2560999999999998E-2</v>
      </c>
      <c r="M34" s="77">
        <f t="shared" si="5"/>
        <v>8.7779999999999997E-2</v>
      </c>
      <c r="N34" s="77">
        <f t="shared" si="5"/>
        <v>0</v>
      </c>
      <c r="O34" s="77">
        <f t="shared" si="5"/>
        <v>0</v>
      </c>
      <c r="P34" s="77">
        <f t="shared" si="5"/>
        <v>234.00300000000001</v>
      </c>
      <c r="Q34" s="77">
        <f t="shared" si="10"/>
        <v>247.74749999999997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77</v>
      </c>
      <c r="C35" s="77">
        <f t="shared" si="6"/>
        <v>46.199999999999996</v>
      </c>
      <c r="D35" s="77">
        <f t="shared" si="7"/>
        <v>62.977298999999995</v>
      </c>
      <c r="E35" s="77">
        <f t="shared" si="8"/>
        <v>5.9011260000000014</v>
      </c>
      <c r="F35" s="77">
        <f t="shared" si="9"/>
        <v>3.2810161999999998</v>
      </c>
      <c r="G35" s="77">
        <f t="shared" si="5"/>
        <v>3.696E-2</v>
      </c>
      <c r="H35" s="77">
        <f t="shared" si="5"/>
        <v>0.49819000000000002</v>
      </c>
      <c r="I35" s="77">
        <f t="shared" si="5"/>
        <v>3.85E-2</v>
      </c>
      <c r="J35" s="77">
        <f t="shared" si="5"/>
        <v>7.7000000000000007E-4</v>
      </c>
      <c r="K35" s="77">
        <f t="shared" si="5"/>
        <v>3.8500000000000001E-3</v>
      </c>
      <c r="L35" s="77">
        <f t="shared" si="5"/>
        <v>2.2560999999999998E-2</v>
      </c>
      <c r="M35" s="77">
        <f t="shared" si="5"/>
        <v>8.7779999999999997E-2</v>
      </c>
      <c r="N35" s="77">
        <f t="shared" si="5"/>
        <v>0</v>
      </c>
      <c r="O35" s="77">
        <f t="shared" si="5"/>
        <v>0</v>
      </c>
      <c r="P35" s="77">
        <f t="shared" si="5"/>
        <v>234.00300000000001</v>
      </c>
      <c r="Q35" s="77">
        <f t="shared" si="10"/>
        <v>247.74749999999997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77</v>
      </c>
      <c r="C36" s="77">
        <f t="shared" si="6"/>
        <v>46.199999999999996</v>
      </c>
      <c r="D36" s="77">
        <f t="shared" si="7"/>
        <v>62.977298999999995</v>
      </c>
      <c r="E36" s="77">
        <f t="shared" si="8"/>
        <v>5.9011260000000014</v>
      </c>
      <c r="F36" s="77">
        <f t="shared" si="9"/>
        <v>3.2810161999999998</v>
      </c>
      <c r="G36" s="77">
        <f t="shared" si="5"/>
        <v>3.696E-2</v>
      </c>
      <c r="H36" s="77">
        <f t="shared" si="5"/>
        <v>0.49819000000000002</v>
      </c>
      <c r="I36" s="77">
        <f t="shared" si="5"/>
        <v>3.85E-2</v>
      </c>
      <c r="J36" s="77">
        <f t="shared" si="5"/>
        <v>7.7000000000000007E-4</v>
      </c>
      <c r="K36" s="77">
        <f t="shared" si="5"/>
        <v>3.8500000000000001E-3</v>
      </c>
      <c r="L36" s="77">
        <f t="shared" si="5"/>
        <v>2.2560999999999998E-2</v>
      </c>
      <c r="M36" s="77">
        <f t="shared" si="5"/>
        <v>8.7779999999999997E-2</v>
      </c>
      <c r="N36" s="77">
        <f t="shared" si="5"/>
        <v>0</v>
      </c>
      <c r="O36" s="77">
        <f t="shared" si="5"/>
        <v>0</v>
      </c>
      <c r="P36" s="77">
        <f t="shared" si="5"/>
        <v>234.00300000000001</v>
      </c>
      <c r="Q36" s="77">
        <f t="shared" si="10"/>
        <v>247.74749999999997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77</v>
      </c>
      <c r="C37" s="77">
        <f t="shared" si="6"/>
        <v>46.199999999999996</v>
      </c>
      <c r="D37" s="77">
        <f t="shared" si="7"/>
        <v>62.977298999999995</v>
      </c>
      <c r="E37" s="77">
        <f t="shared" si="8"/>
        <v>5.9011260000000014</v>
      </c>
      <c r="F37" s="77">
        <f t="shared" si="9"/>
        <v>3.2810161999999998</v>
      </c>
      <c r="G37" s="77">
        <f t="shared" si="5"/>
        <v>3.696E-2</v>
      </c>
      <c r="H37" s="77">
        <f t="shared" si="5"/>
        <v>0.49819000000000002</v>
      </c>
      <c r="I37" s="77">
        <f t="shared" si="5"/>
        <v>3.85E-2</v>
      </c>
      <c r="J37" s="77">
        <f t="shared" si="5"/>
        <v>7.7000000000000007E-4</v>
      </c>
      <c r="K37" s="77">
        <f t="shared" si="5"/>
        <v>3.8500000000000001E-3</v>
      </c>
      <c r="L37" s="77">
        <f t="shared" si="5"/>
        <v>2.2560999999999998E-2</v>
      </c>
      <c r="M37" s="77">
        <f t="shared" si="5"/>
        <v>8.7779999999999997E-2</v>
      </c>
      <c r="N37" s="77">
        <f t="shared" si="5"/>
        <v>0</v>
      </c>
      <c r="O37" s="77">
        <f t="shared" si="5"/>
        <v>0</v>
      </c>
      <c r="P37" s="77">
        <f t="shared" si="5"/>
        <v>234.00300000000001</v>
      </c>
      <c r="Q37" s="77">
        <f t="shared" si="10"/>
        <v>247.74749999999997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v>77</v>
      </c>
      <c r="C38" s="77">
        <f t="shared" si="6"/>
        <v>46.199999999999996</v>
      </c>
      <c r="D38" s="77">
        <f t="shared" si="7"/>
        <v>62.977298999999995</v>
      </c>
      <c r="E38" s="77">
        <f t="shared" si="8"/>
        <v>5.9011260000000014</v>
      </c>
      <c r="F38" s="77">
        <f t="shared" si="9"/>
        <v>3.2810161999999998</v>
      </c>
      <c r="G38" s="77">
        <f t="shared" si="5"/>
        <v>3.696E-2</v>
      </c>
      <c r="H38" s="77">
        <f t="shared" si="5"/>
        <v>0.49819000000000002</v>
      </c>
      <c r="I38" s="77">
        <f t="shared" si="5"/>
        <v>3.85E-2</v>
      </c>
      <c r="J38" s="77">
        <f t="shared" si="5"/>
        <v>7.7000000000000007E-4</v>
      </c>
      <c r="K38" s="77">
        <f t="shared" si="5"/>
        <v>3.8500000000000001E-3</v>
      </c>
      <c r="L38" s="77">
        <f t="shared" si="5"/>
        <v>2.2560999999999998E-2</v>
      </c>
      <c r="M38" s="77">
        <f t="shared" si="5"/>
        <v>8.7779999999999997E-2</v>
      </c>
      <c r="N38" s="77">
        <f t="shared" si="5"/>
        <v>0</v>
      </c>
      <c r="O38" s="77">
        <f t="shared" si="5"/>
        <v>0</v>
      </c>
      <c r="P38" s="77">
        <f t="shared" si="5"/>
        <v>234.00300000000001</v>
      </c>
      <c r="Q38" s="77">
        <f t="shared" si="10"/>
        <v>247.74749999999997</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v>77</v>
      </c>
      <c r="C39" s="77">
        <f t="shared" si="6"/>
        <v>46.199999999999996</v>
      </c>
      <c r="D39" s="77">
        <f t="shared" si="7"/>
        <v>62.977298999999995</v>
      </c>
      <c r="E39" s="77">
        <f t="shared" si="8"/>
        <v>5.9011260000000014</v>
      </c>
      <c r="F39" s="77">
        <f t="shared" si="9"/>
        <v>3.2810161999999998</v>
      </c>
      <c r="G39" s="77">
        <f t="shared" si="5"/>
        <v>3.696E-2</v>
      </c>
      <c r="H39" s="77">
        <f t="shared" si="5"/>
        <v>0.49819000000000002</v>
      </c>
      <c r="I39" s="77">
        <f t="shared" si="5"/>
        <v>3.85E-2</v>
      </c>
      <c r="J39" s="77">
        <f t="shared" si="5"/>
        <v>7.7000000000000007E-4</v>
      </c>
      <c r="K39" s="77">
        <f t="shared" si="5"/>
        <v>3.8500000000000001E-3</v>
      </c>
      <c r="L39" s="77">
        <f t="shared" si="5"/>
        <v>2.2560999999999998E-2</v>
      </c>
      <c r="M39" s="77">
        <f t="shared" si="5"/>
        <v>8.7779999999999997E-2</v>
      </c>
      <c r="N39" s="77">
        <f t="shared" si="5"/>
        <v>0</v>
      </c>
      <c r="O39" s="77">
        <f t="shared" si="5"/>
        <v>0</v>
      </c>
      <c r="P39" s="77">
        <f t="shared" si="5"/>
        <v>234.00300000000001</v>
      </c>
      <c r="Q39" s="77">
        <f t="shared" si="10"/>
        <v>247.74749999999997</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v>77</v>
      </c>
      <c r="C40" s="77">
        <f t="shared" si="6"/>
        <v>46.199999999999996</v>
      </c>
      <c r="D40" s="77">
        <f t="shared" si="7"/>
        <v>62.977298999999995</v>
      </c>
      <c r="E40" s="77">
        <f t="shared" si="8"/>
        <v>5.9011260000000014</v>
      </c>
      <c r="F40" s="77">
        <f t="shared" si="9"/>
        <v>3.2810161999999998</v>
      </c>
      <c r="G40" s="77">
        <f t="shared" si="5"/>
        <v>3.696E-2</v>
      </c>
      <c r="H40" s="77">
        <f t="shared" si="5"/>
        <v>0.49819000000000002</v>
      </c>
      <c r="I40" s="77">
        <f t="shared" si="5"/>
        <v>3.85E-2</v>
      </c>
      <c r="J40" s="77">
        <f t="shared" si="5"/>
        <v>7.7000000000000007E-4</v>
      </c>
      <c r="K40" s="77">
        <f t="shared" si="5"/>
        <v>3.8500000000000001E-3</v>
      </c>
      <c r="L40" s="77">
        <f t="shared" si="5"/>
        <v>2.2560999999999998E-2</v>
      </c>
      <c r="M40" s="77">
        <f t="shared" si="5"/>
        <v>8.7779999999999997E-2</v>
      </c>
      <c r="N40" s="77">
        <f t="shared" si="5"/>
        <v>0</v>
      </c>
      <c r="O40" s="77">
        <f t="shared" si="5"/>
        <v>0</v>
      </c>
      <c r="P40" s="77">
        <f t="shared" si="5"/>
        <v>234.00300000000001</v>
      </c>
      <c r="Q40" s="77">
        <f t="shared" si="10"/>
        <v>247.74749999999997</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v>77</v>
      </c>
      <c r="C41" s="77">
        <f t="shared" si="6"/>
        <v>46.199999999999996</v>
      </c>
      <c r="D41" s="77">
        <f t="shared" si="7"/>
        <v>62.977298999999995</v>
      </c>
      <c r="E41" s="77">
        <f t="shared" si="8"/>
        <v>5.9011260000000014</v>
      </c>
      <c r="F41" s="77">
        <f t="shared" si="9"/>
        <v>3.2810161999999998</v>
      </c>
      <c r="G41" s="77">
        <f t="shared" si="5"/>
        <v>3.696E-2</v>
      </c>
      <c r="H41" s="77">
        <f t="shared" si="5"/>
        <v>0.49819000000000002</v>
      </c>
      <c r="I41" s="77">
        <f t="shared" si="5"/>
        <v>3.85E-2</v>
      </c>
      <c r="J41" s="77">
        <f t="shared" si="5"/>
        <v>7.7000000000000007E-4</v>
      </c>
      <c r="K41" s="77">
        <f t="shared" si="5"/>
        <v>3.8500000000000001E-3</v>
      </c>
      <c r="L41" s="77">
        <f t="shared" si="5"/>
        <v>2.2560999999999998E-2</v>
      </c>
      <c r="M41" s="77">
        <f t="shared" si="5"/>
        <v>8.7779999999999997E-2</v>
      </c>
      <c r="N41" s="77">
        <f t="shared" si="5"/>
        <v>0</v>
      </c>
      <c r="O41" s="77">
        <f t="shared" si="5"/>
        <v>0</v>
      </c>
      <c r="P41" s="77">
        <f t="shared" si="5"/>
        <v>234.00300000000001</v>
      </c>
      <c r="Q41" s="77">
        <f t="shared" si="10"/>
        <v>247.74749999999997</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v>77</v>
      </c>
      <c r="C42" s="77">
        <f t="shared" si="6"/>
        <v>46.199999999999996</v>
      </c>
      <c r="D42" s="77">
        <f t="shared" si="7"/>
        <v>62.977298999999995</v>
      </c>
      <c r="E42" s="77">
        <f t="shared" si="8"/>
        <v>5.9011260000000014</v>
      </c>
      <c r="F42" s="77">
        <f t="shared" si="9"/>
        <v>3.2810161999999998</v>
      </c>
      <c r="G42" s="77">
        <f t="shared" si="5"/>
        <v>3.696E-2</v>
      </c>
      <c r="H42" s="77">
        <f t="shared" si="5"/>
        <v>0.49819000000000002</v>
      </c>
      <c r="I42" s="77">
        <f t="shared" si="5"/>
        <v>3.85E-2</v>
      </c>
      <c r="J42" s="77">
        <f t="shared" si="5"/>
        <v>7.7000000000000007E-4</v>
      </c>
      <c r="K42" s="77">
        <f t="shared" si="5"/>
        <v>3.8500000000000001E-3</v>
      </c>
      <c r="L42" s="77">
        <f t="shared" si="5"/>
        <v>2.2560999999999998E-2</v>
      </c>
      <c r="M42" s="77">
        <f t="shared" si="5"/>
        <v>8.7779999999999997E-2</v>
      </c>
      <c r="N42" s="77">
        <f t="shared" si="5"/>
        <v>0</v>
      </c>
      <c r="O42" s="77">
        <f t="shared" si="5"/>
        <v>0</v>
      </c>
      <c r="P42" s="77">
        <f t="shared" si="5"/>
        <v>234.00300000000001</v>
      </c>
      <c r="Q42" s="77">
        <f t="shared" si="10"/>
        <v>247.74749999999997</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v>77</v>
      </c>
      <c r="C43" s="77">
        <f t="shared" si="6"/>
        <v>46.199999999999996</v>
      </c>
      <c r="D43" s="77">
        <f t="shared" si="7"/>
        <v>62.977298999999995</v>
      </c>
      <c r="E43" s="77">
        <f t="shared" si="8"/>
        <v>5.9011260000000014</v>
      </c>
      <c r="F43" s="77">
        <f t="shared" si="9"/>
        <v>3.2810161999999998</v>
      </c>
      <c r="G43" s="77">
        <f t="shared" si="5"/>
        <v>3.696E-2</v>
      </c>
      <c r="H43" s="77">
        <f t="shared" si="5"/>
        <v>0.49819000000000002</v>
      </c>
      <c r="I43" s="77">
        <f t="shared" si="5"/>
        <v>3.85E-2</v>
      </c>
      <c r="J43" s="77">
        <f t="shared" si="5"/>
        <v>7.7000000000000007E-4</v>
      </c>
      <c r="K43" s="77">
        <f t="shared" si="5"/>
        <v>3.8500000000000001E-3</v>
      </c>
      <c r="L43" s="77">
        <f t="shared" si="5"/>
        <v>2.2560999999999998E-2</v>
      </c>
      <c r="M43" s="77">
        <f t="shared" si="5"/>
        <v>8.7779999999999997E-2</v>
      </c>
      <c r="N43" s="77">
        <f t="shared" si="5"/>
        <v>0</v>
      </c>
      <c r="O43" s="77">
        <f t="shared" si="5"/>
        <v>0</v>
      </c>
      <c r="P43" s="77">
        <f t="shared" si="5"/>
        <v>234.00300000000001</v>
      </c>
      <c r="Q43" s="77">
        <f t="shared" si="10"/>
        <v>247.74749999999997</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v>77</v>
      </c>
      <c r="C44" s="77">
        <f t="shared" si="6"/>
        <v>46.199999999999996</v>
      </c>
      <c r="D44" s="77">
        <f t="shared" si="7"/>
        <v>62.977298999999995</v>
      </c>
      <c r="E44" s="77">
        <f t="shared" si="8"/>
        <v>5.9011260000000014</v>
      </c>
      <c r="F44" s="77">
        <f t="shared" si="9"/>
        <v>3.2810161999999998</v>
      </c>
      <c r="G44" s="77">
        <f t="shared" si="5"/>
        <v>3.696E-2</v>
      </c>
      <c r="H44" s="77">
        <f t="shared" si="5"/>
        <v>0.49819000000000002</v>
      </c>
      <c r="I44" s="77">
        <f t="shared" si="5"/>
        <v>3.85E-2</v>
      </c>
      <c r="J44" s="77">
        <f t="shared" si="5"/>
        <v>7.7000000000000007E-4</v>
      </c>
      <c r="K44" s="77">
        <f t="shared" si="5"/>
        <v>3.8500000000000001E-3</v>
      </c>
      <c r="L44" s="77">
        <f t="shared" si="5"/>
        <v>2.2560999999999998E-2</v>
      </c>
      <c r="M44" s="77">
        <f t="shared" si="5"/>
        <v>8.7779999999999997E-2</v>
      </c>
      <c r="N44" s="77">
        <f t="shared" si="5"/>
        <v>0</v>
      </c>
      <c r="O44" s="77">
        <f t="shared" si="5"/>
        <v>0</v>
      </c>
      <c r="P44" s="77">
        <f t="shared" si="5"/>
        <v>234.00300000000001</v>
      </c>
      <c r="Q44" s="77">
        <f t="shared" si="10"/>
        <v>247.74749999999997</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v>77</v>
      </c>
      <c r="C45" s="77">
        <f t="shared" si="6"/>
        <v>46.199999999999996</v>
      </c>
      <c r="D45" s="77">
        <f t="shared" si="7"/>
        <v>62.977298999999995</v>
      </c>
      <c r="E45" s="77">
        <f t="shared" si="8"/>
        <v>5.9011260000000014</v>
      </c>
      <c r="F45" s="77">
        <f t="shared" si="9"/>
        <v>3.2810161999999998</v>
      </c>
      <c r="G45" s="77">
        <f t="shared" si="5"/>
        <v>3.696E-2</v>
      </c>
      <c r="H45" s="77">
        <f t="shared" si="5"/>
        <v>0.49819000000000002</v>
      </c>
      <c r="I45" s="77">
        <f t="shared" si="5"/>
        <v>3.85E-2</v>
      </c>
      <c r="J45" s="77">
        <f t="shared" si="5"/>
        <v>7.7000000000000007E-4</v>
      </c>
      <c r="K45" s="77">
        <f t="shared" si="5"/>
        <v>3.8500000000000001E-3</v>
      </c>
      <c r="L45" s="77">
        <f t="shared" si="5"/>
        <v>2.2560999999999998E-2</v>
      </c>
      <c r="M45" s="77">
        <f t="shared" si="5"/>
        <v>8.7779999999999997E-2</v>
      </c>
      <c r="N45" s="77">
        <f t="shared" si="5"/>
        <v>0</v>
      </c>
      <c r="O45" s="77">
        <f t="shared" si="5"/>
        <v>0</v>
      </c>
      <c r="P45" s="77">
        <f t="shared" si="5"/>
        <v>234.00300000000001</v>
      </c>
      <c r="Q45" s="77">
        <f t="shared" si="10"/>
        <v>247.74749999999997</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v>77</v>
      </c>
      <c r="C46" s="77">
        <f t="shared" si="6"/>
        <v>46.199999999999996</v>
      </c>
      <c r="D46" s="77">
        <f t="shared" si="7"/>
        <v>62.977298999999995</v>
      </c>
      <c r="E46" s="77">
        <f t="shared" si="8"/>
        <v>5.9011260000000014</v>
      </c>
      <c r="F46" s="77">
        <f t="shared" si="9"/>
        <v>3.2810161999999998</v>
      </c>
      <c r="G46" s="77">
        <f t="shared" si="5"/>
        <v>3.696E-2</v>
      </c>
      <c r="H46" s="77">
        <f t="shared" si="5"/>
        <v>0.49819000000000002</v>
      </c>
      <c r="I46" s="77">
        <f t="shared" si="5"/>
        <v>3.85E-2</v>
      </c>
      <c r="J46" s="77">
        <f t="shared" si="5"/>
        <v>7.7000000000000007E-4</v>
      </c>
      <c r="K46" s="77">
        <f t="shared" si="5"/>
        <v>3.8500000000000001E-3</v>
      </c>
      <c r="L46" s="77">
        <f t="shared" si="5"/>
        <v>2.2560999999999998E-2</v>
      </c>
      <c r="M46" s="77">
        <f t="shared" si="5"/>
        <v>8.7779999999999997E-2</v>
      </c>
      <c r="N46" s="77">
        <f t="shared" si="5"/>
        <v>0</v>
      </c>
      <c r="O46" s="77">
        <f t="shared" si="5"/>
        <v>0</v>
      </c>
      <c r="P46" s="77">
        <f t="shared" si="5"/>
        <v>234.00300000000001</v>
      </c>
      <c r="Q46" s="77">
        <f t="shared" si="10"/>
        <v>247.74749999999997</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v>77</v>
      </c>
      <c r="C47" s="77">
        <f t="shared" si="6"/>
        <v>46.199999999999996</v>
      </c>
      <c r="D47" s="77">
        <f t="shared" si="7"/>
        <v>62.977298999999995</v>
      </c>
      <c r="E47" s="77">
        <f t="shared" si="8"/>
        <v>5.9011260000000014</v>
      </c>
      <c r="F47" s="77">
        <f t="shared" si="9"/>
        <v>3.2810161999999998</v>
      </c>
      <c r="G47" s="77">
        <f t="shared" ref="G47:P50" si="12">IF(G$27="%w/w SAR",((G$28*10)*$B47),IF(G$27="%w/w DM",(((G$28*10)*($B$28/100))*$B47),IF(G$27="kg/t SAR",(G$28*$B47),IF(G$27="kg/t DM",((G$28*($B$28/100))*$B47),IF(G$27="mg/kg SAR",((G$28*0.001)*$B47),IF(G$27="mg/kg DM",(((G$28*0.001)*($B$28/100))*$B47),0))))))</f>
        <v>3.696E-2</v>
      </c>
      <c r="H47" s="77">
        <f t="shared" si="12"/>
        <v>0.49819000000000002</v>
      </c>
      <c r="I47" s="77">
        <f t="shared" si="12"/>
        <v>3.85E-2</v>
      </c>
      <c r="J47" s="77">
        <f t="shared" si="12"/>
        <v>7.7000000000000007E-4</v>
      </c>
      <c r="K47" s="77">
        <f t="shared" si="12"/>
        <v>3.8500000000000001E-3</v>
      </c>
      <c r="L47" s="77">
        <f t="shared" si="12"/>
        <v>2.2560999999999998E-2</v>
      </c>
      <c r="M47" s="77">
        <f t="shared" si="12"/>
        <v>8.7779999999999997E-2</v>
      </c>
      <c r="N47" s="77">
        <f t="shared" si="12"/>
        <v>0</v>
      </c>
      <c r="O47" s="77">
        <f t="shared" si="12"/>
        <v>0</v>
      </c>
      <c r="P47" s="77">
        <f t="shared" si="12"/>
        <v>234.00300000000001</v>
      </c>
      <c r="Q47" s="77">
        <f t="shared" si="10"/>
        <v>247.74749999999997</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v>77</v>
      </c>
      <c r="C48" s="77">
        <f t="shared" si="6"/>
        <v>46.199999999999996</v>
      </c>
      <c r="D48" s="77">
        <f t="shared" si="7"/>
        <v>62.977298999999995</v>
      </c>
      <c r="E48" s="77">
        <f t="shared" si="8"/>
        <v>5.9011260000000014</v>
      </c>
      <c r="F48" s="77">
        <f t="shared" si="9"/>
        <v>3.2810161999999998</v>
      </c>
      <c r="G48" s="77">
        <f t="shared" si="12"/>
        <v>3.696E-2</v>
      </c>
      <c r="H48" s="77">
        <f t="shared" si="12"/>
        <v>0.49819000000000002</v>
      </c>
      <c r="I48" s="77">
        <f t="shared" si="12"/>
        <v>3.85E-2</v>
      </c>
      <c r="J48" s="77">
        <f t="shared" si="12"/>
        <v>7.7000000000000007E-4</v>
      </c>
      <c r="K48" s="77">
        <f t="shared" si="12"/>
        <v>3.8500000000000001E-3</v>
      </c>
      <c r="L48" s="77">
        <f t="shared" si="12"/>
        <v>2.2560999999999998E-2</v>
      </c>
      <c r="M48" s="77">
        <f t="shared" si="12"/>
        <v>8.7779999999999997E-2</v>
      </c>
      <c r="N48" s="77">
        <f t="shared" si="12"/>
        <v>0</v>
      </c>
      <c r="O48" s="77">
        <f t="shared" si="12"/>
        <v>0</v>
      </c>
      <c r="P48" s="77">
        <f t="shared" si="12"/>
        <v>234.00300000000001</v>
      </c>
      <c r="Q48" s="77">
        <f t="shared" si="10"/>
        <v>247.74749999999997</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"&amp;(VLOOKUP(C14,Table2458[],6,FALSE))</f>
        <v>Sandy Loam I Grass</v>
      </c>
      <c r="C58" s="13" t="str">
        <f>D16&amp;" I "&amp;(VLOOKUP(D14,Table2458[],6,FALSE))</f>
        <v>Sandy Loam I Grass</v>
      </c>
      <c r="D58" s="13" t="str">
        <f>E16&amp;" I "&amp;(VLOOKUP(E14,Table2458[],6,FALSE))</f>
        <v>Sandy Loam I Grass</v>
      </c>
      <c r="E58" s="13" t="str">
        <f>F16&amp;" I "&amp;(VLOOKUP(F14,Table2458[],6,FALSE))</f>
        <v>Sandy Loam I Grass</v>
      </c>
      <c r="F58" s="13" t="str">
        <f>G16&amp;" I "&amp;(VLOOKUP(G14,Table2458[],6,FALSE))</f>
        <v>Sandy Loam I Grass</v>
      </c>
      <c r="G58" s="13" t="str">
        <f>H16&amp;" I "&amp;(VLOOKUP(H14,Table2458[],6,FALSE))</f>
        <v>Sandy Loam I Grass</v>
      </c>
      <c r="H58" s="13" t="str">
        <f>I16&amp;" I "&amp;(VLOOKUP(I14,Table2458[],6,FALSE))</f>
        <v>Sandy Loam I Grass</v>
      </c>
      <c r="I58" s="13" t="str">
        <f>J16&amp;" I "&amp;(VLOOKUP(J14,Table2458[],6,FALSE))</f>
        <v>Sandy Loam I Grass</v>
      </c>
      <c r="J58" s="13" t="str">
        <f>K16&amp;" I "&amp;(VLOOKUP(K14,Table2458[],6,FALSE))</f>
        <v>Sandy Loam I Grass</v>
      </c>
      <c r="K58" s="13" t="str">
        <f>L16&amp;" I "&amp;(VLOOKUP(L14,Table2458[],6,FALSE))</f>
        <v>Sandy Loam I Grass</v>
      </c>
      <c r="L58" s="13" t="str">
        <f>M16&amp;" I "&amp;(VLOOKUP(M14,Table2458[],6,FALSE))</f>
        <v>Sandy Loam I Grass</v>
      </c>
      <c r="M58" s="13" t="str">
        <f>N16&amp;" I "&amp;(VLOOKUP(N14,Table2458[],6,FALSE))</f>
        <v>Sandy Loam I Grass</v>
      </c>
      <c r="N58" s="13" t="str">
        <f>O16&amp;" I "&amp;(VLOOKUP(O14,Table2458[],6,FALSE))</f>
        <v>Sandy Loam I Grass</v>
      </c>
      <c r="O58" s="13" t="str">
        <f>P16&amp;" I "&amp;(VLOOKUP(P14,Table2458[],6,FALSE))</f>
        <v>Sandy Loam I Grass</v>
      </c>
      <c r="P58" s="13" t="str">
        <f>Q16&amp;" I "&amp;(VLOOKUP(Q14,Table2458[],6,FALSE))</f>
        <v>Sandy Loam I Grass</v>
      </c>
      <c r="Q58" s="13" t="str">
        <f>R16&amp;" I "&amp;(VLOOKUP(R14,Table2458[],6,FALSE))</f>
        <v>Sandy Loam I Grass</v>
      </c>
      <c r="R58" s="13" t="str">
        <f>S16&amp;" I "&amp;(VLOOKUP(S14,Table2458[],6,FALSE))</f>
        <v>Sandy Loam I Grass</v>
      </c>
      <c r="S58" s="13" t="str">
        <f>T16&amp;" I "&amp;(VLOOKUP(T14,Table2458[],6,FALSE))</f>
        <v>Sandy Loam I Grass</v>
      </c>
      <c r="T58" s="13" t="str">
        <f>U16&amp;" I "&amp;(VLOOKUP(U14,Table2458[],6,FALSE))</f>
        <v>Sandy Loam I Grass</v>
      </c>
      <c r="U58" s="13" t="str">
        <f>V16&amp;" I "&amp;(VLOOKUP(V14,Table2458[],6,FALSE))</f>
        <v>Sandy Loam I Grass</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f>VLOOKUP(J$14,Table2458[],5,FALSE)</f>
        <v>6.2</v>
      </c>
      <c r="J59" s="76">
        <f>VLOOKUP(K$14,Table2458[],5,FALSE)</f>
        <v>6.2</v>
      </c>
      <c r="K59" s="76">
        <f>VLOOKUP(L$14,Table2458[],5,FALSE)</f>
        <v>6.2</v>
      </c>
      <c r="L59" s="76">
        <f>VLOOKUP(M$14,Table2458[],5,FALSE)</f>
        <v>6.2</v>
      </c>
      <c r="M59" s="76">
        <f>VLOOKUP(N$14,Table2458[],5,FALSE)</f>
        <v>6.2</v>
      </c>
      <c r="N59" s="76">
        <f>VLOOKUP(O$14,Table2458[],5,FALSE)</f>
        <v>6.2</v>
      </c>
      <c r="O59" s="76">
        <f>VLOOKUP(P$14,Table2458[],5,FALSE)</f>
        <v>6.2</v>
      </c>
      <c r="P59" s="76">
        <f>VLOOKUP(Q$14,Table2458[],5,FALSE)</f>
        <v>6.2</v>
      </c>
      <c r="Q59" s="76">
        <f>VLOOKUP(R$14,Table2458[],5,FALSE)</f>
        <v>6.2</v>
      </c>
      <c r="R59" s="76">
        <f>VLOOKUP(S$14,Table2458[],5,FALSE)</f>
        <v>6.2</v>
      </c>
      <c r="S59" s="76">
        <f>VLOOKUP(T$14,Table2458[],5,FALSE)</f>
        <v>6.2</v>
      </c>
      <c r="T59" s="76">
        <f>VLOOKUP(U$14,Table2458[],5,FALSE)</f>
        <v>6.2</v>
      </c>
      <c r="U59" s="76">
        <f>VLOOKUP(V$14,Table2458[],5,FALSE)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77</v>
      </c>
      <c r="C62" s="77">
        <f>B32</f>
        <v>77</v>
      </c>
      <c r="D62" s="77">
        <f>B33</f>
        <v>77</v>
      </c>
      <c r="E62" s="77">
        <f>B34</f>
        <v>77</v>
      </c>
      <c r="F62" s="77">
        <f>B35</f>
        <v>77</v>
      </c>
      <c r="G62" s="77">
        <f>B36</f>
        <v>77</v>
      </c>
      <c r="H62" s="77">
        <f>B37</f>
        <v>77</v>
      </c>
      <c r="I62" s="77">
        <f>B38</f>
        <v>77</v>
      </c>
      <c r="J62" s="77">
        <f>B39</f>
        <v>77</v>
      </c>
      <c r="K62" s="77">
        <f>B40</f>
        <v>77</v>
      </c>
      <c r="L62" s="77">
        <f>B41</f>
        <v>77</v>
      </c>
      <c r="M62" s="77">
        <f>B42</f>
        <v>77</v>
      </c>
      <c r="N62" s="77">
        <f>B43</f>
        <v>77</v>
      </c>
      <c r="O62" s="77">
        <f>B44</f>
        <v>77</v>
      </c>
      <c r="P62" s="77">
        <f>B45</f>
        <v>77</v>
      </c>
      <c r="Q62" s="77">
        <f>B46</f>
        <v>77</v>
      </c>
      <c r="R62" s="77">
        <f>B47</f>
        <v>77</v>
      </c>
      <c r="S62" s="77">
        <f>B48</f>
        <v>77</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T1CP9GJjsQ0aRYY67W7r+EonZfTOcxe22OgC34x6QR5LhZc6lP9jcw8fiDgBZddNoIm+ZwA0GJblYsgeQcs/Aw==" saltValue="7U6PR/TzQ9D7NSQ76UrGJw=="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F39" sqref="F39"/>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"&amp;(VLOOKUP(C14,Table24581113[],6,FALSE))</f>
        <v>Sandy Loam I Grass</v>
      </c>
      <c r="C58" s="13" t="str">
        <f>D16&amp;" I "&amp;(VLOOKUP(D14,Table24581113[],6,FALSE))</f>
        <v>Sandy Loam I Grass</v>
      </c>
      <c r="D58" s="13" t="str">
        <f>E16&amp;" I "&amp;(VLOOKUP(E14,Table24581113[],6,FALSE))</f>
        <v>Sandy Loam I Grass</v>
      </c>
      <c r="E58" s="13" t="str">
        <f>F16&amp;" I "&amp;(VLOOKUP(F14,Table24581113[],6,FALSE))</f>
        <v>Sandy Loam I Grass</v>
      </c>
      <c r="F58" s="13" t="str">
        <f>G16&amp;" I "&amp;(VLOOKUP(G14,Table24581113[],6,FALSE))</f>
        <v>Sandy Loam I Grass</v>
      </c>
      <c r="G58" s="13" t="str">
        <f>H16&amp;" I "&amp;(VLOOKUP(H14,Table24581113[],6,FALSE))</f>
        <v>Sandy Loam I Grass</v>
      </c>
      <c r="H58" s="13" t="str">
        <f>I16&amp;" I "&amp;(VLOOKUP(I14,Table24581113[],6,FALSE))</f>
        <v>Sandy Loam I Grass</v>
      </c>
      <c r="I58" s="13" t="str">
        <f>J16&amp;" I "&amp;(VLOOKUP(J14,Table24581113[],6,FALSE))</f>
        <v>Sandy Loam I Grass</v>
      </c>
      <c r="J58" s="13" t="str">
        <f>K16&amp;" I "&amp;(VLOOKUP(K14,Table24581113[],6,FALSE))</f>
        <v>Sandy Loam I Grass</v>
      </c>
      <c r="K58" s="13" t="str">
        <f>L16&amp;" I "&amp;(VLOOKUP(L14,Table24581113[],6,FALSE))</f>
        <v>Sandy Loam I Grass</v>
      </c>
      <c r="L58" s="13" t="str">
        <f>M16&amp;" I "&amp;(VLOOKUP(M14,Table24581113[],6,FALSE))</f>
        <v>Sandy Loam I Grass</v>
      </c>
      <c r="M58" s="13" t="str">
        <f>N16&amp;" I "&amp;(VLOOKUP(N14,Table24581113[],6,FALSE))</f>
        <v>Sandy Loam I Grass</v>
      </c>
      <c r="N58" s="13" t="str">
        <f>O16&amp;" I "&amp;(VLOOKUP(O14,Table24581113[],6,FALSE))</f>
        <v>Sandy Loam I Grass</v>
      </c>
      <c r="O58" s="13" t="str">
        <f>P16&amp;" I "&amp;(VLOOKUP(P14,Table24581113[],6,FALSE))</f>
        <v>Sandy Loam I Grass</v>
      </c>
      <c r="P58" s="13" t="str">
        <f>Q16&amp;" I "&amp;(VLOOKUP(Q14,Table24581113[],6,FALSE))</f>
        <v>Sandy Loam I Grass</v>
      </c>
      <c r="Q58" s="13" t="str">
        <f>R16&amp;" I "&amp;(VLOOKUP(R14,Table24581113[],6,FALSE))</f>
        <v>Sandy Loam I Grass</v>
      </c>
      <c r="R58" s="13" t="str">
        <f>S16&amp;" I "&amp;(VLOOKUP(S14,Table24581113[],6,FALSE))</f>
        <v>Sandy Loam I Grass</v>
      </c>
      <c r="S58" s="13" t="str">
        <f>T16&amp;" I "&amp;(VLOOKUP(T14,Table24581113[],6,FALSE))</f>
        <v>Sandy Loam I Grass</v>
      </c>
      <c r="T58" s="13" t="str">
        <f>U16&amp;" I "&amp;(VLOOKUP(U14,Table24581113[],6,FALSE))</f>
        <v>Sandy Loam I Grass</v>
      </c>
      <c r="U58" s="13" t="str">
        <f>V16&amp;" I "&amp;(VLOOKUP(V14,Table24581113[],6,FALSE))</f>
        <v>Sandy Loam I Grass</v>
      </c>
    </row>
    <row r="59" spans="1:35" s="19" customFormat="1" ht="13" x14ac:dyDescent="0.3">
      <c r="A59" s="111" t="s">
        <v>132</v>
      </c>
      <c r="B59" s="76">
        <f>VLOOKUP(C$14,Table24581113[],5,FALSE)</f>
        <v>6.2</v>
      </c>
      <c r="C59" s="76">
        <f>VLOOKUP(D$14,Table24581113[],5,FALSE)</f>
        <v>6.2</v>
      </c>
      <c r="D59" s="76">
        <f>VLOOKUP(E$14,Table24581113[],5,FALSE)</f>
        <v>6.2</v>
      </c>
      <c r="E59" s="76">
        <f>VLOOKUP(F$14,Table24581113[],5,FALSE)</f>
        <v>6.2</v>
      </c>
      <c r="F59" s="76">
        <f>VLOOKUP(G$14,Table24581113[],5,FALSE)</f>
        <v>6.2</v>
      </c>
      <c r="G59" s="76">
        <f>VLOOKUP(H$14,Table24581113[],5,FALSE)</f>
        <v>6.2</v>
      </c>
      <c r="H59" s="76">
        <f>VLOOKUP(I$14,Table24581113[],5,FALSE)</f>
        <v>6.2</v>
      </c>
      <c r="I59" s="76">
        <f>VLOOKUP(J$14,Table24581113[],5,FALSE)</f>
        <v>6.2</v>
      </c>
      <c r="J59" s="76">
        <f>VLOOKUP(K$14,Table24581113[],5,FALSE)</f>
        <v>6.2</v>
      </c>
      <c r="K59" s="76">
        <f>VLOOKUP(L$14,Table24581113[],5,FALSE)</f>
        <v>6.2</v>
      </c>
      <c r="L59" s="76">
        <f>VLOOKUP(M$14,Table24581113[],5,FALSE)</f>
        <v>6.2</v>
      </c>
      <c r="M59" s="76">
        <f>VLOOKUP(N$14,Table24581113[],5,FALSE)</f>
        <v>6.2</v>
      </c>
      <c r="N59" s="76">
        <f>VLOOKUP(O$14,Table24581113[],5,FALSE)</f>
        <v>6.2</v>
      </c>
      <c r="O59" s="76">
        <f>VLOOKUP(P$14,Table24581113[],5,FALSE)</f>
        <v>6.2</v>
      </c>
      <c r="P59" s="76">
        <f>VLOOKUP(Q$14,Table24581113[],5,FALSE)</f>
        <v>6.2</v>
      </c>
      <c r="Q59" s="76">
        <f>VLOOKUP(R$14,Table24581113[],5,FALSE)</f>
        <v>6.2</v>
      </c>
      <c r="R59" s="76">
        <f>VLOOKUP(S$14,Table24581113[],5,FALSE)</f>
        <v>6.2</v>
      </c>
      <c r="S59" s="76">
        <f>VLOOKUP(T$14,Table24581113[],5,FALSE)</f>
        <v>6.2</v>
      </c>
      <c r="T59" s="76">
        <f>VLOOKUP(U$14,Table24581113[],5,FALSE)</f>
        <v>6.2</v>
      </c>
      <c r="U59" s="76">
        <f>VLOOKUP(V$14,Table24581113[],5,FALSE)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O8/b7DXBL/Nj6nccu4LefnDo/mM+EHj7798jAq9a6UyS7funsKzsiT6BGaobuiBjAASKO0StqVhGp5lsYW/G1A==" saltValue="+2SvsxWpO8Tod2DXT6brK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G4" sqref="G3:H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"&amp;(VLOOKUP(C14,Table24567[],6,FALSE))</f>
        <v>Sandy Loam I Grass</v>
      </c>
      <c r="C58" s="13" t="str">
        <f>D16&amp;" I "&amp;(VLOOKUP(D14,Table24567[],6,FALSE))</f>
        <v>Sandy Loam I Grass</v>
      </c>
      <c r="D58" s="13" t="str">
        <f>E16&amp;" I "&amp;(VLOOKUP(E14,Table24567[],6,FALSE))</f>
        <v>Sandy Loam I Grass</v>
      </c>
      <c r="E58" s="13" t="str">
        <f>F16&amp;" I "&amp;(VLOOKUP(F14,Table24567[],6,FALSE))</f>
        <v>Sandy Loam I Grass</v>
      </c>
      <c r="F58" s="13" t="str">
        <f>G16&amp;" I "&amp;(VLOOKUP(G14,Table24567[],6,FALSE))</f>
        <v>Sandy Loam I Grass</v>
      </c>
      <c r="G58" s="13" t="str">
        <f>H16&amp;" I "&amp;(VLOOKUP(H14,Table24567[],6,FALSE))</f>
        <v>Sandy Loam I Grass</v>
      </c>
      <c r="H58" s="13" t="str">
        <f>I16&amp;" I "&amp;(VLOOKUP(I14,Table24567[],6,FALSE))</f>
        <v>Sandy Loam I Grass</v>
      </c>
      <c r="I58" s="13" t="str">
        <f>J16&amp;" I "&amp;(VLOOKUP(J14,Table24567[],6,FALSE))</f>
        <v>Sandy Loam I Grass</v>
      </c>
      <c r="J58" s="13" t="str">
        <f>K16&amp;" I "&amp;(VLOOKUP(K14,Table24567[],6,FALSE))</f>
        <v>Sandy Loam I Grass</v>
      </c>
      <c r="K58" s="13" t="str">
        <f>L16&amp;" I "&amp;(VLOOKUP(L14,Table24567[],6,FALSE))</f>
        <v>Sandy Loam I Grass</v>
      </c>
      <c r="L58" s="13" t="str">
        <f>M16&amp;" I "&amp;(VLOOKUP(M14,Table24567[],6,FALSE))</f>
        <v>Sandy Loam I Grass</v>
      </c>
      <c r="M58" s="13" t="str">
        <f>N16&amp;" I "&amp;(VLOOKUP(N14,Table24567[],6,FALSE))</f>
        <v>Sandy Loam I Grass</v>
      </c>
      <c r="N58" s="13" t="str">
        <f>O16&amp;" I "&amp;(VLOOKUP(O14,Table24567[],6,FALSE))</f>
        <v>Sandy Loam I Grass</v>
      </c>
      <c r="O58" s="13" t="str">
        <f>P16&amp;" I "&amp;(VLOOKUP(P14,Table24567[],6,FALSE))</f>
        <v>Sandy Loam I Grass</v>
      </c>
      <c r="P58" s="13" t="str">
        <f>Q16&amp;" I "&amp;(VLOOKUP(Q14,Table24567[],6,FALSE))</f>
        <v>Sandy Loam I Grass</v>
      </c>
      <c r="Q58" s="13" t="str">
        <f>R16&amp;" I "&amp;(VLOOKUP(R14,Table24567[],6,FALSE))</f>
        <v>Sandy Loam I Grass</v>
      </c>
      <c r="R58" s="13" t="str">
        <f>S16&amp;" I "&amp;(VLOOKUP(S14,Table24567[],6,FALSE))</f>
        <v>Sandy Loam I Grass</v>
      </c>
      <c r="S58" s="13" t="str">
        <f>T16&amp;" I "&amp;(VLOOKUP(T14,Table24567[],6,FALSE))</f>
        <v>Sandy Loam I Grass</v>
      </c>
      <c r="T58" s="13" t="str">
        <f>U16&amp;" I "&amp;(VLOOKUP(U14,Table24567[],6,FALSE))</f>
        <v>Sandy Loam I Grass</v>
      </c>
      <c r="U58" s="13" t="str">
        <f>V16&amp;" I "&amp;(VLOOKUP(V14,Table24567[],6,FALSE))</f>
        <v>Sandy Loam I Grass</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f>VLOOKUP(J$14,Table24567[],5,FALSE)</f>
        <v>6.2</v>
      </c>
      <c r="J59" s="76">
        <f>VLOOKUP(K$14,Table24567[],5,FALSE)</f>
        <v>6.2</v>
      </c>
      <c r="K59" s="76">
        <f>VLOOKUP(L$14,Table24567[],5,FALSE)</f>
        <v>6.2</v>
      </c>
      <c r="L59" s="76">
        <f>VLOOKUP(M$14,Table24567[],5,FALSE)</f>
        <v>6.2</v>
      </c>
      <c r="M59" s="76">
        <f>VLOOKUP(N$14,Table24567[],5,FALSE)</f>
        <v>6.2</v>
      </c>
      <c r="N59" s="76">
        <f>VLOOKUP(O$14,Table24567[],5,FALSE)</f>
        <v>6.2</v>
      </c>
      <c r="O59" s="76">
        <f>VLOOKUP(P$14,Table24567[],5,FALSE)</f>
        <v>6.2</v>
      </c>
      <c r="P59" s="76">
        <f>VLOOKUP(Q$14,Table24567[],5,FALSE)</f>
        <v>6.2</v>
      </c>
      <c r="Q59" s="76">
        <f>VLOOKUP(R$14,Table24567[],5,FALSE)</f>
        <v>6.2</v>
      </c>
      <c r="R59" s="76">
        <f>VLOOKUP(S$14,Table24567[],5,FALSE)</f>
        <v>6.2</v>
      </c>
      <c r="S59" s="76">
        <f>VLOOKUP(T$14,Table24567[],5,FALSE)</f>
        <v>6.2</v>
      </c>
      <c r="T59" s="76">
        <f>VLOOKUP(U$14,Table24567[],5,FALSE)</f>
        <v>6.2</v>
      </c>
      <c r="U59" s="76">
        <f>VLOOKUP(V$14,Table24567[],5,FALSE)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bV/LF8dO/1XjVbmVcGUwfCCtDuJHfhHI2cxBjbE3UJO6HH/2eqfMhfRs25y84IWYrTRRq04Mjv0Gtw+37M6n0g==" saltValue="/YQAwzTGECtKAnnbGGtu7g=="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zoomScale="90" zoomScaleNormal="90" workbookViewId="0">
      <selection sqref="A1:B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27" t="s">
        <v>41</v>
      </c>
      <c r="B1" s="127"/>
      <c r="C1" s="140" t="str">
        <f>'Field data and Waste 1'!C1:D1</f>
        <v>PAN-024813</v>
      </c>
      <c r="D1" s="141"/>
      <c r="E1" s="93" t="s">
        <v>45</v>
      </c>
      <c r="F1" s="39">
        <f>'Field data and Waste 1'!F1</f>
        <v>44.22</v>
      </c>
      <c r="G1" s="123" t="s">
        <v>43</v>
      </c>
      <c r="H1" s="124"/>
      <c r="I1" s="118"/>
      <c r="J1" s="127" t="s">
        <v>153</v>
      </c>
      <c r="K1" s="127"/>
      <c r="L1" s="97"/>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27" t="s">
        <v>87</v>
      </c>
      <c r="B2" s="127"/>
      <c r="C2" s="142" t="str">
        <f>'Field data and Waste 1'!C2:D2</f>
        <v>EPR/FB3606GC</v>
      </c>
      <c r="D2" s="143"/>
      <c r="E2" s="93" t="s">
        <v>109</v>
      </c>
      <c r="F2" s="96"/>
      <c r="G2" s="125" t="s">
        <v>110</v>
      </c>
      <c r="H2" s="126"/>
      <c r="I2" s="118"/>
      <c r="J2" s="127" t="s">
        <v>158</v>
      </c>
      <c r="K2" s="127"/>
      <c r="L2" s="97"/>
      <c r="AB2" s="30" t="s">
        <v>56</v>
      </c>
      <c r="AC2" s="17"/>
      <c r="AD2" s="30" t="s">
        <v>70</v>
      </c>
      <c r="AE2" s="17"/>
      <c r="AF2" s="17"/>
      <c r="AG2" s="44" t="s">
        <v>76</v>
      </c>
      <c r="AH2" s="18"/>
      <c r="AI2" s="45" t="s">
        <v>126</v>
      </c>
      <c r="AJ2" s="46">
        <v>0</v>
      </c>
      <c r="AK2" s="47">
        <v>0</v>
      </c>
      <c r="AL2" s="10">
        <v>0</v>
      </c>
      <c r="AM2" s="11">
        <v>0</v>
      </c>
      <c r="AN2" s="11">
        <v>0</v>
      </c>
    </row>
    <row r="3" spans="1:41" ht="13" x14ac:dyDescent="0.25">
      <c r="A3" s="123" t="s">
        <v>42</v>
      </c>
      <c r="B3" s="124"/>
      <c r="C3" s="142" t="str">
        <f>'Field data and Waste 1'!C3:D3</f>
        <v>Agrispread</v>
      </c>
      <c r="D3" s="143"/>
      <c r="E3" s="93" t="s">
        <v>108</v>
      </c>
      <c r="F3" s="31"/>
      <c r="G3" s="127" t="s">
        <v>159</v>
      </c>
      <c r="H3" s="127"/>
      <c r="I3" s="118"/>
      <c r="J3" s="123" t="s">
        <v>154</v>
      </c>
      <c r="K3" s="124"/>
      <c r="L3" s="97" t="e">
        <f>(L1/(L2*10000))*100</f>
        <v>#DIV/0!</v>
      </c>
      <c r="AB3" s="30" t="s">
        <v>57</v>
      </c>
      <c r="AC3" s="17"/>
      <c r="AD3" s="30" t="s">
        <v>71</v>
      </c>
      <c r="AE3" s="17"/>
      <c r="AF3" s="17"/>
      <c r="AG3" s="44" t="s">
        <v>77</v>
      </c>
      <c r="AH3" s="18"/>
      <c r="AI3" s="48" t="s">
        <v>113</v>
      </c>
      <c r="AJ3" s="49">
        <v>1.7</v>
      </c>
      <c r="AK3" s="50">
        <v>6</v>
      </c>
      <c r="AL3" s="51">
        <v>1</v>
      </c>
      <c r="AM3" s="11">
        <v>6.2</v>
      </c>
      <c r="AN3" s="11" t="s">
        <v>112</v>
      </c>
    </row>
    <row r="4" spans="1:41" ht="13" x14ac:dyDescent="0.25">
      <c r="A4" s="127" t="s">
        <v>0</v>
      </c>
      <c r="B4" s="127"/>
      <c r="C4" s="140" t="str">
        <f>'Field data and Waste 1'!C4:D4</f>
        <v>Fron Farm, Rhesyae Road, Mold, CH7 5QW</v>
      </c>
      <c r="D4" s="141"/>
      <c r="E4" s="94" t="s">
        <v>1</v>
      </c>
      <c r="F4" s="96"/>
      <c r="G4" s="123"/>
      <c r="H4" s="124"/>
      <c r="I4" s="39"/>
      <c r="J4" s="123"/>
      <c r="K4" s="124"/>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27" t="s">
        <v>47</v>
      </c>
      <c r="B5" s="127"/>
      <c r="C5" s="140" t="str">
        <f>'Field data and Waste 1'!C5:D5</f>
        <v>Ethan Banfield</v>
      </c>
      <c r="D5" s="141"/>
      <c r="E5" s="93"/>
      <c r="F5" s="39"/>
      <c r="G5" s="123"/>
      <c r="H5" s="124"/>
      <c r="I5" s="39"/>
      <c r="J5" s="123"/>
      <c r="K5" s="124"/>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32" t="s">
        <v>63</v>
      </c>
      <c r="B7" s="132"/>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27" t="s">
        <v>2</v>
      </c>
      <c r="B8" s="127"/>
      <c r="C8" s="60">
        <f>'Field data and Waste 1'!C8</f>
        <v>1</v>
      </c>
      <c r="D8" s="60">
        <f>'Field data and Waste 1'!D8</f>
        <v>2</v>
      </c>
      <c r="E8" s="60">
        <f>'Field data and Waste 1'!E8</f>
        <v>3</v>
      </c>
      <c r="F8" s="60">
        <f>'Field data and Waste 1'!F8</f>
        <v>4</v>
      </c>
      <c r="G8" s="60">
        <f>'Field data and Waste 1'!G8</f>
        <v>5</v>
      </c>
      <c r="H8" s="60">
        <f>'Field data and Waste 1'!H8</f>
        <v>6</v>
      </c>
      <c r="I8" s="60">
        <f>'Field data and Waste 1'!I8</f>
        <v>7</v>
      </c>
      <c r="J8" s="60">
        <f>'Field data and Waste 1'!J8</f>
        <v>8</v>
      </c>
      <c r="K8" s="60">
        <f>'Field data and Waste 1'!K8</f>
        <v>9</v>
      </c>
      <c r="L8" s="60">
        <f>'Field data and Waste 1'!L8</f>
        <v>10</v>
      </c>
      <c r="M8" s="60">
        <f>'Field data and Waste 1'!M8</f>
        <v>11</v>
      </c>
      <c r="N8" s="60">
        <f>'Field data and Waste 1'!N8</f>
        <v>12</v>
      </c>
      <c r="O8" s="60">
        <f>'Field data and Waste 1'!O8</f>
        <v>13</v>
      </c>
      <c r="P8" s="60">
        <f>'Field data and Waste 1'!P8</f>
        <v>14</v>
      </c>
      <c r="Q8" s="60">
        <f>'Field data and Waste 1'!Q8</f>
        <v>16</v>
      </c>
      <c r="R8" s="60">
        <f>'Field data and Waste 1'!R8</f>
        <v>17</v>
      </c>
      <c r="S8" s="60">
        <f>'Field data and Waste 1'!S8</f>
        <v>18</v>
      </c>
      <c r="T8" s="60">
        <f>'Field data and Waste 1'!T8</f>
        <v>19</v>
      </c>
      <c r="U8" s="60">
        <f>'Field data and Waste 1'!U8</f>
        <v>0</v>
      </c>
      <c r="V8" s="60">
        <f>'Field data and Waste 1'!V8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27" t="s">
        <v>3</v>
      </c>
      <c r="B9" s="127"/>
      <c r="C9" s="60" t="str">
        <f>'Field data and Waste 1'!C9</f>
        <v xml:space="preserve">Moderate </v>
      </c>
      <c r="D9" s="60" t="str">
        <f>'Field data and Waste 1'!D9</f>
        <v xml:space="preserve">Moderate </v>
      </c>
      <c r="E9" s="60" t="str">
        <f>'Field data and Waste 1'!E9</f>
        <v xml:space="preserve">Moderate </v>
      </c>
      <c r="F9" s="60" t="str">
        <f>'Field data and Waste 1'!F9</f>
        <v xml:space="preserve">Moderate </v>
      </c>
      <c r="G9" s="60" t="str">
        <f>'Field data and Waste 1'!G9</f>
        <v xml:space="preserve">Moderate </v>
      </c>
      <c r="H9" s="60" t="str">
        <f>'Field data and Waste 1'!H9</f>
        <v xml:space="preserve">Moderate </v>
      </c>
      <c r="I9" s="60" t="str">
        <f>'Field data and Waste 1'!I9</f>
        <v xml:space="preserve">Moderate </v>
      </c>
      <c r="J9" s="60" t="str">
        <f>'Field data and Waste 1'!J9</f>
        <v xml:space="preserve">Moderate </v>
      </c>
      <c r="K9" s="60" t="str">
        <f>'Field data and Waste 1'!K9</f>
        <v xml:space="preserve">Moderate </v>
      </c>
      <c r="L9" s="60" t="str">
        <f>'Field data and Waste 1'!L9</f>
        <v xml:space="preserve">Moderate </v>
      </c>
      <c r="M9" s="60" t="str">
        <f>'Field data and Waste 1'!M9</f>
        <v xml:space="preserve">Moderate </v>
      </c>
      <c r="N9" s="60" t="str">
        <f>'Field data and Waste 1'!N9</f>
        <v xml:space="preserve">Moderate </v>
      </c>
      <c r="O9" s="60" t="str">
        <f>'Field data and Waste 1'!O9</f>
        <v xml:space="preserve">Moderate </v>
      </c>
      <c r="P9" s="60" t="str">
        <f>'Field data and Waste 1'!P9</f>
        <v xml:space="preserve">Moderate </v>
      </c>
      <c r="Q9" s="60" t="str">
        <f>'Field data and Waste 1'!Q9</f>
        <v xml:space="preserve">Moderate </v>
      </c>
      <c r="R9" s="60" t="str">
        <f>'Field data and Waste 1'!R9</f>
        <v xml:space="preserve">Moderate </v>
      </c>
      <c r="S9" s="60" t="str">
        <f>'Field data and Waste 1'!S9</f>
        <v xml:space="preserve">Moderate </v>
      </c>
      <c r="T9" s="60" t="str">
        <f>'Field data and Waste 1'!T9</f>
        <v xml:space="preserve">Moderate </v>
      </c>
      <c r="U9" s="60">
        <f>'Field data and Waste 1'!U9</f>
        <v>0</v>
      </c>
      <c r="V9" s="60">
        <f>'Field data and Waste 1'!V9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27" t="s">
        <v>4</v>
      </c>
      <c r="B10" s="127"/>
      <c r="C10" s="60">
        <f>'Field data and Waste 1'!C10</f>
        <v>6.2</v>
      </c>
      <c r="D10" s="60">
        <f>'Field data and Waste 1'!D10</f>
        <v>6.5</v>
      </c>
      <c r="E10" s="60">
        <f>'Field data and Waste 1'!E10</f>
        <v>6.1</v>
      </c>
      <c r="F10" s="60">
        <f>'Field data and Waste 1'!F10</f>
        <v>6.2</v>
      </c>
      <c r="G10" s="60">
        <f>'Field data and Waste 1'!G10</f>
        <v>6</v>
      </c>
      <c r="H10" s="60">
        <f>'Field data and Waste 1'!H10</f>
        <v>6.1</v>
      </c>
      <c r="I10" s="60">
        <f>'Field data and Waste 1'!I10</f>
        <v>6.7</v>
      </c>
      <c r="J10" s="60">
        <f>'Field data and Waste 1'!J10</f>
        <v>6.1</v>
      </c>
      <c r="K10" s="60">
        <f>'Field data and Waste 1'!K10</f>
        <v>6</v>
      </c>
      <c r="L10" s="60">
        <f>'Field data and Waste 1'!L10</f>
        <v>5.9</v>
      </c>
      <c r="M10" s="60">
        <f>'Field data and Waste 1'!M10</f>
        <v>5.9</v>
      </c>
      <c r="N10" s="60">
        <f>'Field data and Waste 1'!N10</f>
        <v>5.8</v>
      </c>
      <c r="O10" s="60">
        <f>'Field data and Waste 1'!O10</f>
        <v>5.8</v>
      </c>
      <c r="P10" s="60">
        <f>'Field data and Waste 1'!P10</f>
        <v>6.4</v>
      </c>
      <c r="Q10" s="60">
        <f>'Field data and Waste 1'!Q10</f>
        <v>6.6</v>
      </c>
      <c r="R10" s="60">
        <f>'Field data and Waste 1'!R10</f>
        <v>6.5</v>
      </c>
      <c r="S10" s="60">
        <f>'Field data and Waste 1'!S10</f>
        <v>7.3</v>
      </c>
      <c r="T10" s="60">
        <f>'Field data and Waste 1'!T10</f>
        <v>7.1</v>
      </c>
      <c r="U10" s="60">
        <f>'Field data and Waste 1'!U10</f>
        <v>0</v>
      </c>
      <c r="V10" s="60">
        <f>'Field data and Waste 1'!V10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27" t="s">
        <v>5</v>
      </c>
      <c r="B11" s="127"/>
      <c r="C11" s="60">
        <f>'Field data and Waste 1'!C11</f>
        <v>2</v>
      </c>
      <c r="D11" s="60">
        <f>'Field data and Waste 1'!D11</f>
        <v>3</v>
      </c>
      <c r="E11" s="60">
        <f>'Field data and Waste 1'!E11</f>
        <v>2</v>
      </c>
      <c r="F11" s="60">
        <f>'Field data and Waste 1'!F11</f>
        <v>1</v>
      </c>
      <c r="G11" s="60">
        <f>'Field data and Waste 1'!G11</f>
        <v>1</v>
      </c>
      <c r="H11" s="60">
        <f>'Field data and Waste 1'!H11</f>
        <v>1</v>
      </c>
      <c r="I11" s="60">
        <f>'Field data and Waste 1'!I11</f>
        <v>1</v>
      </c>
      <c r="J11" s="60">
        <f>'Field data and Waste 1'!J11</f>
        <v>1</v>
      </c>
      <c r="K11" s="60">
        <f>'Field data and Waste 1'!K11</f>
        <v>1</v>
      </c>
      <c r="L11" s="60">
        <f>'Field data and Waste 1'!L11</f>
        <v>1</v>
      </c>
      <c r="M11" s="60">
        <f>'Field data and Waste 1'!M11</f>
        <v>1</v>
      </c>
      <c r="N11" s="60">
        <f>'Field data and Waste 1'!N11</f>
        <v>0</v>
      </c>
      <c r="O11" s="60">
        <f>'Field data and Waste 1'!O11</f>
        <v>0</v>
      </c>
      <c r="P11" s="60">
        <f>'Field data and Waste 1'!P11</f>
        <v>1</v>
      </c>
      <c r="Q11" s="60">
        <f>'Field data and Waste 1'!Q11</f>
        <v>3</v>
      </c>
      <c r="R11" s="60">
        <f>'Field data and Waste 1'!R11</f>
        <v>2</v>
      </c>
      <c r="S11" s="60">
        <f>'Field data and Waste 1'!S11</f>
        <v>3</v>
      </c>
      <c r="T11" s="60">
        <f>'Field data and Waste 1'!T11</f>
        <v>1</v>
      </c>
      <c r="U11" s="60">
        <f>'Field data and Waste 1'!U11</f>
        <v>0</v>
      </c>
      <c r="V11" s="60">
        <f>'Field data and Waste 1'!V11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27" t="s">
        <v>6</v>
      </c>
      <c r="B12" s="127"/>
      <c r="C12" s="60">
        <f>'Field data and Waste 1'!C12</f>
        <v>0</v>
      </c>
      <c r="D12" s="60">
        <f>'Field data and Waste 1'!D12</f>
        <v>2</v>
      </c>
      <c r="E12" s="60">
        <f>'Field data and Waste 1'!E12</f>
        <v>1</v>
      </c>
      <c r="F12" s="60">
        <f>'Field data and Waste 1'!F12</f>
        <v>0</v>
      </c>
      <c r="G12" s="60">
        <f>'Field data and Waste 1'!G12</f>
        <v>1</v>
      </c>
      <c r="H12" s="60">
        <f>'Field data and Waste 1'!H12</f>
        <v>1</v>
      </c>
      <c r="I12" s="60">
        <f>'Field data and Waste 1'!I12</f>
        <v>1</v>
      </c>
      <c r="J12" s="60">
        <f>'Field data and Waste 1'!J12</f>
        <v>1</v>
      </c>
      <c r="K12" s="60">
        <f>'Field data and Waste 1'!K12</f>
        <v>0</v>
      </c>
      <c r="L12" s="60">
        <f>'Field data and Waste 1'!L12</f>
        <v>0</v>
      </c>
      <c r="M12" s="60">
        <f>'Field data and Waste 1'!M12</f>
        <v>2</v>
      </c>
      <c r="N12" s="60">
        <f>'Field data and Waste 1'!N12</f>
        <v>0</v>
      </c>
      <c r="O12" s="60">
        <f>'Field data and Waste 1'!O12</f>
        <v>0</v>
      </c>
      <c r="P12" s="60">
        <f>'Field data and Waste 1'!P12</f>
        <v>1</v>
      </c>
      <c r="Q12" s="60">
        <f>'Field data and Waste 1'!Q12</f>
        <v>1</v>
      </c>
      <c r="R12" s="60">
        <f>'Field data and Waste 1'!R12</f>
        <v>1</v>
      </c>
      <c r="S12" s="60">
        <f>'Field data and Waste 1'!S12</f>
        <v>0</v>
      </c>
      <c r="T12" s="60">
        <f>'Field data and Waste 1'!T12</f>
        <v>0</v>
      </c>
      <c r="U12" s="60">
        <f>'Field data and Waste 1'!U12</f>
        <v>0</v>
      </c>
      <c r="V12" s="60">
        <f>'Field data and Waste 1'!V12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27" t="s">
        <v>7</v>
      </c>
      <c r="B13" s="127"/>
      <c r="C13" s="60">
        <f>'Field data and Waste 1'!C13</f>
        <v>2</v>
      </c>
      <c r="D13" s="60">
        <f>'Field data and Waste 1'!D13</f>
        <v>2</v>
      </c>
      <c r="E13" s="60">
        <f>'Field data and Waste 1'!E13</f>
        <v>2</v>
      </c>
      <c r="F13" s="60">
        <f>'Field data and Waste 1'!F13</f>
        <v>2</v>
      </c>
      <c r="G13" s="60">
        <f>'Field data and Waste 1'!G13</f>
        <v>4</v>
      </c>
      <c r="H13" s="60">
        <f>'Field data and Waste 1'!H13</f>
        <v>2</v>
      </c>
      <c r="I13" s="60">
        <f>'Field data and Waste 1'!I13</f>
        <v>2</v>
      </c>
      <c r="J13" s="60">
        <f>'Field data and Waste 1'!J13</f>
        <v>2</v>
      </c>
      <c r="K13" s="60">
        <f>'Field data and Waste 1'!K13</f>
        <v>2</v>
      </c>
      <c r="L13" s="60">
        <f>'Field data and Waste 1'!L13</f>
        <v>2</v>
      </c>
      <c r="M13" s="60">
        <f>'Field data and Waste 1'!M13</f>
        <v>2</v>
      </c>
      <c r="N13" s="60">
        <f>'Field data and Waste 1'!N13</f>
        <v>2</v>
      </c>
      <c r="O13" s="60">
        <f>'Field data and Waste 1'!O13</f>
        <v>2</v>
      </c>
      <c r="P13" s="60">
        <f>'Field data and Waste 1'!P13</f>
        <v>2</v>
      </c>
      <c r="Q13" s="60">
        <f>'Field data and Waste 1'!Q13</f>
        <v>2</v>
      </c>
      <c r="R13" s="60">
        <f>'Field data and Waste 1'!R13</f>
        <v>2</v>
      </c>
      <c r="S13" s="60">
        <f>'Field data and Waste 1'!S13</f>
        <v>1</v>
      </c>
      <c r="T13" s="60">
        <f>'Field data and Waste 1'!T13</f>
        <v>1</v>
      </c>
      <c r="U13" s="60">
        <f>'Field data and Waste 1'!U13</f>
        <v>0</v>
      </c>
      <c r="V13" s="60">
        <f>'Field data and Waste 1'!V13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6" t="s">
        <v>8</v>
      </c>
      <c r="B14" s="136"/>
      <c r="C14" s="102" t="str">
        <f>'Field data and Waste 1'!C14</f>
        <v xml:space="preserve">Grass Silage (25% DM) </v>
      </c>
      <c r="D14" s="102" t="str">
        <f>'Field data and Waste 1'!D14</f>
        <v xml:space="preserve">Grass Silage (25% DM) </v>
      </c>
      <c r="E14" s="102" t="str">
        <f>'Field data and Waste 1'!E14</f>
        <v xml:space="preserve">Grass Silage (25% DM) </v>
      </c>
      <c r="F14" s="102" t="str">
        <f>'Field data and Waste 1'!F14</f>
        <v xml:space="preserve">Grass Silage (25% DM) </v>
      </c>
      <c r="G14" s="102" t="str">
        <f>'Field data and Waste 1'!G14</f>
        <v xml:space="preserve">Grass Silage (25% DM) </v>
      </c>
      <c r="H14" s="102" t="str">
        <f>'Field data and Waste 1'!H14</f>
        <v xml:space="preserve">Grass Silage (25% DM) </v>
      </c>
      <c r="I14" s="102" t="str">
        <f>'Field data and Waste 1'!I14</f>
        <v xml:space="preserve">Grass Silage (25% DM) </v>
      </c>
      <c r="J14" s="102" t="str">
        <f>'Field data and Waste 1'!J14</f>
        <v xml:space="preserve">Grass Silage (25% DM) </v>
      </c>
      <c r="K14" s="102" t="str">
        <f>'Field data and Waste 1'!K14</f>
        <v xml:space="preserve">Grass Silage (25% DM) </v>
      </c>
      <c r="L14" s="102" t="str">
        <f>'Field data and Waste 1'!L14</f>
        <v xml:space="preserve">Grass Silage (25% DM) </v>
      </c>
      <c r="M14" s="102" t="str">
        <f>'Field data and Waste 1'!M14</f>
        <v xml:space="preserve">Grass Silage (25% DM) </v>
      </c>
      <c r="N14" s="102" t="str">
        <f>'Field data and Waste 1'!N14</f>
        <v xml:space="preserve">Grass Silage (25% DM) </v>
      </c>
      <c r="O14" s="102" t="str">
        <f>'Field data and Waste 1'!O14</f>
        <v xml:space="preserve">Grass Silage (25% DM) </v>
      </c>
      <c r="P14" s="102" t="str">
        <f>'Field data and Waste 1'!P14</f>
        <v xml:space="preserve">Grass Silage (25% DM) </v>
      </c>
      <c r="Q14" s="102" t="str">
        <f>'Field data and Waste 1'!Q14</f>
        <v xml:space="preserve">Grass Silage (25% DM) </v>
      </c>
      <c r="R14" s="102" t="str">
        <f>'Field data and Waste 1'!R14</f>
        <v xml:space="preserve">Grass Silage (25% DM) </v>
      </c>
      <c r="S14" s="102" t="str">
        <f>'Field data and Waste 1'!S14</f>
        <v xml:space="preserve">Grass Silage (25% DM) </v>
      </c>
      <c r="T14" s="102" t="str">
        <f>'Field data and Waste 1'!T14</f>
        <v xml:space="preserve">Grass Silage (25% DM) </v>
      </c>
      <c r="U14" s="102" t="str">
        <f>'Field data and Waste 1'!U14</f>
        <v xml:space="preserve">Grass Silage (25% DM) </v>
      </c>
      <c r="V14" s="102" t="str">
        <f>'Field data and Waste 1'!V14</f>
        <v xml:space="preserve">Grass Silage (25% DM) </v>
      </c>
      <c r="AD14" s="30" t="s">
        <v>138</v>
      </c>
      <c r="AE14" s="30">
        <v>6</v>
      </c>
      <c r="AI14" s="53" t="s">
        <v>119</v>
      </c>
      <c r="AJ14" s="54">
        <v>0.8</v>
      </c>
      <c r="AK14" s="55">
        <v>1.7</v>
      </c>
      <c r="AL14" s="11">
        <v>12</v>
      </c>
      <c r="AM14" s="11">
        <v>6.7</v>
      </c>
      <c r="AN14" s="11" t="s">
        <v>135</v>
      </c>
    </row>
    <row r="15" spans="1:41" ht="13" x14ac:dyDescent="0.25">
      <c r="A15" s="135" t="s">
        <v>9</v>
      </c>
      <c r="B15" s="135"/>
      <c r="C15" s="60">
        <f>'Field data and Waste 1'!C15</f>
        <v>38</v>
      </c>
      <c r="D15" s="60">
        <f>'Field data and Waste 1'!D15</f>
        <v>38</v>
      </c>
      <c r="E15" s="60">
        <f>'Field data and Waste 1'!E15</f>
        <v>38</v>
      </c>
      <c r="F15" s="60">
        <f>'Field data and Waste 1'!F15</f>
        <v>38</v>
      </c>
      <c r="G15" s="60">
        <f>'Field data and Waste 1'!G15</f>
        <v>38</v>
      </c>
      <c r="H15" s="60">
        <f>'Field data and Waste 1'!H15</f>
        <v>38</v>
      </c>
      <c r="I15" s="60">
        <f>'Field data and Waste 1'!I15</f>
        <v>38</v>
      </c>
      <c r="J15" s="60">
        <f>'Field data and Waste 1'!J15</f>
        <v>38</v>
      </c>
      <c r="K15" s="60">
        <f>'Field data and Waste 1'!K15</f>
        <v>38</v>
      </c>
      <c r="L15" s="60">
        <f>'Field data and Waste 1'!L15</f>
        <v>38</v>
      </c>
      <c r="M15" s="60">
        <f>'Field data and Waste 1'!M15</f>
        <v>38</v>
      </c>
      <c r="N15" s="60">
        <f>'Field data and Waste 1'!N15</f>
        <v>38</v>
      </c>
      <c r="O15" s="60">
        <f>'Field data and Waste 1'!O15</f>
        <v>38</v>
      </c>
      <c r="P15" s="60">
        <f>'Field data and Waste 1'!P15</f>
        <v>38</v>
      </c>
      <c r="Q15" s="60">
        <f>'Field data and Waste 1'!Q15</f>
        <v>38</v>
      </c>
      <c r="R15" s="60">
        <f>'Field data and Waste 1'!R15</f>
        <v>38</v>
      </c>
      <c r="S15" s="60">
        <f>'Field data and Waste 1'!S15</f>
        <v>38</v>
      </c>
      <c r="T15" s="60">
        <f>'Field data and Waste 1'!T15</f>
        <v>38</v>
      </c>
      <c r="U15" s="60">
        <f>'Field data and Waste 1'!U15</f>
        <v>38</v>
      </c>
      <c r="V15" s="60">
        <f>'Field data and Waste 1'!V15</f>
        <v>38</v>
      </c>
      <c r="AD15" s="30" t="s">
        <v>144</v>
      </c>
      <c r="AE15" s="30">
        <v>7</v>
      </c>
      <c r="AI15" s="53" t="s">
        <v>101</v>
      </c>
      <c r="AJ15" s="62">
        <v>1.8</v>
      </c>
      <c r="AK15" s="55">
        <v>5.4</v>
      </c>
      <c r="AL15" s="11">
        <v>13</v>
      </c>
      <c r="AM15" s="11">
        <v>6.7</v>
      </c>
      <c r="AN15" s="11" t="s">
        <v>135</v>
      </c>
    </row>
    <row r="16" spans="1:41" ht="13.5" thickBot="1" x14ac:dyDescent="0.3">
      <c r="A16" s="137" t="s">
        <v>44</v>
      </c>
      <c r="B16" s="137"/>
      <c r="C16" s="103" t="str">
        <f>'Field data and Waste 1'!C16</f>
        <v>Sandy Loam</v>
      </c>
      <c r="D16" s="103" t="str">
        <f>'Field data and Waste 1'!D16</f>
        <v>Sandy Loam</v>
      </c>
      <c r="E16" s="103" t="str">
        <f>'Field data and Waste 1'!E16</f>
        <v>Sandy Loam</v>
      </c>
      <c r="F16" s="103" t="str">
        <f>'Field data and Waste 1'!F16</f>
        <v>Sandy Loam</v>
      </c>
      <c r="G16" s="103" t="str">
        <f>'Field data and Waste 1'!G16</f>
        <v>Sandy Loam</v>
      </c>
      <c r="H16" s="103" t="str">
        <f>'Field data and Waste 1'!H16</f>
        <v>Sandy Loam</v>
      </c>
      <c r="I16" s="103" t="str">
        <f>'Field data and Waste 1'!I16</f>
        <v>Sandy Loam</v>
      </c>
      <c r="J16" s="103" t="str">
        <f>'Field data and Waste 1'!J16</f>
        <v>Sandy Loam</v>
      </c>
      <c r="K16" s="103" t="str">
        <f>'Field data and Waste 1'!K16</f>
        <v>Sandy Loam</v>
      </c>
      <c r="L16" s="103" t="str">
        <f>'Field data and Waste 1'!L16</f>
        <v>Sandy Loam</v>
      </c>
      <c r="M16" s="103" t="str">
        <f>'Field data and Waste 1'!M16</f>
        <v>Sandy Loam</v>
      </c>
      <c r="N16" s="103" t="str">
        <f>'Field data and Waste 1'!N16</f>
        <v>Sandy Loam</v>
      </c>
      <c r="O16" s="103" t="str">
        <f>'Field data and Waste 1'!O16</f>
        <v>Sandy Loam</v>
      </c>
      <c r="P16" s="103" t="str">
        <f>'Field data and Waste 1'!P16</f>
        <v>Sandy Loam</v>
      </c>
      <c r="Q16" s="103" t="str">
        <f>'Field data and Waste 1'!Q16</f>
        <v>Sandy Loam</v>
      </c>
      <c r="R16" s="103" t="str">
        <f>'Field data and Waste 1'!R16</f>
        <v>Sandy Loam</v>
      </c>
      <c r="S16" s="103" t="str">
        <f>'Field data and Waste 1'!S16</f>
        <v>Sandy Loam</v>
      </c>
      <c r="T16" s="103" t="str">
        <f>'Field data and Waste 1'!T16</f>
        <v>Sandy Loam</v>
      </c>
      <c r="U16" s="103" t="str">
        <f>'Field data and Waste 1'!U16</f>
        <v>Sandy Loam</v>
      </c>
      <c r="V16" s="103" t="str">
        <f>'Field data and Waste 1'!V16</f>
        <v>Sandy Loam</v>
      </c>
      <c r="AD16" s="52" t="s">
        <v>145</v>
      </c>
      <c r="AE16" s="30">
        <v>8</v>
      </c>
      <c r="AI16" s="53" t="s">
        <v>118</v>
      </c>
      <c r="AJ16" s="54">
        <v>8</v>
      </c>
      <c r="AK16" s="55">
        <v>5.5</v>
      </c>
      <c r="AL16" s="12">
        <v>14</v>
      </c>
      <c r="AM16" s="11">
        <v>6.7</v>
      </c>
      <c r="AN16" s="11" t="s">
        <v>135</v>
      </c>
    </row>
    <row r="17" spans="1:40" ht="13" x14ac:dyDescent="0.25">
      <c r="A17" s="133" t="s">
        <v>69</v>
      </c>
      <c r="B17" s="134"/>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f t="shared" si="0"/>
        <v>64.599999999999994</v>
      </c>
      <c r="K17" s="28">
        <f t="shared" si="0"/>
        <v>64.599999999999994</v>
      </c>
      <c r="L17" s="28">
        <f t="shared" si="0"/>
        <v>64.599999999999994</v>
      </c>
      <c r="M17" s="28">
        <f t="shared" si="0"/>
        <v>64.599999999999994</v>
      </c>
      <c r="N17" s="28">
        <f t="shared" si="0"/>
        <v>64.599999999999994</v>
      </c>
      <c r="O17" s="28">
        <f t="shared" si="0"/>
        <v>64.599999999999994</v>
      </c>
      <c r="P17" s="28">
        <f t="shared" si="0"/>
        <v>64.599999999999994</v>
      </c>
      <c r="Q17" s="28">
        <f t="shared" si="0"/>
        <v>64.599999999999994</v>
      </c>
      <c r="R17" s="28">
        <f t="shared" si="0"/>
        <v>64.599999999999994</v>
      </c>
      <c r="S17" s="28">
        <f t="shared" si="0"/>
        <v>64.599999999999994</v>
      </c>
      <c r="T17" s="28">
        <f t="shared" si="0"/>
        <v>64.599999999999994</v>
      </c>
      <c r="U17" s="28">
        <f t="shared" si="0"/>
        <v>64.599999999999994</v>
      </c>
      <c r="V17" s="28">
        <f t="shared" si="0"/>
        <v>64.599999999999994</v>
      </c>
      <c r="AD17" s="52" t="s">
        <v>146</v>
      </c>
      <c r="AE17" s="30">
        <v>10</v>
      </c>
      <c r="AI17" s="48" t="s">
        <v>115</v>
      </c>
      <c r="AJ17" s="49">
        <v>1.4</v>
      </c>
      <c r="AK17" s="50">
        <v>4.8</v>
      </c>
      <c r="AL17" s="51">
        <v>15</v>
      </c>
      <c r="AM17" s="11">
        <v>6.2</v>
      </c>
      <c r="AN17" s="11" t="s">
        <v>112</v>
      </c>
    </row>
    <row r="18" spans="1:40" ht="13" x14ac:dyDescent="0.25">
      <c r="A18" s="131" t="s">
        <v>23</v>
      </c>
      <c r="B18" s="132"/>
      <c r="C18" s="16">
        <f>$D31</f>
        <v>0</v>
      </c>
      <c r="D18" s="16">
        <f>$D32</f>
        <v>0</v>
      </c>
      <c r="E18" s="16">
        <f>$D33</f>
        <v>0</v>
      </c>
      <c r="F18" s="16">
        <f>$D34</f>
        <v>0</v>
      </c>
      <c r="G18" s="16">
        <f>$D35</f>
        <v>0</v>
      </c>
      <c r="H18" s="16">
        <f>$D36</f>
        <v>0</v>
      </c>
      <c r="I18" s="16">
        <f>$D37</f>
        <v>0</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31" t="s">
        <v>90</v>
      </c>
      <c r="B19" s="132"/>
      <c r="C19" s="16">
        <f>C18-C17</f>
        <v>-64.599999999999994</v>
      </c>
      <c r="D19" s="16">
        <f t="shared" ref="D19:V19" si="1">D18-D17</f>
        <v>-64.599999999999994</v>
      </c>
      <c r="E19" s="16">
        <f t="shared" si="1"/>
        <v>-64.599999999999994</v>
      </c>
      <c r="F19" s="16">
        <f t="shared" si="1"/>
        <v>-64.599999999999994</v>
      </c>
      <c r="G19" s="16">
        <f t="shared" si="1"/>
        <v>-64.599999999999994</v>
      </c>
      <c r="H19" s="16">
        <f t="shared" si="1"/>
        <v>-64.599999999999994</v>
      </c>
      <c r="I19" s="16">
        <f t="shared" si="1"/>
        <v>-64.599999999999994</v>
      </c>
      <c r="J19" s="16">
        <f t="shared" si="1"/>
        <v>-64.599999999999994</v>
      </c>
      <c r="K19" s="16">
        <f t="shared" si="1"/>
        <v>-64.599999999999994</v>
      </c>
      <c r="L19" s="16">
        <f t="shared" si="1"/>
        <v>-64.599999999999994</v>
      </c>
      <c r="M19" s="16">
        <f t="shared" si="1"/>
        <v>-64.599999999999994</v>
      </c>
      <c r="N19" s="16">
        <f t="shared" si="1"/>
        <v>-64.599999999999994</v>
      </c>
      <c r="O19" s="16">
        <f t="shared" si="1"/>
        <v>-64.599999999999994</v>
      </c>
      <c r="P19" s="16">
        <f t="shared" si="1"/>
        <v>-64.599999999999994</v>
      </c>
      <c r="Q19" s="16">
        <f t="shared" si="1"/>
        <v>-64.599999999999994</v>
      </c>
      <c r="R19" s="16">
        <f t="shared" si="1"/>
        <v>-64.599999999999994</v>
      </c>
      <c r="S19" s="16">
        <f t="shared" si="1"/>
        <v>-64.599999999999994</v>
      </c>
      <c r="T19" s="16">
        <f t="shared" si="1"/>
        <v>-64.599999999999994</v>
      </c>
      <c r="U19" s="16">
        <f t="shared" si="1"/>
        <v>-64.599999999999994</v>
      </c>
      <c r="V19" s="25">
        <f t="shared" si="1"/>
        <v>-64.599999999999994</v>
      </c>
      <c r="AI19" s="48" t="s">
        <v>107</v>
      </c>
      <c r="AJ19" s="49">
        <v>3.2</v>
      </c>
      <c r="AK19" s="50">
        <v>10.5</v>
      </c>
      <c r="AL19" s="51">
        <v>17</v>
      </c>
      <c r="AM19" s="11">
        <v>6.2</v>
      </c>
      <c r="AN19" s="11" t="s">
        <v>112</v>
      </c>
    </row>
    <row r="20" spans="1:40" ht="13.5" thickBot="1" x14ac:dyDescent="0.3">
      <c r="A20" s="129" t="s">
        <v>91</v>
      </c>
      <c r="B20" s="130"/>
      <c r="C20" s="26" t="str">
        <f>IF($B31="","",IF(C$19&gt;=0,"INCREASE","DECREASE"))</f>
        <v/>
      </c>
      <c r="D20" s="26" t="str">
        <f>IF($B32="","",IF(D$19&gt;=0,"INCREASE","DECREASE"))</f>
        <v/>
      </c>
      <c r="E20" s="26" t="str">
        <f>IF($B33="","",IF(E$19&gt;=0,"INCREASE","DECREASE"))</f>
        <v/>
      </c>
      <c r="F20" s="26" t="str">
        <f>IF($B34="","",IF(F$19&gt;=0,"INCREASE","DECREASE"))</f>
        <v/>
      </c>
      <c r="G20" s="26" t="str">
        <f>IF($B35="","",IF(G$19&gt;=0,"INCREASE","DECREASE"))</f>
        <v/>
      </c>
      <c r="H20" s="26" t="str">
        <f>IF($B36="","",IF(H$19&gt;=0,"INCREASE","DECREASE"))</f>
        <v/>
      </c>
      <c r="I20" s="26" t="str">
        <f>IF($B37="","",IF(I$19&gt;=0,"INCREASE","DECREASE"))</f>
        <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33" t="s">
        <v>88</v>
      </c>
      <c r="B21" s="134"/>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f t="shared" si="2"/>
        <v>228</v>
      </c>
      <c r="K21" s="28">
        <f t="shared" si="2"/>
        <v>228</v>
      </c>
      <c r="L21" s="28">
        <f t="shared" si="2"/>
        <v>228</v>
      </c>
      <c r="M21" s="28">
        <f t="shared" si="2"/>
        <v>228</v>
      </c>
      <c r="N21" s="28">
        <f t="shared" si="2"/>
        <v>228</v>
      </c>
      <c r="O21" s="28">
        <f t="shared" si="2"/>
        <v>228</v>
      </c>
      <c r="P21" s="28">
        <f t="shared" si="2"/>
        <v>228</v>
      </c>
      <c r="Q21" s="28">
        <f t="shared" si="2"/>
        <v>228</v>
      </c>
      <c r="R21" s="28">
        <f t="shared" si="2"/>
        <v>228</v>
      </c>
      <c r="S21" s="28">
        <f t="shared" si="2"/>
        <v>228</v>
      </c>
      <c r="T21" s="28">
        <f t="shared" si="2"/>
        <v>228</v>
      </c>
      <c r="U21" s="28">
        <f t="shared" si="2"/>
        <v>228</v>
      </c>
      <c r="V21" s="28">
        <f t="shared" si="2"/>
        <v>228</v>
      </c>
      <c r="AI21" s="63" t="s">
        <v>100</v>
      </c>
      <c r="AJ21" s="66">
        <v>11</v>
      </c>
      <c r="AK21" s="65">
        <v>12</v>
      </c>
      <c r="AL21" s="29">
        <v>19</v>
      </c>
      <c r="AM21" s="11">
        <v>6.7</v>
      </c>
      <c r="AN21" s="11" t="s">
        <v>135</v>
      </c>
    </row>
    <row r="22" spans="1:40" ht="13" x14ac:dyDescent="0.25">
      <c r="A22" s="131" t="s">
        <v>89</v>
      </c>
      <c r="B22" s="132"/>
      <c r="C22" s="16">
        <f>$E31</f>
        <v>0</v>
      </c>
      <c r="D22" s="16">
        <f>$E32</f>
        <v>0</v>
      </c>
      <c r="E22" s="16">
        <f>$E33</f>
        <v>0</v>
      </c>
      <c r="F22" s="16">
        <f>$E34</f>
        <v>0</v>
      </c>
      <c r="G22" s="16">
        <f>$E35</f>
        <v>0</v>
      </c>
      <c r="H22" s="16">
        <f>$E36</f>
        <v>0</v>
      </c>
      <c r="I22" s="16">
        <f>$E37</f>
        <v>0</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31" t="s">
        <v>92</v>
      </c>
      <c r="B23" s="132"/>
      <c r="C23" s="16">
        <f>C22-C21</f>
        <v>-228</v>
      </c>
      <c r="D23" s="16">
        <f t="shared" ref="D23:V23" si="3">D22-D21</f>
        <v>-228</v>
      </c>
      <c r="E23" s="16">
        <f t="shared" si="3"/>
        <v>-228</v>
      </c>
      <c r="F23" s="16">
        <f t="shared" si="3"/>
        <v>-228</v>
      </c>
      <c r="G23" s="16">
        <f t="shared" si="3"/>
        <v>-228</v>
      </c>
      <c r="H23" s="16">
        <f t="shared" si="3"/>
        <v>-228</v>
      </c>
      <c r="I23" s="16">
        <f t="shared" si="3"/>
        <v>-228</v>
      </c>
      <c r="J23" s="16">
        <f t="shared" si="3"/>
        <v>-228</v>
      </c>
      <c r="K23" s="16">
        <f t="shared" si="3"/>
        <v>-228</v>
      </c>
      <c r="L23" s="16">
        <f t="shared" si="3"/>
        <v>-228</v>
      </c>
      <c r="M23" s="16">
        <f t="shared" si="3"/>
        <v>-228</v>
      </c>
      <c r="N23" s="16">
        <f t="shared" si="3"/>
        <v>-228</v>
      </c>
      <c r="O23" s="16">
        <f t="shared" si="3"/>
        <v>-228</v>
      </c>
      <c r="P23" s="16">
        <f t="shared" si="3"/>
        <v>-228</v>
      </c>
      <c r="Q23" s="16">
        <f t="shared" si="3"/>
        <v>-228</v>
      </c>
      <c r="R23" s="16">
        <f t="shared" si="3"/>
        <v>-228</v>
      </c>
      <c r="S23" s="16">
        <f t="shared" si="3"/>
        <v>-228</v>
      </c>
      <c r="T23" s="16">
        <f t="shared" si="3"/>
        <v>-228</v>
      </c>
      <c r="U23" s="16">
        <f t="shared" si="3"/>
        <v>-228</v>
      </c>
      <c r="V23" s="16">
        <f t="shared" si="3"/>
        <v>-228</v>
      </c>
      <c r="AI23" s="63" t="s">
        <v>98</v>
      </c>
      <c r="AJ23" s="66">
        <v>9</v>
      </c>
      <c r="AK23" s="65">
        <v>10</v>
      </c>
      <c r="AL23" s="29">
        <v>21</v>
      </c>
      <c r="AM23" s="11">
        <v>6.7</v>
      </c>
      <c r="AN23" s="11" t="s">
        <v>135</v>
      </c>
    </row>
    <row r="24" spans="1:40" ht="13.5" thickBot="1" x14ac:dyDescent="0.3">
      <c r="A24" s="129" t="s">
        <v>93</v>
      </c>
      <c r="B24" s="130"/>
      <c r="C24" s="26" t="str">
        <f>IF($B31="","",IF(C$23&gt;=0,"INCREASE","DECREASE"))</f>
        <v/>
      </c>
      <c r="D24" s="26" t="str">
        <f t="shared" ref="D24:V24" si="4">IF($B31="","",IF(D$23&gt;=0,"INCREASE","DECREASE"))</f>
        <v/>
      </c>
      <c r="E24" s="26" t="str">
        <f t="shared" si="4"/>
        <v/>
      </c>
      <c r="F24" s="26" t="str">
        <f t="shared" si="4"/>
        <v/>
      </c>
      <c r="G24" s="26" t="str">
        <f t="shared" si="4"/>
        <v/>
      </c>
      <c r="H24" s="26" t="str">
        <f t="shared" si="4"/>
        <v/>
      </c>
      <c r="I24" s="26" t="str">
        <f t="shared" si="4"/>
        <v/>
      </c>
      <c r="J24" s="26" t="str">
        <f t="shared" si="4"/>
        <v/>
      </c>
      <c r="K24" s="26" t="str">
        <f t="shared" si="4"/>
        <v/>
      </c>
      <c r="L24" s="26" t="str">
        <f t="shared" si="4"/>
        <v/>
      </c>
      <c r="M24" s="26" t="str">
        <f t="shared" si="4"/>
        <v/>
      </c>
      <c r="N24" s="26" t="str">
        <f t="shared" si="4"/>
        <v/>
      </c>
      <c r="O24" s="26" t="str">
        <f t="shared" si="4"/>
        <v/>
      </c>
      <c r="P24" s="26" t="str">
        <f t="shared" si="4"/>
        <v/>
      </c>
      <c r="Q24" s="26" t="str">
        <f t="shared" si="4"/>
        <v/>
      </c>
      <c r="R24" s="26" t="str">
        <f t="shared" si="4"/>
        <v/>
      </c>
      <c r="S24" s="26" t="str">
        <f t="shared" si="4"/>
        <v/>
      </c>
      <c r="T24" s="26" t="str">
        <f t="shared" si="4"/>
        <v/>
      </c>
      <c r="U24" s="26" t="str">
        <f t="shared" si="4"/>
        <v/>
      </c>
      <c r="V24" s="26" t="str">
        <f t="shared" si="4"/>
        <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c r="D27" s="107"/>
      <c r="E27" s="107"/>
      <c r="F27" s="107"/>
      <c r="G27" s="107"/>
      <c r="H27" s="107"/>
      <c r="I27" s="107"/>
      <c r="J27" s="107"/>
      <c r="K27" s="107"/>
      <c r="L27" s="107"/>
      <c r="M27" s="107"/>
      <c r="N27" s="107"/>
      <c r="O27" s="107"/>
      <c r="P27" s="107"/>
      <c r="Q27" s="107"/>
      <c r="R27" s="107"/>
      <c r="S27" s="107"/>
      <c r="T27" s="107"/>
      <c r="U27" s="107"/>
    </row>
    <row r="28" spans="1:40" s="57" customFormat="1" x14ac:dyDescent="0.35">
      <c r="A28" s="108"/>
      <c r="B28" s="24"/>
      <c r="C28" s="15"/>
      <c r="D28" s="15"/>
      <c r="E28" s="15"/>
      <c r="F28" s="15"/>
      <c r="G28" s="15"/>
      <c r="H28" s="15"/>
      <c r="I28" s="15"/>
      <c r="J28" s="15"/>
      <c r="K28" s="23"/>
      <c r="L28" s="15"/>
      <c r="M28" s="15"/>
      <c r="N28" s="15"/>
      <c r="O28" s="15"/>
      <c r="P28" s="15"/>
      <c r="Q28" s="15"/>
      <c r="R28" s="15"/>
      <c r="S28" s="15"/>
      <c r="T28" s="15"/>
      <c r="U28" s="15"/>
    </row>
    <row r="29" spans="1:40" s="7" customFormat="1" ht="28" x14ac:dyDescent="0.35">
      <c r="A29" s="13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3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c r="C33" s="77">
        <f t="shared" si="6"/>
        <v>0</v>
      </c>
      <c r="D33" s="77">
        <f t="shared" si="7"/>
        <v>0</v>
      </c>
      <c r="E33" s="77">
        <f t="shared" si="8"/>
        <v>0</v>
      </c>
      <c r="F33" s="77">
        <f t="shared" si="9"/>
        <v>0</v>
      </c>
      <c r="G33" s="77">
        <f t="shared" si="5"/>
        <v>0</v>
      </c>
      <c r="H33" s="77">
        <f t="shared" si="5"/>
        <v>0</v>
      </c>
      <c r="I33" s="77">
        <f t="shared" si="5"/>
        <v>0</v>
      </c>
      <c r="J33" s="77">
        <f t="shared" si="5"/>
        <v>0</v>
      </c>
      <c r="K33" s="77">
        <f t="shared" si="5"/>
        <v>0</v>
      </c>
      <c r="L33" s="77">
        <f t="shared" si="5"/>
        <v>0</v>
      </c>
      <c r="M33" s="77">
        <f t="shared" si="5"/>
        <v>0</v>
      </c>
      <c r="N33" s="77">
        <f t="shared" si="5"/>
        <v>0</v>
      </c>
      <c r="O33" s="77">
        <f t="shared" si="5"/>
        <v>0</v>
      </c>
      <c r="P33" s="77">
        <f t="shared" si="5"/>
        <v>0</v>
      </c>
      <c r="Q33" s="77">
        <f t="shared" si="10"/>
        <v>0</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c r="C34" s="77">
        <f t="shared" si="6"/>
        <v>0</v>
      </c>
      <c r="D34" s="77">
        <f t="shared" si="7"/>
        <v>0</v>
      </c>
      <c r="E34" s="77">
        <f t="shared" si="8"/>
        <v>0</v>
      </c>
      <c r="F34" s="77">
        <f t="shared" si="9"/>
        <v>0</v>
      </c>
      <c r="G34" s="77">
        <f t="shared" si="5"/>
        <v>0</v>
      </c>
      <c r="H34" s="77">
        <f t="shared" si="5"/>
        <v>0</v>
      </c>
      <c r="I34" s="77">
        <f t="shared" si="5"/>
        <v>0</v>
      </c>
      <c r="J34" s="77">
        <f t="shared" si="5"/>
        <v>0</v>
      </c>
      <c r="K34" s="77">
        <f t="shared" si="5"/>
        <v>0</v>
      </c>
      <c r="L34" s="77">
        <f t="shared" si="5"/>
        <v>0</v>
      </c>
      <c r="M34" s="77">
        <f t="shared" si="5"/>
        <v>0</v>
      </c>
      <c r="N34" s="77">
        <f t="shared" si="5"/>
        <v>0</v>
      </c>
      <c r="O34" s="77">
        <f t="shared" si="5"/>
        <v>0</v>
      </c>
      <c r="P34" s="77">
        <f t="shared" si="5"/>
        <v>0</v>
      </c>
      <c r="Q34" s="77">
        <f t="shared" si="10"/>
        <v>0</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c r="C36" s="77">
        <f t="shared" si="6"/>
        <v>0</v>
      </c>
      <c r="D36" s="77">
        <f t="shared" si="7"/>
        <v>0</v>
      </c>
      <c r="E36" s="77">
        <f t="shared" si="8"/>
        <v>0</v>
      </c>
      <c r="F36" s="77">
        <f t="shared" si="9"/>
        <v>0</v>
      </c>
      <c r="G36" s="77">
        <f t="shared" si="5"/>
        <v>0</v>
      </c>
      <c r="H36" s="77">
        <f t="shared" si="5"/>
        <v>0</v>
      </c>
      <c r="I36" s="77">
        <f t="shared" si="5"/>
        <v>0</v>
      </c>
      <c r="J36" s="77">
        <f t="shared" si="5"/>
        <v>0</v>
      </c>
      <c r="K36" s="77">
        <f t="shared" si="5"/>
        <v>0</v>
      </c>
      <c r="L36" s="77">
        <f t="shared" si="5"/>
        <v>0</v>
      </c>
      <c r="M36" s="77">
        <f t="shared" si="5"/>
        <v>0</v>
      </c>
      <c r="N36" s="77">
        <f t="shared" si="5"/>
        <v>0</v>
      </c>
      <c r="O36" s="77">
        <f t="shared" si="5"/>
        <v>0</v>
      </c>
      <c r="P36" s="77">
        <f t="shared" si="5"/>
        <v>0</v>
      </c>
      <c r="Q36" s="77">
        <f t="shared" si="10"/>
        <v>0</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c r="C37" s="77">
        <f t="shared" si="6"/>
        <v>0</v>
      </c>
      <c r="D37" s="77">
        <f t="shared" si="7"/>
        <v>0</v>
      </c>
      <c r="E37" s="77">
        <f t="shared" si="8"/>
        <v>0</v>
      </c>
      <c r="F37" s="77">
        <f t="shared" si="9"/>
        <v>0</v>
      </c>
      <c r="G37" s="77">
        <f t="shared" si="5"/>
        <v>0</v>
      </c>
      <c r="H37" s="77">
        <f t="shared" si="5"/>
        <v>0</v>
      </c>
      <c r="I37" s="77">
        <f t="shared" si="5"/>
        <v>0</v>
      </c>
      <c r="J37" s="77">
        <f t="shared" si="5"/>
        <v>0</v>
      </c>
      <c r="K37" s="77">
        <f t="shared" si="5"/>
        <v>0</v>
      </c>
      <c r="L37" s="77">
        <f t="shared" si="5"/>
        <v>0</v>
      </c>
      <c r="M37" s="77">
        <f t="shared" si="5"/>
        <v>0</v>
      </c>
      <c r="N37" s="77">
        <f t="shared" si="5"/>
        <v>0</v>
      </c>
      <c r="O37" s="77">
        <f t="shared" si="5"/>
        <v>0</v>
      </c>
      <c r="P37" s="77">
        <f t="shared" si="5"/>
        <v>0</v>
      </c>
      <c r="Q37" s="77">
        <f t="shared" si="10"/>
        <v>0</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8</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9</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10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11</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12</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13</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14</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16</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17</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18</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19</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8</v>
      </c>
      <c r="J57" s="8">
        <f t="shared" si="13"/>
        <v>9</v>
      </c>
      <c r="K57" s="8">
        <f t="shared" si="13"/>
        <v>10</v>
      </c>
      <c r="L57" s="8">
        <f t="shared" si="13"/>
        <v>11</v>
      </c>
      <c r="M57" s="8">
        <f t="shared" si="13"/>
        <v>12</v>
      </c>
      <c r="N57" s="8">
        <f t="shared" si="13"/>
        <v>13</v>
      </c>
      <c r="O57" s="8">
        <f t="shared" si="13"/>
        <v>14</v>
      </c>
      <c r="P57" s="8">
        <f t="shared" si="13"/>
        <v>16</v>
      </c>
      <c r="Q57" s="8">
        <f t="shared" si="13"/>
        <v>17</v>
      </c>
      <c r="R57" s="8">
        <f t="shared" si="13"/>
        <v>18</v>
      </c>
      <c r="S57" s="8">
        <f t="shared" si="13"/>
        <v>19</v>
      </c>
      <c r="T57" s="8">
        <f t="shared" si="13"/>
        <v>0</v>
      </c>
      <c r="U57" s="8">
        <f t="shared" si="13"/>
        <v>0</v>
      </c>
    </row>
    <row r="58" spans="1:35" s="19" customFormat="1" ht="13" x14ac:dyDescent="0.35">
      <c r="A58" s="92" t="s">
        <v>136</v>
      </c>
      <c r="B58" s="13" t="str">
        <f>C16&amp;" I "&amp;(VLOOKUP(C14,Table2456[],6,FALSE))</f>
        <v>Sandy Loam I Grass</v>
      </c>
      <c r="C58" s="13" t="str">
        <f>D16&amp;" I "&amp;(VLOOKUP(D14,Table2456[],6,FALSE))</f>
        <v>Sandy Loam I Grass</v>
      </c>
      <c r="D58" s="13" t="str">
        <f>E16&amp;" I "&amp;(VLOOKUP(E14,Table2456[],6,FALSE))</f>
        <v>Sandy Loam I Grass</v>
      </c>
      <c r="E58" s="13" t="str">
        <f>F16&amp;" I "&amp;(VLOOKUP(F14,Table2456[],6,FALSE))</f>
        <v>Sandy Loam I Grass</v>
      </c>
      <c r="F58" s="13" t="str">
        <f>G16&amp;" I "&amp;(VLOOKUP(G14,Table2456[],6,FALSE))</f>
        <v>Sandy Loam I Grass</v>
      </c>
      <c r="G58" s="13" t="str">
        <f>H16&amp;" I "&amp;(VLOOKUP(H14,Table2456[],6,FALSE))</f>
        <v>Sandy Loam I Grass</v>
      </c>
      <c r="H58" s="13" t="str">
        <f>I16&amp;" I "&amp;(VLOOKUP(I14,Table2456[],6,FALSE))</f>
        <v>Sandy Loam I Grass</v>
      </c>
      <c r="I58" s="13" t="str">
        <f>J16&amp;" I "&amp;(VLOOKUP(J14,Table2456[],6,FALSE))</f>
        <v>Sandy Loam I Grass</v>
      </c>
      <c r="J58" s="13" t="str">
        <f>K16&amp;" I "&amp;(VLOOKUP(K14,Table2456[],6,FALSE))</f>
        <v>Sandy Loam I Grass</v>
      </c>
      <c r="K58" s="13" t="str">
        <f>L16&amp;" I "&amp;(VLOOKUP(L14,Table2456[],6,FALSE))</f>
        <v>Sandy Loam I Grass</v>
      </c>
      <c r="L58" s="13" t="str">
        <f>M16&amp;" I "&amp;(VLOOKUP(M14,Table2456[],6,FALSE))</f>
        <v>Sandy Loam I Grass</v>
      </c>
      <c r="M58" s="13" t="str">
        <f>N16&amp;" I "&amp;(VLOOKUP(N14,Table2456[],6,FALSE))</f>
        <v>Sandy Loam I Grass</v>
      </c>
      <c r="N58" s="13" t="str">
        <f>O16&amp;" I "&amp;(VLOOKUP(O14,Table2456[],6,FALSE))</f>
        <v>Sandy Loam I Grass</v>
      </c>
      <c r="O58" s="13" t="str">
        <f>P16&amp;" I "&amp;(VLOOKUP(P14,Table2456[],6,FALSE))</f>
        <v>Sandy Loam I Grass</v>
      </c>
      <c r="P58" s="13" t="str">
        <f>Q16&amp;" I "&amp;(VLOOKUP(Q14,Table2456[],6,FALSE))</f>
        <v>Sandy Loam I Grass</v>
      </c>
      <c r="Q58" s="13" t="str">
        <f>R16&amp;" I "&amp;(VLOOKUP(R14,Table2456[],6,FALSE))</f>
        <v>Sandy Loam I Grass</v>
      </c>
      <c r="R58" s="13" t="str">
        <f>S16&amp;" I "&amp;(VLOOKUP(S14,Table2456[],6,FALSE))</f>
        <v>Sandy Loam I Grass</v>
      </c>
      <c r="S58" s="13" t="str">
        <f>T16&amp;" I "&amp;(VLOOKUP(T14,Table2456[],6,FALSE))</f>
        <v>Sandy Loam I Grass</v>
      </c>
      <c r="T58" s="13" t="str">
        <f>U16&amp;" I "&amp;(VLOOKUP(U14,Table2456[],6,FALSE))</f>
        <v>Sandy Loam I Grass</v>
      </c>
      <c r="U58" s="13" t="str">
        <f>V16&amp;" I "&amp;(VLOOKUP(V14,Table2456[],6,FALSE))</f>
        <v>Sandy Loam I Grass</v>
      </c>
    </row>
    <row r="59" spans="1:35" s="19" customFormat="1" ht="13" x14ac:dyDescent="0.3">
      <c r="A59" s="111" t="s">
        <v>132</v>
      </c>
      <c r="B59" s="76">
        <f>VLOOKUP(C$14,Table2456[],5,FALSE)</f>
        <v>6.2</v>
      </c>
      <c r="C59" s="76">
        <f>VLOOKUP(D$14,Table2456[],5,FALSE)</f>
        <v>6.2</v>
      </c>
      <c r="D59" s="76">
        <f>VLOOKUP(E$14,Table2456[],5,FALSE)</f>
        <v>6.2</v>
      </c>
      <c r="E59" s="76">
        <f>VLOOKUP(F$14,Table2456[],5,FALSE)</f>
        <v>6.2</v>
      </c>
      <c r="F59" s="76">
        <f>VLOOKUP(G$14,Table2456[],5,FALSE)</f>
        <v>6.2</v>
      </c>
      <c r="G59" s="76">
        <f>VLOOKUP(H$14,Table2456[],5,FALSE)</f>
        <v>6.2</v>
      </c>
      <c r="H59" s="76">
        <f>VLOOKUP(I$14,Table2456[],5,FALSE)</f>
        <v>6.2</v>
      </c>
      <c r="I59" s="76">
        <f>VLOOKUP(J$14,Table2456[],5,FALSE)</f>
        <v>6.2</v>
      </c>
      <c r="J59" s="76">
        <f>VLOOKUP(K$14,Table2456[],5,FALSE)</f>
        <v>6.2</v>
      </c>
      <c r="K59" s="76">
        <f>VLOOKUP(L$14,Table2456[],5,FALSE)</f>
        <v>6.2</v>
      </c>
      <c r="L59" s="76">
        <f>VLOOKUP(M$14,Table2456[],5,FALSE)</f>
        <v>6.2</v>
      </c>
      <c r="M59" s="76">
        <f>VLOOKUP(N$14,Table2456[],5,FALSE)</f>
        <v>6.2</v>
      </c>
      <c r="N59" s="76">
        <f>VLOOKUP(O$14,Table2456[],5,FALSE)</f>
        <v>6.2</v>
      </c>
      <c r="O59" s="76">
        <f>VLOOKUP(P$14,Table2456[],5,FALSE)</f>
        <v>6.2</v>
      </c>
      <c r="P59" s="76">
        <f>VLOOKUP(Q$14,Table2456[],5,FALSE)</f>
        <v>6.2</v>
      </c>
      <c r="Q59" s="76">
        <f>VLOOKUP(R$14,Table2456[],5,FALSE)</f>
        <v>6.2</v>
      </c>
      <c r="R59" s="76">
        <f>VLOOKUP(S$14,Table2456[],5,FALSE)</f>
        <v>6.2</v>
      </c>
      <c r="S59" s="76">
        <f>VLOOKUP(T$14,Table2456[],5,FALSE)</f>
        <v>6.2</v>
      </c>
      <c r="T59" s="76">
        <f>VLOOKUP(U$14,Table2456[],5,FALSE)</f>
        <v>6.2</v>
      </c>
      <c r="U59" s="76">
        <f>VLOOKUP(V$14,Table2456[],5,FALSE)</f>
        <v>6.2</v>
      </c>
    </row>
    <row r="60" spans="1:35" s="19" customFormat="1" ht="13" x14ac:dyDescent="0.3">
      <c r="A60" s="111" t="s">
        <v>4</v>
      </c>
      <c r="B60" s="76">
        <f>C10</f>
        <v>6.2</v>
      </c>
      <c r="C60" s="76">
        <f t="shared" ref="C60:U60" si="14">D10</f>
        <v>6.5</v>
      </c>
      <c r="D60" s="76">
        <f t="shared" si="14"/>
        <v>6.1</v>
      </c>
      <c r="E60" s="76">
        <f t="shared" si="14"/>
        <v>6.2</v>
      </c>
      <c r="F60" s="76">
        <f t="shared" si="14"/>
        <v>6</v>
      </c>
      <c r="G60" s="76">
        <f t="shared" si="14"/>
        <v>6.1</v>
      </c>
      <c r="H60" s="76">
        <f t="shared" si="14"/>
        <v>6.7</v>
      </c>
      <c r="I60" s="76">
        <f t="shared" si="14"/>
        <v>6.1</v>
      </c>
      <c r="J60" s="76">
        <f t="shared" si="14"/>
        <v>6</v>
      </c>
      <c r="K60" s="76">
        <f t="shared" si="14"/>
        <v>5.9</v>
      </c>
      <c r="L60" s="76">
        <f t="shared" si="14"/>
        <v>5.9</v>
      </c>
      <c r="M60" s="76">
        <f t="shared" si="14"/>
        <v>5.8</v>
      </c>
      <c r="N60" s="76">
        <f t="shared" si="14"/>
        <v>5.8</v>
      </c>
      <c r="O60" s="76">
        <f t="shared" si="14"/>
        <v>6.4</v>
      </c>
      <c r="P60" s="76">
        <f t="shared" si="14"/>
        <v>6.6</v>
      </c>
      <c r="Q60" s="76">
        <f t="shared" si="14"/>
        <v>6.5</v>
      </c>
      <c r="R60" s="76">
        <f t="shared" si="14"/>
        <v>7.3</v>
      </c>
      <c r="S60" s="76">
        <f t="shared" si="14"/>
        <v>7.1</v>
      </c>
      <c r="T60" s="76">
        <f t="shared" si="14"/>
        <v>0</v>
      </c>
      <c r="U60" s="76">
        <f t="shared" si="14"/>
        <v>0</v>
      </c>
    </row>
    <row r="61" spans="1:35" s="19" customFormat="1" ht="13" x14ac:dyDescent="0.3">
      <c r="A61" s="111" t="s">
        <v>133</v>
      </c>
      <c r="B61" s="76">
        <f t="shared" ref="B61:U61" si="15">VLOOKUP(B58,$AD9:$AE18,2,FALSE)</f>
        <v>5</v>
      </c>
      <c r="C61" s="76">
        <f t="shared" si="15"/>
        <v>5</v>
      </c>
      <c r="D61" s="76">
        <f t="shared" si="15"/>
        <v>5</v>
      </c>
      <c r="E61" s="76">
        <f t="shared" si="15"/>
        <v>5</v>
      </c>
      <c r="F61" s="76">
        <f t="shared" si="15"/>
        <v>5</v>
      </c>
      <c r="G61" s="76">
        <f t="shared" si="15"/>
        <v>5</v>
      </c>
      <c r="H61" s="76">
        <f t="shared" si="15"/>
        <v>5</v>
      </c>
      <c r="I61" s="76">
        <f t="shared" si="15"/>
        <v>5</v>
      </c>
      <c r="J61" s="76">
        <f t="shared" si="15"/>
        <v>5</v>
      </c>
      <c r="K61" s="76">
        <f t="shared" si="15"/>
        <v>5</v>
      </c>
      <c r="L61" s="76">
        <f t="shared" si="15"/>
        <v>5</v>
      </c>
      <c r="M61" s="76">
        <f t="shared" si="15"/>
        <v>5</v>
      </c>
      <c r="N61" s="76">
        <f t="shared" si="15"/>
        <v>5</v>
      </c>
      <c r="O61" s="76">
        <f t="shared" si="15"/>
        <v>5</v>
      </c>
      <c r="P61" s="76">
        <f t="shared" si="15"/>
        <v>5</v>
      </c>
      <c r="Q61" s="76">
        <f t="shared" si="15"/>
        <v>5</v>
      </c>
      <c r="R61" s="76">
        <f t="shared" si="15"/>
        <v>5</v>
      </c>
      <c r="S61" s="76">
        <f t="shared" si="15"/>
        <v>5</v>
      </c>
      <c r="T61" s="76">
        <f t="shared" si="15"/>
        <v>5</v>
      </c>
      <c r="U61" s="76">
        <f t="shared" si="15"/>
        <v>5</v>
      </c>
    </row>
    <row r="62" spans="1:35" s="19" customFormat="1" ht="13" x14ac:dyDescent="0.3">
      <c r="A62" s="111" t="s">
        <v>134</v>
      </c>
      <c r="B62" s="77">
        <f>B31</f>
        <v>0</v>
      </c>
      <c r="C62" s="77">
        <f>B32</f>
        <v>0</v>
      </c>
      <c r="D62" s="77">
        <f>B33</f>
        <v>0</v>
      </c>
      <c r="E62" s="77">
        <f>B34</f>
        <v>0</v>
      </c>
      <c r="F62" s="77">
        <f>B35</f>
        <v>0</v>
      </c>
      <c r="G62" s="77">
        <f>B36</f>
        <v>0</v>
      </c>
      <c r="H62" s="77">
        <f>B37</f>
        <v>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0</v>
      </c>
      <c r="C64" s="77">
        <f t="shared" ref="C64:U64" si="17">(C59-C60)*C61</f>
        <v>-1.4999999999999991</v>
      </c>
      <c r="D64" s="77">
        <f t="shared" si="17"/>
        <v>0.50000000000000266</v>
      </c>
      <c r="E64" s="77">
        <f t="shared" si="17"/>
        <v>0</v>
      </c>
      <c r="F64" s="77">
        <f t="shared" si="17"/>
        <v>1.0000000000000009</v>
      </c>
      <c r="G64" s="77">
        <f t="shared" si="17"/>
        <v>0.50000000000000266</v>
      </c>
      <c r="H64" s="77">
        <f t="shared" si="17"/>
        <v>-2.5</v>
      </c>
      <c r="I64" s="77">
        <f t="shared" si="17"/>
        <v>0.50000000000000266</v>
      </c>
      <c r="J64" s="77">
        <f t="shared" si="17"/>
        <v>1.0000000000000009</v>
      </c>
      <c r="K64" s="77">
        <f t="shared" si="17"/>
        <v>1.4999999999999991</v>
      </c>
      <c r="L64" s="77">
        <f t="shared" si="17"/>
        <v>1.4999999999999991</v>
      </c>
      <c r="M64" s="77">
        <f t="shared" si="17"/>
        <v>2.0000000000000018</v>
      </c>
      <c r="N64" s="77">
        <f t="shared" si="17"/>
        <v>2.0000000000000018</v>
      </c>
      <c r="O64" s="77">
        <f t="shared" si="17"/>
        <v>-1.0000000000000009</v>
      </c>
      <c r="P64" s="77">
        <f t="shared" si="17"/>
        <v>-1.9999999999999973</v>
      </c>
      <c r="Q64" s="77">
        <f t="shared" si="17"/>
        <v>-1.4999999999999991</v>
      </c>
      <c r="R64" s="77">
        <f t="shared" si="17"/>
        <v>-5.4999999999999982</v>
      </c>
      <c r="S64" s="77">
        <f t="shared" si="17"/>
        <v>-4.4999999999999973</v>
      </c>
      <c r="T64" s="77">
        <f t="shared" si="17"/>
        <v>31</v>
      </c>
      <c r="U64" s="77">
        <f t="shared" si="17"/>
        <v>31</v>
      </c>
    </row>
    <row r="65" spans="1:21" s="19" customFormat="1" ht="52" x14ac:dyDescent="0.3">
      <c r="A65" s="112" t="s">
        <v>157</v>
      </c>
      <c r="B65" s="77">
        <f>B63-B64</f>
        <v>0</v>
      </c>
      <c r="C65" s="77">
        <f t="shared" ref="C65:U65" si="18">C63-C64</f>
        <v>1.4999999999999991</v>
      </c>
      <c r="D65" s="77">
        <f t="shared" si="18"/>
        <v>-0.50000000000000266</v>
      </c>
      <c r="E65" s="77">
        <f t="shared" si="18"/>
        <v>0</v>
      </c>
      <c r="F65" s="77">
        <f t="shared" si="18"/>
        <v>-1.0000000000000009</v>
      </c>
      <c r="G65" s="77">
        <f t="shared" si="18"/>
        <v>-0.50000000000000266</v>
      </c>
      <c r="H65" s="77">
        <f t="shared" si="18"/>
        <v>2.5</v>
      </c>
      <c r="I65" s="77">
        <f t="shared" si="18"/>
        <v>-0.50000000000000266</v>
      </c>
      <c r="J65" s="77">
        <f t="shared" si="18"/>
        <v>-1.0000000000000009</v>
      </c>
      <c r="K65" s="77">
        <f t="shared" si="18"/>
        <v>-1.4999999999999991</v>
      </c>
      <c r="L65" s="77">
        <f t="shared" si="18"/>
        <v>-1.4999999999999991</v>
      </c>
      <c r="M65" s="77">
        <f t="shared" si="18"/>
        <v>-2.0000000000000018</v>
      </c>
      <c r="N65" s="77">
        <f t="shared" si="18"/>
        <v>-2.0000000000000018</v>
      </c>
      <c r="O65" s="77">
        <f t="shared" si="18"/>
        <v>1.0000000000000009</v>
      </c>
      <c r="P65" s="77">
        <f t="shared" si="18"/>
        <v>1.9999999999999973</v>
      </c>
      <c r="Q65" s="77">
        <f t="shared" si="18"/>
        <v>1.4999999999999991</v>
      </c>
      <c r="R65" s="77">
        <f t="shared" si="18"/>
        <v>5.4999999999999982</v>
      </c>
      <c r="S65" s="77">
        <f t="shared" si="18"/>
        <v>4.4999999999999973</v>
      </c>
      <c r="T65" s="77">
        <f t="shared" si="18"/>
        <v>-31</v>
      </c>
      <c r="U65" s="77">
        <f t="shared" si="18"/>
        <v>-31</v>
      </c>
    </row>
    <row r="66" spans="1:21" s="19" customFormat="1" ht="26" x14ac:dyDescent="0.3">
      <c r="A66" s="112" t="s">
        <v>148</v>
      </c>
      <c r="B66" s="78" t="str">
        <f>IF(B64&lt;=B63,"OVER","UNDER")</f>
        <v>OVER</v>
      </c>
      <c r="C66" s="78" t="str">
        <f t="shared" ref="C66:U66" si="19">IF(C64&lt;=C63,"OVER","UNDER")</f>
        <v>OVER</v>
      </c>
      <c r="D66" s="78" t="str">
        <f t="shared" si="19"/>
        <v>UNDER</v>
      </c>
      <c r="E66" s="78" t="str">
        <f t="shared" si="19"/>
        <v>OVER</v>
      </c>
      <c r="F66" s="78" t="str">
        <f t="shared" si="19"/>
        <v>UNDER</v>
      </c>
      <c r="G66" s="78" t="str">
        <f t="shared" si="19"/>
        <v>UNDER</v>
      </c>
      <c r="H66" s="78" t="str">
        <f t="shared" si="19"/>
        <v>OVER</v>
      </c>
      <c r="I66" s="78" t="str">
        <f t="shared" si="19"/>
        <v>UNDER</v>
      </c>
      <c r="J66" s="78" t="str">
        <f t="shared" si="19"/>
        <v>UNDER</v>
      </c>
      <c r="K66" s="78" t="str">
        <f t="shared" si="19"/>
        <v>UNDER</v>
      </c>
      <c r="L66" s="78" t="str">
        <f t="shared" si="19"/>
        <v>UNDER</v>
      </c>
      <c r="M66" s="78" t="str">
        <f t="shared" si="19"/>
        <v>UNDER</v>
      </c>
      <c r="N66" s="78" t="str">
        <f t="shared" si="19"/>
        <v>UNDER</v>
      </c>
      <c r="O66" s="78" t="str">
        <f t="shared" si="19"/>
        <v>OVER</v>
      </c>
      <c r="P66" s="78" t="str">
        <f t="shared" si="19"/>
        <v>OVER</v>
      </c>
      <c r="Q66" s="78" t="str">
        <f t="shared" si="19"/>
        <v>OVER</v>
      </c>
      <c r="R66" s="78" t="str">
        <f t="shared" si="19"/>
        <v>OVER</v>
      </c>
      <c r="S66" s="78" t="str">
        <f t="shared" si="19"/>
        <v>OVER</v>
      </c>
      <c r="T66" s="78" t="str">
        <f t="shared" si="19"/>
        <v>UNDER</v>
      </c>
      <c r="U66" s="78" t="str">
        <f t="shared" si="19"/>
        <v>UNDER</v>
      </c>
    </row>
  </sheetData>
  <sheetProtection algorithmName="SHA-512" hashValue="LbNX3pu7mu+btv/24l8nIAtmvkAeq8FOCZ+BIlujiazYRvETHcZRjHFuOgM2Ztoo4+6ooeT4sFIrnDMhSdT0OA==" saltValue="D7G18kZu4c2i9GagKbzlzA==" spinCount="100000" sheet="1" objects="1" scenarios="1"/>
  <dataConsolidate/>
  <mergeCells count="39">
    <mergeCell ref="J1:K1"/>
    <mergeCell ref="J2:K2"/>
    <mergeCell ref="J3:K3"/>
    <mergeCell ref="J4:K4"/>
    <mergeCell ref="J5:K5"/>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4" t="s">
        <v>84</v>
      </c>
      <c r="B1" s="38" t="str">
        <f>'Field data and Waste 1'!B29</f>
        <v>Application Rate</v>
      </c>
      <c r="C1" s="38" t="str">
        <f>'Field data and Waste 1'!C29</f>
        <v>Nitrogen Addition</v>
      </c>
      <c r="D1" s="38" t="str">
        <f>'Field data and Waste 1'!D29</f>
        <v>Phosphate Addition</v>
      </c>
      <c r="E1" s="38" t="str">
        <f>'Field data and Waste 1'!E29</f>
        <v>Potash  Addition</v>
      </c>
      <c r="F1" s="38" t="str">
        <f>'Field data and Waste 1'!F29</f>
        <v>Mg Oxide Addition</v>
      </c>
      <c r="G1" s="38" t="str">
        <f>'Field data and Waste 1'!G29</f>
        <v>Copper Addition</v>
      </c>
      <c r="H1" s="38" t="str">
        <f>'Field data and Waste 1'!H29</f>
        <v>Zinc Addition</v>
      </c>
      <c r="I1" s="38" t="str">
        <f>'Field data and Waste 1'!I29</f>
        <v>Lead Addition</v>
      </c>
      <c r="J1" s="38" t="str">
        <f>'Field data and Waste 1'!J29</f>
        <v>Cadmium Addition</v>
      </c>
      <c r="K1" s="38" t="str">
        <f>'Field data and Waste 1'!K29</f>
        <v>Mercury Addition</v>
      </c>
      <c r="L1" s="38" t="str">
        <f>'Field data and Waste 1'!L29</f>
        <v>Nickel Addition</v>
      </c>
      <c r="M1" s="38" t="str">
        <f>'Field data and Waste 1'!M29</f>
        <v>Chromium Addition</v>
      </c>
      <c r="N1" s="38" t="str">
        <f>'Field data and Waste 1'!N29</f>
        <v>Aluminium Addition</v>
      </c>
      <c r="O1" s="38" t="str">
        <f>'Field data and Waste 1'!O29</f>
        <v>Iron Addition</v>
      </c>
      <c r="P1" s="38" t="str">
        <f>'Field data and Waste 1'!P29</f>
        <v xml:space="preserve">Sodium Addition                 </v>
      </c>
      <c r="Q1" s="38" t="str">
        <f>'Field data and Waste 1'!Q29</f>
        <v>SO3  Addition                             kg/ha</v>
      </c>
      <c r="R1" s="38" t="str">
        <f>'Field data and Waste 1'!R29</f>
        <v xml:space="preserve">Selenium Addition </v>
      </c>
      <c r="S1" s="38" t="str">
        <f>'Field data and Waste 1'!S29</f>
        <v xml:space="preserve">Arsenic  Addition  </v>
      </c>
      <c r="T1" s="38" t="str">
        <f>'Field data and Waste 1'!T29</f>
        <v xml:space="preserve">Molybdenum Addition  </v>
      </c>
      <c r="U1" s="38" t="str">
        <f>'Field data and Waste 1'!U29</f>
        <v xml:space="preserve">Fluoride Addition </v>
      </c>
    </row>
    <row r="2" spans="1:21" ht="25" x14ac:dyDescent="0.25">
      <c r="A2" s="144"/>
      <c r="B2" s="38" t="str">
        <f>'Field data and Waste 1'!B30</f>
        <v>tonnes/ha</v>
      </c>
      <c r="C2" s="38" t="str">
        <f>'Field data and Waste 1'!C30</f>
        <v>kg/ha</v>
      </c>
      <c r="D2" s="38" t="str">
        <f>'Field data and Waste 1'!D30</f>
        <v>P2O5 
kg/ha</v>
      </c>
      <c r="E2" s="38" t="str">
        <f>'Field data and Waste 1'!E30</f>
        <v>K2O 
kg/ha</v>
      </c>
      <c r="F2" s="38" t="str">
        <f>'Field data and Waste 1'!F30</f>
        <v>MgO 
kg/ha</v>
      </c>
      <c r="G2" s="38" t="str">
        <f>'Field data and Waste 1'!G30</f>
        <v>kg/ha</v>
      </c>
      <c r="H2" s="38" t="str">
        <f>'Field data and Waste 1'!H30</f>
        <v>kg/ha</v>
      </c>
      <c r="I2" s="38" t="str">
        <f>'Field data and Waste 1'!I30</f>
        <v>kg/ha</v>
      </c>
      <c r="J2" s="38" t="str">
        <f>'Field data and Waste 1'!J30</f>
        <v>kg/ha</v>
      </c>
      <c r="K2" s="38" t="str">
        <f>'Field data and Waste 1'!K30</f>
        <v>kg/ha</v>
      </c>
      <c r="L2" s="38" t="str">
        <f>'Field data and Waste 1'!L30</f>
        <v>kg/ha</v>
      </c>
      <c r="M2" s="38" t="str">
        <f>'Field data and Waste 1'!M30</f>
        <v>kg/ha</v>
      </c>
      <c r="N2" s="38" t="str">
        <f>'Field data and Waste 1'!N30</f>
        <v>kg/ha</v>
      </c>
      <c r="O2" s="38" t="str">
        <f>'Field data and Waste 1'!O30</f>
        <v>kg/ha</v>
      </c>
      <c r="P2" s="38" t="str">
        <f>'Field data and Waste 1'!P30</f>
        <v>kg/ha</v>
      </c>
      <c r="Q2" s="38" t="str">
        <f>'Field data and Waste 1'!Q30</f>
        <v>kg/ha</v>
      </c>
      <c r="R2" s="38" t="str">
        <f>'Field data and Waste 1'!R30</f>
        <v>kg/ha</v>
      </c>
      <c r="S2" s="38" t="str">
        <f>'Field data and Waste 1'!S30</f>
        <v>kg/ha</v>
      </c>
      <c r="T2" s="38" t="str">
        <f>'Field data and Waste 1'!T30</f>
        <v>kg/ha</v>
      </c>
      <c r="U2" s="38" t="str">
        <f>'Field data and Waste 1'!U30</f>
        <v>kg/ha</v>
      </c>
    </row>
    <row r="3" spans="1:21" x14ac:dyDescent="0.25">
      <c r="A3" s="36">
        <v>1</v>
      </c>
      <c r="B3" s="33">
        <f>'Field data and Waste 1'!B31</f>
        <v>66</v>
      </c>
      <c r="C3" s="33">
        <f>'Field data and Waste 1'!C31</f>
        <v>85.8</v>
      </c>
      <c r="D3" s="33">
        <f>'Field data and Waste 1'!D31</f>
        <v>63.052901999999996</v>
      </c>
      <c r="E3" s="33">
        <f>'Field data and Waste 1'!E31</f>
        <v>12.486210000000002</v>
      </c>
      <c r="F3" s="33">
        <f>'Field data and Waste 1'!F31</f>
        <v>17.070767999999997</v>
      </c>
      <c r="G3" s="33">
        <f>'Field data and Waste 1'!G31</f>
        <v>4.0854000000000001E-2</v>
      </c>
      <c r="H3" s="33">
        <f>'Field data and Waste 1'!H31</f>
        <v>0.17688000000000001</v>
      </c>
      <c r="I3" s="33">
        <f>'Field data and Waste 1'!I31</f>
        <v>3.3000000000000002E-2</v>
      </c>
      <c r="J3" s="33">
        <f>'Field data and Waste 1'!J31</f>
        <v>6.600000000000001E-4</v>
      </c>
      <c r="K3" s="33">
        <f>'Field data and Waste 1'!K31</f>
        <v>3.3E-3</v>
      </c>
      <c r="L3" s="33">
        <f>'Field data and Waste 1'!L31</f>
        <v>1.32E-2</v>
      </c>
      <c r="M3" s="33">
        <f>'Field data and Waste 1'!M31</f>
        <v>2.4948000000000001E-2</v>
      </c>
      <c r="N3" s="33">
        <f>'Field data and Waste 1'!N31</f>
        <v>0</v>
      </c>
      <c r="O3" s="33">
        <f>'Field data and Waste 1'!O31</f>
        <v>0</v>
      </c>
      <c r="P3" s="33">
        <f>'Field data and Waste 1'!P31</f>
        <v>16.367999999999999</v>
      </c>
      <c r="Q3" s="33">
        <f>'Field data and Waste 1'!Q31</f>
        <v>29.04</v>
      </c>
      <c r="R3" s="33">
        <f>'Field data and Waste 1'!R31</f>
        <v>0</v>
      </c>
      <c r="S3" s="33">
        <f>'Field data and Waste 1'!S31</f>
        <v>0</v>
      </c>
      <c r="T3" s="33">
        <f>'Field data and Waste 1'!T31</f>
        <v>0</v>
      </c>
      <c r="U3" s="33">
        <f>'Field data and Waste 1'!U31</f>
        <v>0</v>
      </c>
    </row>
    <row r="4" spans="1:21" x14ac:dyDescent="0.25">
      <c r="A4" s="36">
        <v>2</v>
      </c>
      <c r="B4" s="33">
        <f>'Waste 2'!B31</f>
        <v>100</v>
      </c>
      <c r="C4" s="33">
        <f>'Waste 2'!C31</f>
        <v>60</v>
      </c>
      <c r="D4" s="33">
        <f>'Waste 2'!D31</f>
        <v>12.921239999999999</v>
      </c>
      <c r="E4" s="33">
        <f>'Waste 2'!E31</f>
        <v>6.8925999999999998</v>
      </c>
      <c r="F4" s="33">
        <f>'Waste 2'!F31</f>
        <v>1.6579999999999999</v>
      </c>
      <c r="G4" s="33">
        <f>'Waste 2'!G31</f>
        <v>0.02</v>
      </c>
      <c r="H4" s="33">
        <f>'Waste 2'!H31</f>
        <v>6.6300000000000012E-2</v>
      </c>
      <c r="I4" s="33">
        <f>'Waste 2'!I31</f>
        <v>0.05</v>
      </c>
      <c r="J4" s="33">
        <f>'Waste 2'!J31</f>
        <v>1E-3</v>
      </c>
      <c r="K4" s="33">
        <f>'Waste 2'!K31</f>
        <v>5.0000000000000001E-3</v>
      </c>
      <c r="L4" s="33">
        <f>'Waste 2'!L31</f>
        <v>0.02</v>
      </c>
      <c r="M4" s="33">
        <f>'Waste 2'!M31</f>
        <v>3.6900000000000002E-2</v>
      </c>
      <c r="N4" s="33">
        <f>'Waste 2'!N31</f>
        <v>0</v>
      </c>
      <c r="O4" s="33">
        <f>'Waste 2'!O31</f>
        <v>0</v>
      </c>
      <c r="P4" s="33">
        <f>'Waste 2'!P31</f>
        <v>52.7</v>
      </c>
      <c r="Q4" s="33">
        <f>'Waste 2'!Q31</f>
        <v>21.85</v>
      </c>
      <c r="R4" s="33">
        <f>'Waste 2'!R31</f>
        <v>0</v>
      </c>
      <c r="S4" s="33">
        <f>'Waste 2'!S31</f>
        <v>0</v>
      </c>
      <c r="T4" s="33">
        <f>'Waste 2'!T31</f>
        <v>0</v>
      </c>
      <c r="U4" s="33">
        <f>'Waste 2'!U31</f>
        <v>0</v>
      </c>
    </row>
    <row r="5" spans="1:21" x14ac:dyDescent="0.25">
      <c r="A5" s="36">
        <v>3</v>
      </c>
      <c r="B5" s="33">
        <f>'Waste 3'!B31</f>
        <v>100</v>
      </c>
      <c r="C5" s="33">
        <f>'Waste 3'!C31</f>
        <v>40</v>
      </c>
      <c r="D5" s="33">
        <f>'Waste 3'!D31</f>
        <v>35.281399999999998</v>
      </c>
      <c r="E5" s="33">
        <f>'Waste 3'!E31</f>
        <v>45.428500000000007</v>
      </c>
      <c r="F5" s="33">
        <f>'Waste 3'!F31</f>
        <v>9.1355800000000009</v>
      </c>
      <c r="G5" s="33">
        <f>'Waste 3'!G31</f>
        <v>7.46</v>
      </c>
      <c r="H5" s="33">
        <f>'Waste 3'!H31</f>
        <v>0.05</v>
      </c>
      <c r="I5" s="33">
        <f>'Waste 3'!I31</f>
        <v>0.05</v>
      </c>
      <c r="J5" s="33">
        <f>'Waste 3'!J31</f>
        <v>1E-3</v>
      </c>
      <c r="K5" s="33">
        <f>'Waste 3'!K31</f>
        <v>5.0000000000000001E-3</v>
      </c>
      <c r="L5" s="33">
        <f>'Waste 3'!L31</f>
        <v>0.02</v>
      </c>
      <c r="M5" s="33">
        <f>'Waste 3'!M31</f>
        <v>2.3799999999999998E-2</v>
      </c>
      <c r="N5" s="33">
        <f>'Waste 3'!N31</f>
        <v>0</v>
      </c>
      <c r="O5" s="33">
        <f>'Waste 3'!O31</f>
        <v>0</v>
      </c>
      <c r="P5" s="33">
        <f>'Waste 3'!P31</f>
        <v>6.01</v>
      </c>
      <c r="Q5" s="33">
        <f>'Waste 3'!Q31</f>
        <v>18.649999999999999</v>
      </c>
      <c r="R5" s="33">
        <f>'Waste 3'!R31</f>
        <v>0</v>
      </c>
      <c r="S5" s="33">
        <f>'Waste 3'!S31</f>
        <v>0</v>
      </c>
      <c r="T5" s="33">
        <f>'Waste 3'!T31</f>
        <v>0</v>
      </c>
      <c r="U5" s="33">
        <f>'Waste 3'!U31</f>
        <v>0</v>
      </c>
    </row>
    <row r="6" spans="1:21" x14ac:dyDescent="0.25">
      <c r="A6" s="36">
        <v>4</v>
      </c>
      <c r="B6" s="33">
        <f>'Waste 4'!B31</f>
        <v>30</v>
      </c>
      <c r="C6" s="33">
        <f>'Waste 4'!C31</f>
        <v>21.000000000000004</v>
      </c>
      <c r="D6" s="33">
        <f>'Waste 4'!D31</f>
        <v>8.7287099999999995</v>
      </c>
      <c r="E6" s="33">
        <f>'Waste 4'!E31</f>
        <v>4.1211000000000002</v>
      </c>
      <c r="F6" s="33">
        <f>'Waste 4'!F31</f>
        <v>4.4169119999999999</v>
      </c>
      <c r="G6" s="33">
        <f>'Waste 4'!G31</f>
        <v>4.1100000000000005E-2</v>
      </c>
      <c r="H6" s="33">
        <f>'Waste 4'!H31</f>
        <v>1.0289999999999999</v>
      </c>
      <c r="I6" s="33">
        <f>'Waste 4'!I31</f>
        <v>1.4999999999999999E-2</v>
      </c>
      <c r="J6" s="33">
        <f>'Waste 4'!J31</f>
        <v>9.5999999999999992E-4</v>
      </c>
      <c r="K6" s="33">
        <f>'Waste 4'!K31</f>
        <v>1.5E-3</v>
      </c>
      <c r="L6" s="33">
        <f>'Waste 4'!L31</f>
        <v>2.0789999999999999E-2</v>
      </c>
      <c r="M6" s="33">
        <f>'Waste 4'!M31</f>
        <v>1.77E-2</v>
      </c>
      <c r="N6" s="33">
        <f>'Waste 4'!N31</f>
        <v>0</v>
      </c>
      <c r="O6" s="33">
        <f>'Waste 4'!O31</f>
        <v>0</v>
      </c>
      <c r="P6" s="33">
        <f>'Waste 4'!P31</f>
        <v>11.01</v>
      </c>
      <c r="Q6" s="33">
        <f>'Waste 4'!Q31</f>
        <v>7.7250000000000005</v>
      </c>
      <c r="R6" s="33">
        <f>'Waste 4'!R31</f>
        <v>0</v>
      </c>
      <c r="S6" s="33">
        <f>'Waste 4'!S31</f>
        <v>0</v>
      </c>
      <c r="T6" s="33">
        <f>'Waste 4'!T31</f>
        <v>0</v>
      </c>
      <c r="U6" s="33">
        <f>'Waste 4'!U31</f>
        <v>0</v>
      </c>
    </row>
    <row r="7" spans="1:21" x14ac:dyDescent="0.25">
      <c r="A7" s="36">
        <v>5</v>
      </c>
      <c r="B7" s="33">
        <f>'Waste 5'!B31</f>
        <v>68</v>
      </c>
      <c r="C7" s="33">
        <f>'Waste 5'!C31</f>
        <v>54.400000000000006</v>
      </c>
      <c r="D7" s="33">
        <f>'Waste 5'!D31</f>
        <v>62.470987999999998</v>
      </c>
      <c r="E7" s="33">
        <f>'Waste 5'!E31</f>
        <v>13.68398</v>
      </c>
      <c r="F7" s="33">
        <f>'Waste 5'!F31</f>
        <v>12.176352</v>
      </c>
      <c r="G7" s="33">
        <f>'Waste 5'!G31</f>
        <v>0.15367999999999998</v>
      </c>
      <c r="H7" s="33">
        <f>'Waste 5'!H31</f>
        <v>0.67864000000000002</v>
      </c>
      <c r="I7" s="33">
        <f>'Waste 5'!I31</f>
        <v>3.4000000000000002E-2</v>
      </c>
      <c r="J7" s="33">
        <f>'Waste 5'!J31</f>
        <v>6.8000000000000005E-4</v>
      </c>
      <c r="K7" s="33">
        <f>'Waste 5'!K31</f>
        <v>3.4000000000000002E-3</v>
      </c>
      <c r="L7" s="33">
        <f>'Waste 5'!L31</f>
        <v>7.1400000000000005E-2</v>
      </c>
      <c r="M7" s="33">
        <f>'Waste 5'!M31</f>
        <v>6.1472000000000006E-2</v>
      </c>
      <c r="N7" s="33">
        <f>'Waste 5'!N31</f>
        <v>0</v>
      </c>
      <c r="O7" s="33">
        <f>'Waste 5'!O31</f>
        <v>0</v>
      </c>
      <c r="P7" s="33">
        <f>'Waste 5'!P31</f>
        <v>42.771999999999998</v>
      </c>
      <c r="Q7" s="33">
        <f>'Waste 5'!Q31</f>
        <v>62.56</v>
      </c>
      <c r="R7" s="33">
        <f>'Waste 5'!R31</f>
        <v>0</v>
      </c>
      <c r="S7" s="33">
        <f>'Waste 5'!S31</f>
        <v>0</v>
      </c>
      <c r="T7" s="33">
        <f>'Waste 5'!T31</f>
        <v>0</v>
      </c>
      <c r="U7" s="33">
        <f>'Waste 5'!U31</f>
        <v>0</v>
      </c>
    </row>
    <row r="8" spans="1:21" x14ac:dyDescent="0.25">
      <c r="A8" s="36">
        <v>6</v>
      </c>
      <c r="B8" s="33">
        <f>'Waste 6'!B31</f>
        <v>92</v>
      </c>
      <c r="C8" s="33">
        <f>'Waste 6'!C31</f>
        <v>119.60000000000001</v>
      </c>
      <c r="D8" s="33">
        <f>'Waste 6'!D31</f>
        <v>63.231599999999993</v>
      </c>
      <c r="E8" s="33">
        <f>'Waste 6'!E31</f>
        <v>25.27608</v>
      </c>
      <c r="F8" s="33">
        <f>'Waste 6'!F31</f>
        <v>13.301139199999998</v>
      </c>
      <c r="G8" s="33">
        <f>'Waste 6'!G31</f>
        <v>0.19964000000000001</v>
      </c>
      <c r="H8" s="33">
        <f>'Waste 6'!H31</f>
        <v>0.86755999999999989</v>
      </c>
      <c r="I8" s="33">
        <f>'Waste 6'!I31</f>
        <v>5.8235999999999996E-2</v>
      </c>
      <c r="J8" s="33">
        <f>'Waste 6'!J31</f>
        <v>1.196E-3</v>
      </c>
      <c r="K8" s="33">
        <f>'Waste 6'!K31</f>
        <v>4.5999999999999999E-3</v>
      </c>
      <c r="L8" s="33">
        <f>'Waste 6'!L31</f>
        <v>3.0544000000000005E-2</v>
      </c>
      <c r="M8" s="33">
        <f>'Waste 6'!M31</f>
        <v>6.6699999999999995E-2</v>
      </c>
      <c r="N8" s="33">
        <f>'Waste 6'!N31</f>
        <v>0</v>
      </c>
      <c r="O8" s="33">
        <f>'Waste 6'!O31</f>
        <v>0</v>
      </c>
      <c r="P8" s="33">
        <f>'Waste 6'!P31</f>
        <v>73.323999999999998</v>
      </c>
      <c r="Q8" s="33">
        <f>'Waste 6'!Q31</f>
        <v>119.60000000000001</v>
      </c>
      <c r="R8" s="33">
        <f>'Waste 6'!R31</f>
        <v>0</v>
      </c>
      <c r="S8" s="33">
        <f>'Waste 6'!S31</f>
        <v>0</v>
      </c>
      <c r="T8" s="33">
        <f>'Waste 6'!T31</f>
        <v>0</v>
      </c>
      <c r="U8" s="33">
        <f>'Waste 6'!U31</f>
        <v>0</v>
      </c>
    </row>
    <row r="9" spans="1:21" x14ac:dyDescent="0.25">
      <c r="A9" s="36">
        <v>7</v>
      </c>
      <c r="B9" s="33">
        <f>'Waste 7'!B31</f>
        <v>77</v>
      </c>
      <c r="C9" s="33">
        <f>'Waste 7'!C31</f>
        <v>46.199999999999996</v>
      </c>
      <c r="D9" s="33">
        <f>'Waste 7'!D31</f>
        <v>62.977298999999995</v>
      </c>
      <c r="E9" s="33">
        <f>'Waste 7'!E31</f>
        <v>5.9011260000000014</v>
      </c>
      <c r="F9" s="33">
        <f>'Waste 7'!F31</f>
        <v>3.2810161999999998</v>
      </c>
      <c r="G9" s="33">
        <f>'Waste 7'!G31</f>
        <v>3.696E-2</v>
      </c>
      <c r="H9" s="33">
        <f>'Waste 7'!H31</f>
        <v>0.49819000000000002</v>
      </c>
      <c r="I9" s="33">
        <f>'Waste 7'!I31</f>
        <v>3.85E-2</v>
      </c>
      <c r="J9" s="33">
        <f>'Waste 7'!J31</f>
        <v>7.7000000000000007E-4</v>
      </c>
      <c r="K9" s="33">
        <f>'Waste 7'!K31</f>
        <v>3.8500000000000001E-3</v>
      </c>
      <c r="L9" s="33">
        <f>'Waste 7'!L31</f>
        <v>2.2560999999999998E-2</v>
      </c>
      <c r="M9" s="33">
        <f>'Waste 7'!M31</f>
        <v>8.7779999999999997E-2</v>
      </c>
      <c r="N9" s="33">
        <f>'Waste 7'!N31</f>
        <v>0</v>
      </c>
      <c r="O9" s="33">
        <f>'Waste 7'!O31</f>
        <v>0</v>
      </c>
      <c r="P9" s="33">
        <f>'Waste 7'!P31</f>
        <v>234.00300000000001</v>
      </c>
      <c r="Q9" s="33">
        <f>'Waste 7'!Q31</f>
        <v>247.74749999999997</v>
      </c>
      <c r="R9" s="33">
        <f>'Waste 7'!R31</f>
        <v>0</v>
      </c>
      <c r="S9" s="33">
        <f>'Waste 7'!S31</f>
        <v>0</v>
      </c>
      <c r="T9" s="33">
        <f>'Waste 7'!T31</f>
        <v>0</v>
      </c>
      <c r="U9" s="33">
        <f>'Waste 7'!U31</f>
        <v>0</v>
      </c>
    </row>
    <row r="10" spans="1:21" x14ac:dyDescent="0.25">
      <c r="A10" s="36">
        <v>8</v>
      </c>
      <c r="B10" s="33">
        <f>'Waste 8'!B31</f>
        <v>0</v>
      </c>
      <c r="C10" s="33">
        <f>'Waste 8'!C31</f>
        <v>0</v>
      </c>
      <c r="D10" s="33">
        <f>'Waste 8'!D31</f>
        <v>0</v>
      </c>
      <c r="E10" s="33">
        <f>'Waste 8'!E31</f>
        <v>0</v>
      </c>
      <c r="F10" s="33">
        <f>'Waste 8'!F31</f>
        <v>0</v>
      </c>
      <c r="G10" s="33">
        <f>'Waste 8'!G31</f>
        <v>0</v>
      </c>
      <c r="H10" s="33">
        <f>'Waste 8'!H31</f>
        <v>0</v>
      </c>
      <c r="I10" s="33">
        <f>'Waste 8'!I31</f>
        <v>0</v>
      </c>
      <c r="J10" s="33">
        <f>'Waste 8'!J31</f>
        <v>0</v>
      </c>
      <c r="K10" s="33">
        <f>'Waste 8'!K31</f>
        <v>0</v>
      </c>
      <c r="L10" s="33">
        <f>'Waste 8'!L31</f>
        <v>0</v>
      </c>
      <c r="M10" s="33">
        <f>'Waste 8'!M31</f>
        <v>0</v>
      </c>
      <c r="N10" s="33">
        <f>'Waste 8'!N31</f>
        <v>0</v>
      </c>
      <c r="O10" s="33">
        <f>'Waste 8'!O31</f>
        <v>0</v>
      </c>
      <c r="P10" s="33">
        <f>'Waste 8'!P31</f>
        <v>0</v>
      </c>
      <c r="Q10" s="33">
        <f>'Waste 8'!Q31</f>
        <v>0</v>
      </c>
      <c r="R10" s="33">
        <f>'Waste 8'!R31</f>
        <v>0</v>
      </c>
      <c r="S10" s="33">
        <f>'Waste 8'!S31</f>
        <v>0</v>
      </c>
      <c r="T10" s="33">
        <f>'Waste 8'!T31</f>
        <v>0</v>
      </c>
      <c r="U10" s="33">
        <f>'Waste 8'!U31</f>
        <v>0</v>
      </c>
    </row>
    <row r="11" spans="1:21" x14ac:dyDescent="0.25">
      <c r="A11" s="36">
        <v>9</v>
      </c>
      <c r="B11" s="33">
        <f>'Waste 9'!B31</f>
        <v>0</v>
      </c>
      <c r="C11" s="33">
        <f>'Waste 9'!C31</f>
        <v>0</v>
      </c>
      <c r="D11" s="33">
        <f>'Waste 9'!D31</f>
        <v>0</v>
      </c>
      <c r="E11" s="33">
        <f>'Waste 9'!E31</f>
        <v>0</v>
      </c>
      <c r="F11" s="33">
        <f>'Waste 9'!F31</f>
        <v>0</v>
      </c>
      <c r="G11" s="33">
        <f>'Waste 9'!G31</f>
        <v>0</v>
      </c>
      <c r="H11" s="33">
        <f>'Waste 9'!H31</f>
        <v>0</v>
      </c>
      <c r="I11" s="33">
        <f>'Waste 9'!I31</f>
        <v>0</v>
      </c>
      <c r="J11" s="33">
        <f>'Waste 9'!J31</f>
        <v>0</v>
      </c>
      <c r="K11" s="33">
        <f>'Waste 9'!K31</f>
        <v>0</v>
      </c>
      <c r="L11" s="33">
        <f>'Waste 9'!L31</f>
        <v>0</v>
      </c>
      <c r="M11" s="33">
        <f>'Waste 9'!M31</f>
        <v>0</v>
      </c>
      <c r="N11" s="33">
        <f>'Waste 9'!N31</f>
        <v>0</v>
      </c>
      <c r="O11" s="33">
        <f>'Waste 9'!O31</f>
        <v>0</v>
      </c>
      <c r="P11" s="33">
        <f>'Waste 9'!P31</f>
        <v>0</v>
      </c>
      <c r="Q11" s="33">
        <f>'Waste 9'!Q31</f>
        <v>0</v>
      </c>
      <c r="R11" s="33">
        <f>'Waste 9'!R31</f>
        <v>0</v>
      </c>
      <c r="S11" s="33">
        <f>'Waste 9'!S31</f>
        <v>0</v>
      </c>
      <c r="T11" s="33">
        <f>'Waste 9'!T31</f>
        <v>0</v>
      </c>
      <c r="U11" s="33">
        <f>'Waste 9'!U31</f>
        <v>0</v>
      </c>
    </row>
    <row r="12" spans="1:21" x14ac:dyDescent="0.25">
      <c r="A12" s="36">
        <v>10</v>
      </c>
      <c r="B12" s="33">
        <f>'Waste 10'!B31</f>
        <v>0</v>
      </c>
      <c r="C12" s="33">
        <f>'Waste 10'!C31</f>
        <v>0</v>
      </c>
      <c r="D12" s="33">
        <f>'Waste 10'!D31</f>
        <v>0</v>
      </c>
      <c r="E12" s="33">
        <f>'Waste 10'!E31</f>
        <v>0</v>
      </c>
      <c r="F12" s="33">
        <f>'Waste 10'!F31</f>
        <v>0</v>
      </c>
      <c r="G12" s="33">
        <f>'Waste 10'!G31</f>
        <v>0</v>
      </c>
      <c r="H12" s="33">
        <f>'Waste 10'!H31</f>
        <v>0</v>
      </c>
      <c r="I12" s="33">
        <f>'Waste 10'!I31</f>
        <v>0</v>
      </c>
      <c r="J12" s="33">
        <f>'Waste 10'!J31</f>
        <v>0</v>
      </c>
      <c r="K12" s="33">
        <f>'Waste 10'!K31</f>
        <v>0</v>
      </c>
      <c r="L12" s="33">
        <f>'Waste 10'!L31</f>
        <v>0</v>
      </c>
      <c r="M12" s="33">
        <f>'Waste 10'!M31</f>
        <v>0</v>
      </c>
      <c r="N12" s="33">
        <f>'Waste 10'!N31</f>
        <v>0</v>
      </c>
      <c r="O12" s="33">
        <f>'Waste 10'!O31</f>
        <v>0</v>
      </c>
      <c r="P12" s="33">
        <f>'Waste 10'!P31</f>
        <v>0</v>
      </c>
      <c r="Q12" s="33">
        <f>'Waste 10'!Q31</f>
        <v>0</v>
      </c>
      <c r="R12" s="33">
        <f>'Waste 10'!R31</f>
        <v>0</v>
      </c>
      <c r="S12" s="33">
        <f>'Waste 10'!S31</f>
        <v>0</v>
      </c>
      <c r="T12" s="33">
        <f>'Waste 10'!T31</f>
        <v>0</v>
      </c>
      <c r="U12" s="33">
        <f>'Waste 10'!U31</f>
        <v>0</v>
      </c>
    </row>
    <row r="13" spans="1:21" s="82" customFormat="1" ht="15.5" x14ac:dyDescent="0.35">
      <c r="A13" s="80" t="s">
        <v>85</v>
      </c>
      <c r="B13" s="81">
        <f>SUM(B3:B12)</f>
        <v>533</v>
      </c>
      <c r="C13" s="81">
        <f t="shared" ref="C13:U13" si="0">SUM(C3:C12)</f>
        <v>427.00000000000006</v>
      </c>
      <c r="D13" s="81">
        <f t="shared" si="0"/>
        <v>308.66413899999998</v>
      </c>
      <c r="E13" s="81">
        <f t="shared" si="0"/>
        <v>113.78959600000002</v>
      </c>
      <c r="F13" s="81">
        <f t="shared" si="0"/>
        <v>61.039767400000002</v>
      </c>
      <c r="G13" s="81">
        <f t="shared" si="0"/>
        <v>7.9522339999999989</v>
      </c>
      <c r="H13" s="81">
        <f t="shared" si="0"/>
        <v>3.3665700000000003</v>
      </c>
      <c r="I13" s="81">
        <f t="shared" si="0"/>
        <v>0.27873599999999998</v>
      </c>
      <c r="J13" s="81">
        <f t="shared" si="0"/>
        <v>6.2659999999999999E-3</v>
      </c>
      <c r="K13" s="81">
        <f t="shared" si="0"/>
        <v>2.665E-2</v>
      </c>
      <c r="L13" s="81">
        <f t="shared" si="0"/>
        <v>0.19849500000000003</v>
      </c>
      <c r="M13" s="81">
        <f t="shared" si="0"/>
        <v>0.31930000000000003</v>
      </c>
      <c r="N13" s="81">
        <f t="shared" si="0"/>
        <v>0</v>
      </c>
      <c r="O13" s="81">
        <f t="shared" si="0"/>
        <v>0</v>
      </c>
      <c r="P13" s="81">
        <f t="shared" si="0"/>
        <v>436.18700000000001</v>
      </c>
      <c r="Q13" s="81">
        <f t="shared" si="0"/>
        <v>507.17250000000001</v>
      </c>
      <c r="R13" s="81">
        <f t="shared" si="0"/>
        <v>0</v>
      </c>
      <c r="S13" s="81">
        <f t="shared" si="0"/>
        <v>0</v>
      </c>
      <c r="T13" s="81">
        <f t="shared" si="0"/>
        <v>0</v>
      </c>
      <c r="U13" s="81">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5" t="s">
        <v>84</v>
      </c>
      <c r="B1" s="34" t="s">
        <v>152</v>
      </c>
      <c r="C1" s="35" t="str">
        <f>'Field data and Waste 1'!B29</f>
        <v>Application Rate</v>
      </c>
      <c r="D1" s="35" t="str">
        <f>'Field data and Waste 1'!C29</f>
        <v>Nitrogen Addition</v>
      </c>
      <c r="E1" s="35" t="str">
        <f>'Field data and Waste 1'!D29</f>
        <v>Phosphate Addition</v>
      </c>
      <c r="F1" s="35" t="str">
        <f>'Field data and Waste 1'!E29</f>
        <v>Potash  Addition</v>
      </c>
      <c r="G1" s="35" t="str">
        <f>'Field data and Waste 1'!F29</f>
        <v>Mg Oxide Addition</v>
      </c>
      <c r="H1" s="35" t="str">
        <f>'Field data and Waste 1'!G29</f>
        <v>Copper Addition</v>
      </c>
      <c r="I1" s="35" t="str">
        <f>'Field data and Waste 1'!H29</f>
        <v>Zinc Addition</v>
      </c>
      <c r="J1" s="35" t="str">
        <f>'Field data and Waste 1'!I29</f>
        <v>Lead Addition</v>
      </c>
      <c r="K1" s="35" t="str">
        <f>'Field data and Waste 1'!J29</f>
        <v>Cadmium Addition</v>
      </c>
      <c r="L1" s="35" t="str">
        <f>'Field data and Waste 1'!K29</f>
        <v>Mercury Addition</v>
      </c>
      <c r="M1" s="35" t="str">
        <f>'Field data and Waste 1'!L29</f>
        <v>Nickel Addition</v>
      </c>
      <c r="N1" s="35" t="str">
        <f>'Field data and Waste 1'!M29</f>
        <v>Chromium Addition</v>
      </c>
      <c r="O1" s="35" t="str">
        <f>'Field data and Waste 1'!N29</f>
        <v>Aluminium Addition</v>
      </c>
      <c r="P1" s="35" t="str">
        <f>'Field data and Waste 1'!O29</f>
        <v>Iron Addition</v>
      </c>
      <c r="Q1" s="35" t="str">
        <f>'Field data and Waste 1'!P29</f>
        <v xml:space="preserve">Sodium Addition                 </v>
      </c>
      <c r="R1" s="35" t="str">
        <f>'Field data and Waste 1'!Q29</f>
        <v>SO3  Addition                             kg/ha</v>
      </c>
      <c r="S1" s="35" t="str">
        <f>'Field data and Waste 1'!R29</f>
        <v xml:space="preserve">Selenium Addition </v>
      </c>
      <c r="T1" s="35" t="str">
        <f>'Field data and Waste 1'!S29</f>
        <v xml:space="preserve">Arsenic  Addition  </v>
      </c>
      <c r="U1" s="35" t="str">
        <f>'Field data and Waste 1'!T29</f>
        <v xml:space="preserve">Molybdenum Addition  </v>
      </c>
      <c r="V1" s="35" t="str">
        <f>'Field data and Waste 1'!U29</f>
        <v xml:space="preserve">Fluoride Addition </v>
      </c>
    </row>
    <row r="2" spans="1:22" s="83" customFormat="1" ht="25" x14ac:dyDescent="0.35">
      <c r="A2" s="145"/>
      <c r="B2" s="32" t="s">
        <v>46</v>
      </c>
      <c r="C2" s="35" t="str">
        <f>'Field data and Waste 1'!B30</f>
        <v>tonnes/ha</v>
      </c>
      <c r="D2" s="35" t="str">
        <f>'Field data and Waste 1'!C30</f>
        <v>kg/ha</v>
      </c>
      <c r="E2" s="35" t="str">
        <f>'Field data and Waste 1'!D30</f>
        <v>P2O5 
kg/ha</v>
      </c>
      <c r="F2" s="35" t="str">
        <f>'Field data and Waste 1'!E30</f>
        <v>K2O 
kg/ha</v>
      </c>
      <c r="G2" s="35" t="str">
        <f>'Field data and Waste 1'!F30</f>
        <v>MgO 
kg/ha</v>
      </c>
      <c r="H2" s="35" t="str">
        <f>'Field data and Waste 1'!G30</f>
        <v>kg/ha</v>
      </c>
      <c r="I2" s="35" t="str">
        <f>'Field data and Waste 1'!H30</f>
        <v>kg/ha</v>
      </c>
      <c r="J2" s="35" t="str">
        <f>'Field data and Waste 1'!I30</f>
        <v>kg/ha</v>
      </c>
      <c r="K2" s="35" t="str">
        <f>'Field data and Waste 1'!J30</f>
        <v>kg/ha</v>
      </c>
      <c r="L2" s="35" t="str">
        <f>'Field data and Waste 1'!K30</f>
        <v>kg/ha</v>
      </c>
      <c r="M2" s="35" t="str">
        <f>'Field data and Waste 1'!L30</f>
        <v>kg/ha</v>
      </c>
      <c r="N2" s="35" t="str">
        <f>'Field data and Waste 1'!M30</f>
        <v>kg/ha</v>
      </c>
      <c r="O2" s="35" t="str">
        <f>'Field data and Waste 1'!N30</f>
        <v>kg/ha</v>
      </c>
      <c r="P2" s="35" t="str">
        <f>'Field data and Waste 1'!O30</f>
        <v>kg/ha</v>
      </c>
      <c r="Q2" s="35" t="str">
        <f>'Field data and Waste 1'!P30</f>
        <v>kg/ha</v>
      </c>
      <c r="R2" s="35" t="str">
        <f>'Field data and Waste 1'!Q30</f>
        <v>kg/ha</v>
      </c>
      <c r="S2" s="35" t="str">
        <f>'Field data and Waste 1'!R30</f>
        <v>kg/ha</v>
      </c>
      <c r="T2" s="35" t="str">
        <f>'Field data and Waste 1'!S30</f>
        <v>kg/ha</v>
      </c>
      <c r="U2" s="35" t="str">
        <f>'Field data and Waste 1'!T30</f>
        <v>kg/ha</v>
      </c>
      <c r="V2" s="35" t="str">
        <f>'Field data and Waste 1'!U30</f>
        <v>kg/ha</v>
      </c>
    </row>
    <row r="3" spans="1:22" x14ac:dyDescent="0.25">
      <c r="A3" s="36">
        <v>1</v>
      </c>
      <c r="B3" s="91"/>
      <c r="C3" s="33">
        <f>'Field data and Waste 1'!B31</f>
        <v>66</v>
      </c>
      <c r="D3" s="33">
        <f>'Field data and Waste 1'!C31</f>
        <v>85.8</v>
      </c>
      <c r="E3" s="33">
        <f>'Field data and Waste 1'!D31</f>
        <v>63.052901999999996</v>
      </c>
      <c r="F3" s="33">
        <f>'Field data and Waste 1'!E31</f>
        <v>12.486210000000002</v>
      </c>
      <c r="G3" s="33">
        <f>'Field data and Waste 1'!F31</f>
        <v>17.070767999999997</v>
      </c>
      <c r="H3" s="33">
        <f>'Field data and Waste 1'!G31</f>
        <v>4.0854000000000001E-2</v>
      </c>
      <c r="I3" s="33">
        <f>'Field data and Waste 1'!H31</f>
        <v>0.17688000000000001</v>
      </c>
      <c r="J3" s="33">
        <f>'Field data and Waste 1'!I31</f>
        <v>3.3000000000000002E-2</v>
      </c>
      <c r="K3" s="33">
        <f>'Field data and Waste 1'!J31</f>
        <v>6.600000000000001E-4</v>
      </c>
      <c r="L3" s="33">
        <f>'Field data and Waste 1'!K31</f>
        <v>3.3E-3</v>
      </c>
      <c r="M3" s="33">
        <f>'Field data and Waste 1'!L31</f>
        <v>1.32E-2</v>
      </c>
      <c r="N3" s="33">
        <f>'Field data and Waste 1'!M31</f>
        <v>2.4948000000000001E-2</v>
      </c>
      <c r="O3" s="33">
        <f>'Field data and Waste 1'!N31</f>
        <v>0</v>
      </c>
      <c r="P3" s="33">
        <f>'Field data and Waste 1'!O31</f>
        <v>0</v>
      </c>
      <c r="Q3" s="33">
        <f>'Field data and Waste 1'!P31</f>
        <v>16.367999999999999</v>
      </c>
      <c r="R3" s="33">
        <f>'Field data and Waste 1'!Q31</f>
        <v>29.04</v>
      </c>
      <c r="S3" s="33">
        <f>'Field data and Waste 1'!R31</f>
        <v>0</v>
      </c>
      <c r="T3" s="33">
        <f>'Field data and Waste 1'!S31</f>
        <v>0</v>
      </c>
      <c r="U3" s="33">
        <f>'Field data and Waste 1'!T31</f>
        <v>0</v>
      </c>
      <c r="V3" s="33">
        <f>'Field data and Waste 1'!U31</f>
        <v>0</v>
      </c>
    </row>
    <row r="4" spans="1:22" x14ac:dyDescent="0.25">
      <c r="A4" s="36">
        <v>2</v>
      </c>
      <c r="B4" s="91"/>
      <c r="C4" s="33">
        <f>'Waste 2'!B31</f>
        <v>100</v>
      </c>
      <c r="D4" s="33">
        <f>'Waste 2'!C31</f>
        <v>60</v>
      </c>
      <c r="E4" s="33">
        <f>'Waste 2'!D31</f>
        <v>12.921239999999999</v>
      </c>
      <c r="F4" s="33">
        <f>'Waste 2'!E31</f>
        <v>6.8925999999999998</v>
      </c>
      <c r="G4" s="33">
        <f>'Waste 2'!F31</f>
        <v>1.6579999999999999</v>
      </c>
      <c r="H4" s="33">
        <f>'Waste 2'!G31</f>
        <v>0.02</v>
      </c>
      <c r="I4" s="33">
        <f>'Waste 2'!H31</f>
        <v>6.6300000000000012E-2</v>
      </c>
      <c r="J4" s="33">
        <f>'Waste 2'!I31</f>
        <v>0.05</v>
      </c>
      <c r="K4" s="33">
        <f>'Waste 2'!J31</f>
        <v>1E-3</v>
      </c>
      <c r="L4" s="33">
        <f>'Waste 2'!K31</f>
        <v>5.0000000000000001E-3</v>
      </c>
      <c r="M4" s="33">
        <f>'Waste 2'!L31</f>
        <v>0.02</v>
      </c>
      <c r="N4" s="33">
        <f>'Waste 2'!M31</f>
        <v>3.6900000000000002E-2</v>
      </c>
      <c r="O4" s="33">
        <f>'Waste 2'!N31</f>
        <v>0</v>
      </c>
      <c r="P4" s="33">
        <f>'Waste 2'!O31</f>
        <v>0</v>
      </c>
      <c r="Q4" s="33">
        <f>'Waste 2'!P31</f>
        <v>52.7</v>
      </c>
      <c r="R4" s="33">
        <f>'Waste 2'!Q31</f>
        <v>21.85</v>
      </c>
      <c r="S4" s="33">
        <f>'Waste 2'!R31</f>
        <v>0</v>
      </c>
      <c r="T4" s="33">
        <f>'Waste 2'!S31</f>
        <v>0</v>
      </c>
      <c r="U4" s="33">
        <f>'Waste 2'!T31</f>
        <v>0</v>
      </c>
      <c r="V4" s="33">
        <f>'Waste 2'!U31</f>
        <v>0</v>
      </c>
    </row>
    <row r="5" spans="1:22" x14ac:dyDescent="0.25">
      <c r="A5" s="36">
        <v>3</v>
      </c>
      <c r="B5" s="91"/>
      <c r="C5" s="33">
        <f>'Waste 3'!B31</f>
        <v>100</v>
      </c>
      <c r="D5" s="33">
        <f>'Waste 3'!C31</f>
        <v>40</v>
      </c>
      <c r="E5" s="33">
        <f>'Waste 3'!D31</f>
        <v>35.281399999999998</v>
      </c>
      <c r="F5" s="33">
        <f>'Waste 3'!E31</f>
        <v>45.428500000000007</v>
      </c>
      <c r="G5" s="33">
        <f>'Waste 3'!F31</f>
        <v>9.1355800000000009</v>
      </c>
      <c r="H5" s="33">
        <f>'Waste 3'!G31</f>
        <v>7.46</v>
      </c>
      <c r="I5" s="33">
        <f>'Waste 3'!H31</f>
        <v>0.05</v>
      </c>
      <c r="J5" s="33">
        <f>'Waste 3'!I31</f>
        <v>0.05</v>
      </c>
      <c r="K5" s="33">
        <f>'Waste 3'!J31</f>
        <v>1E-3</v>
      </c>
      <c r="L5" s="33">
        <f>'Waste 3'!K31</f>
        <v>5.0000000000000001E-3</v>
      </c>
      <c r="M5" s="33">
        <f>'Waste 3'!L31</f>
        <v>0.02</v>
      </c>
      <c r="N5" s="33">
        <f>'Waste 3'!M31</f>
        <v>2.3799999999999998E-2</v>
      </c>
      <c r="O5" s="33">
        <f>'Waste 3'!N31</f>
        <v>0</v>
      </c>
      <c r="P5" s="33">
        <f>'Waste 3'!O31</f>
        <v>0</v>
      </c>
      <c r="Q5" s="33">
        <f>'Waste 3'!P31</f>
        <v>6.01</v>
      </c>
      <c r="R5" s="33">
        <f>'Waste 3'!Q31</f>
        <v>18.649999999999999</v>
      </c>
      <c r="S5" s="33">
        <f>'Waste 3'!R31</f>
        <v>0</v>
      </c>
      <c r="T5" s="33">
        <f>'Waste 3'!S31</f>
        <v>0</v>
      </c>
      <c r="U5" s="33">
        <f>'Waste 3'!T31</f>
        <v>0</v>
      </c>
      <c r="V5" s="33">
        <f>'Waste 3'!U31</f>
        <v>0</v>
      </c>
    </row>
    <row r="6" spans="1:22" x14ac:dyDescent="0.25">
      <c r="A6" s="36">
        <v>4</v>
      </c>
      <c r="B6" s="91"/>
      <c r="C6" s="33">
        <f>'Waste 4'!B31</f>
        <v>30</v>
      </c>
      <c r="D6" s="33">
        <f>'Waste 4'!C31</f>
        <v>21.000000000000004</v>
      </c>
      <c r="E6" s="33">
        <f>'Waste 4'!D31</f>
        <v>8.7287099999999995</v>
      </c>
      <c r="F6" s="33">
        <f>'Waste 4'!E31</f>
        <v>4.1211000000000002</v>
      </c>
      <c r="G6" s="33">
        <f>'Waste 4'!F31</f>
        <v>4.4169119999999999</v>
      </c>
      <c r="H6" s="33">
        <f>'Waste 4'!G31</f>
        <v>4.1100000000000005E-2</v>
      </c>
      <c r="I6" s="33">
        <f>'Waste 4'!H31</f>
        <v>1.0289999999999999</v>
      </c>
      <c r="J6" s="33">
        <f>'Waste 4'!I31</f>
        <v>1.4999999999999999E-2</v>
      </c>
      <c r="K6" s="33">
        <f>'Waste 4'!J31</f>
        <v>9.5999999999999992E-4</v>
      </c>
      <c r="L6" s="33">
        <f>'Waste 4'!K31</f>
        <v>1.5E-3</v>
      </c>
      <c r="M6" s="33">
        <f>'Waste 4'!L31</f>
        <v>2.0789999999999999E-2</v>
      </c>
      <c r="N6" s="33">
        <f>'Waste 4'!M31</f>
        <v>1.77E-2</v>
      </c>
      <c r="O6" s="33">
        <f>'Waste 4'!N31</f>
        <v>0</v>
      </c>
      <c r="P6" s="33">
        <f>'Waste 4'!O31</f>
        <v>0</v>
      </c>
      <c r="Q6" s="33">
        <f>'Waste 4'!P31</f>
        <v>11.01</v>
      </c>
      <c r="R6" s="33">
        <f>'Waste 4'!Q31</f>
        <v>7.7250000000000005</v>
      </c>
      <c r="S6" s="33">
        <f>'Waste 4'!R31</f>
        <v>0</v>
      </c>
      <c r="T6" s="33">
        <f>'Waste 4'!S31</f>
        <v>0</v>
      </c>
      <c r="U6" s="33">
        <f>'Waste 4'!T31</f>
        <v>0</v>
      </c>
      <c r="V6" s="33">
        <f>'Waste 4'!U31</f>
        <v>0</v>
      </c>
    </row>
    <row r="7" spans="1:22" x14ac:dyDescent="0.25">
      <c r="A7" s="36">
        <v>5</v>
      </c>
      <c r="B7" s="91"/>
      <c r="C7" s="33">
        <f>'Waste 5'!B31</f>
        <v>68</v>
      </c>
      <c r="D7" s="33">
        <f>'Waste 5'!C31</f>
        <v>54.400000000000006</v>
      </c>
      <c r="E7" s="33">
        <f>'Waste 5'!D31</f>
        <v>62.470987999999998</v>
      </c>
      <c r="F7" s="33">
        <f>'Waste 5'!E31</f>
        <v>13.68398</v>
      </c>
      <c r="G7" s="33">
        <f>'Waste 5'!F31</f>
        <v>12.176352</v>
      </c>
      <c r="H7" s="33">
        <f>'Waste 5'!G31</f>
        <v>0.15367999999999998</v>
      </c>
      <c r="I7" s="33">
        <f>'Waste 5'!H31</f>
        <v>0.67864000000000002</v>
      </c>
      <c r="J7" s="33">
        <f>'Waste 5'!I31</f>
        <v>3.4000000000000002E-2</v>
      </c>
      <c r="K7" s="33">
        <f>'Waste 5'!J31</f>
        <v>6.8000000000000005E-4</v>
      </c>
      <c r="L7" s="33">
        <f>'Waste 5'!K31</f>
        <v>3.4000000000000002E-3</v>
      </c>
      <c r="M7" s="33">
        <f>'Waste 5'!L31</f>
        <v>7.1400000000000005E-2</v>
      </c>
      <c r="N7" s="33">
        <f>'Waste 5'!M31</f>
        <v>6.1472000000000006E-2</v>
      </c>
      <c r="O7" s="33">
        <f>'Waste 5'!N31</f>
        <v>0</v>
      </c>
      <c r="P7" s="33">
        <f>'Waste 5'!O31</f>
        <v>0</v>
      </c>
      <c r="Q7" s="33">
        <f>'Waste 5'!P31</f>
        <v>42.771999999999998</v>
      </c>
      <c r="R7" s="33">
        <f>'Waste 5'!Q31</f>
        <v>62.56</v>
      </c>
      <c r="S7" s="33">
        <f>'Waste 5'!R31</f>
        <v>0</v>
      </c>
      <c r="T7" s="33">
        <f>'Waste 5'!S31</f>
        <v>0</v>
      </c>
      <c r="U7" s="33">
        <f>'Waste 5'!T31</f>
        <v>0</v>
      </c>
      <c r="V7" s="33">
        <f>'Waste 5'!U31</f>
        <v>0</v>
      </c>
    </row>
    <row r="8" spans="1:22" x14ac:dyDescent="0.25">
      <c r="A8" s="36">
        <v>6</v>
      </c>
      <c r="B8" s="91"/>
      <c r="C8" s="33">
        <f>'Waste 6'!B31</f>
        <v>92</v>
      </c>
      <c r="D8" s="33">
        <f>'Waste 6'!C31</f>
        <v>119.60000000000001</v>
      </c>
      <c r="E8" s="33">
        <f>'Waste 6'!D31</f>
        <v>63.231599999999993</v>
      </c>
      <c r="F8" s="33">
        <f>'Waste 6'!E31</f>
        <v>25.27608</v>
      </c>
      <c r="G8" s="33">
        <f>'Waste 6'!F31</f>
        <v>13.301139199999998</v>
      </c>
      <c r="H8" s="33">
        <f>'Waste 6'!G31</f>
        <v>0.19964000000000001</v>
      </c>
      <c r="I8" s="33">
        <f>'Waste 6'!H31</f>
        <v>0.86755999999999989</v>
      </c>
      <c r="J8" s="33">
        <f>'Waste 6'!I31</f>
        <v>5.8235999999999996E-2</v>
      </c>
      <c r="K8" s="33">
        <f>'Waste 6'!J31</f>
        <v>1.196E-3</v>
      </c>
      <c r="L8" s="33">
        <f>'Waste 6'!K31</f>
        <v>4.5999999999999999E-3</v>
      </c>
      <c r="M8" s="33">
        <f>'Waste 6'!L31</f>
        <v>3.0544000000000005E-2</v>
      </c>
      <c r="N8" s="33">
        <f>'Waste 6'!M31</f>
        <v>6.6699999999999995E-2</v>
      </c>
      <c r="O8" s="33">
        <f>'Waste 6'!N31</f>
        <v>0</v>
      </c>
      <c r="P8" s="33">
        <f>'Waste 6'!O31</f>
        <v>0</v>
      </c>
      <c r="Q8" s="33">
        <f>'Waste 6'!P31</f>
        <v>73.323999999999998</v>
      </c>
      <c r="R8" s="33">
        <f>'Waste 6'!Q31</f>
        <v>119.60000000000001</v>
      </c>
      <c r="S8" s="33">
        <f>'Waste 6'!R31</f>
        <v>0</v>
      </c>
      <c r="T8" s="33">
        <f>'Waste 6'!S31</f>
        <v>0</v>
      </c>
      <c r="U8" s="33">
        <f>'Waste 6'!T31</f>
        <v>0</v>
      </c>
      <c r="V8" s="33">
        <f>'Waste 6'!U31</f>
        <v>0</v>
      </c>
    </row>
    <row r="9" spans="1:22" x14ac:dyDescent="0.25">
      <c r="A9" s="36">
        <v>7</v>
      </c>
      <c r="B9" s="91"/>
      <c r="C9" s="33">
        <f>'Waste 7'!B31</f>
        <v>77</v>
      </c>
      <c r="D9" s="33">
        <f>'Waste 7'!C31</f>
        <v>46.199999999999996</v>
      </c>
      <c r="E9" s="33">
        <f>'Waste 7'!D31</f>
        <v>62.977298999999995</v>
      </c>
      <c r="F9" s="33">
        <f>'Waste 7'!E31</f>
        <v>5.9011260000000014</v>
      </c>
      <c r="G9" s="33">
        <f>'Waste 7'!F31</f>
        <v>3.2810161999999998</v>
      </c>
      <c r="H9" s="33">
        <f>'Waste 7'!G31</f>
        <v>3.696E-2</v>
      </c>
      <c r="I9" s="33">
        <f>'Waste 7'!H31</f>
        <v>0.49819000000000002</v>
      </c>
      <c r="J9" s="33">
        <f>'Waste 7'!I31</f>
        <v>3.85E-2</v>
      </c>
      <c r="K9" s="33">
        <f>'Waste 7'!J31</f>
        <v>7.7000000000000007E-4</v>
      </c>
      <c r="L9" s="33">
        <f>'Waste 7'!K31</f>
        <v>3.8500000000000001E-3</v>
      </c>
      <c r="M9" s="33">
        <f>'Waste 7'!L31</f>
        <v>2.2560999999999998E-2</v>
      </c>
      <c r="N9" s="33">
        <f>'Waste 7'!M31</f>
        <v>8.7779999999999997E-2</v>
      </c>
      <c r="O9" s="33">
        <f>'Waste 7'!N31</f>
        <v>0</v>
      </c>
      <c r="P9" s="33">
        <f>'Waste 7'!O31</f>
        <v>0</v>
      </c>
      <c r="Q9" s="33">
        <f>'Waste 7'!P31</f>
        <v>234.00300000000001</v>
      </c>
      <c r="R9" s="33">
        <f>'Waste 7'!Q31</f>
        <v>247.74749999999997</v>
      </c>
      <c r="S9" s="33">
        <f>'Waste 7'!R31</f>
        <v>0</v>
      </c>
      <c r="T9" s="33">
        <f>'Waste 7'!S31</f>
        <v>0</v>
      </c>
      <c r="U9" s="33">
        <f>'Waste 7'!T31</f>
        <v>0</v>
      </c>
      <c r="V9" s="33">
        <f>'Waste 7'!U31</f>
        <v>0</v>
      </c>
    </row>
    <row r="10" spans="1:22" x14ac:dyDescent="0.25">
      <c r="A10" s="36">
        <v>8</v>
      </c>
      <c r="B10" s="91"/>
      <c r="C10" s="33">
        <f>'Waste 8'!B31</f>
        <v>0</v>
      </c>
      <c r="D10" s="33">
        <f>'Waste 8'!C31</f>
        <v>0</v>
      </c>
      <c r="E10" s="33">
        <f>'Waste 8'!D31</f>
        <v>0</v>
      </c>
      <c r="F10" s="33">
        <f>'Waste 8'!E31</f>
        <v>0</v>
      </c>
      <c r="G10" s="33">
        <f>'Waste 8'!F31</f>
        <v>0</v>
      </c>
      <c r="H10" s="33">
        <f>'Waste 8'!G31</f>
        <v>0</v>
      </c>
      <c r="I10" s="33">
        <f>'Waste 8'!H31</f>
        <v>0</v>
      </c>
      <c r="J10" s="33">
        <f>'Waste 8'!I31</f>
        <v>0</v>
      </c>
      <c r="K10" s="33">
        <f>'Waste 8'!J31</f>
        <v>0</v>
      </c>
      <c r="L10" s="33">
        <f>'Waste 8'!K31</f>
        <v>0</v>
      </c>
      <c r="M10" s="33">
        <f>'Waste 8'!L31</f>
        <v>0</v>
      </c>
      <c r="N10" s="33">
        <f>'Waste 8'!M31</f>
        <v>0</v>
      </c>
      <c r="O10" s="33">
        <f>'Waste 8'!N31</f>
        <v>0</v>
      </c>
      <c r="P10" s="33">
        <f>'Waste 8'!O31</f>
        <v>0</v>
      </c>
      <c r="Q10" s="33">
        <f>'Waste 8'!P31</f>
        <v>0</v>
      </c>
      <c r="R10" s="33">
        <f>'Waste 8'!Q31</f>
        <v>0</v>
      </c>
      <c r="S10" s="33">
        <f>'Waste 8'!R31</f>
        <v>0</v>
      </c>
      <c r="T10" s="33">
        <f>'Waste 8'!S31</f>
        <v>0</v>
      </c>
      <c r="U10" s="33">
        <f>'Waste 8'!T31</f>
        <v>0</v>
      </c>
      <c r="V10" s="33">
        <f>'Waste 8'!U31</f>
        <v>0</v>
      </c>
    </row>
    <row r="11" spans="1:22" x14ac:dyDescent="0.25">
      <c r="A11" s="36">
        <v>9</v>
      </c>
      <c r="B11" s="91"/>
      <c r="C11" s="33">
        <f>'Waste 9'!B31</f>
        <v>0</v>
      </c>
      <c r="D11" s="33">
        <f>'Waste 9'!C31</f>
        <v>0</v>
      </c>
      <c r="E11" s="33">
        <f>'Waste 9'!D31</f>
        <v>0</v>
      </c>
      <c r="F11" s="33">
        <f>'Waste 9'!E31</f>
        <v>0</v>
      </c>
      <c r="G11" s="33">
        <f>'Waste 9'!F31</f>
        <v>0</v>
      </c>
      <c r="H11" s="33">
        <f>'Waste 9'!G31</f>
        <v>0</v>
      </c>
      <c r="I11" s="33">
        <f>'Waste 9'!H31</f>
        <v>0</v>
      </c>
      <c r="J11" s="33">
        <f>'Waste 9'!I31</f>
        <v>0</v>
      </c>
      <c r="K11" s="33">
        <f>'Waste 9'!J31</f>
        <v>0</v>
      </c>
      <c r="L11" s="33">
        <f>'Waste 9'!K31</f>
        <v>0</v>
      </c>
      <c r="M11" s="33">
        <f>'Waste 9'!L31</f>
        <v>0</v>
      </c>
      <c r="N11" s="33">
        <f>'Waste 9'!M31</f>
        <v>0</v>
      </c>
      <c r="O11" s="33">
        <f>'Waste 9'!N31</f>
        <v>0</v>
      </c>
      <c r="P11" s="33">
        <f>'Waste 9'!O31</f>
        <v>0</v>
      </c>
      <c r="Q11" s="33">
        <f>'Waste 9'!P31</f>
        <v>0</v>
      </c>
      <c r="R11" s="33">
        <f>'Waste 9'!Q31</f>
        <v>0</v>
      </c>
      <c r="S11" s="33">
        <f>'Waste 9'!R31</f>
        <v>0</v>
      </c>
      <c r="T11" s="33">
        <f>'Waste 9'!S31</f>
        <v>0</v>
      </c>
      <c r="U11" s="33">
        <f>'Waste 9'!T31</f>
        <v>0</v>
      </c>
      <c r="V11" s="33">
        <f>'Waste 9'!U31</f>
        <v>0</v>
      </c>
    </row>
    <row r="12" spans="1:22" x14ac:dyDescent="0.25">
      <c r="A12" s="36">
        <v>10</v>
      </c>
      <c r="B12" s="91"/>
      <c r="C12" s="33">
        <f>'Waste 10'!B31</f>
        <v>0</v>
      </c>
      <c r="D12" s="33">
        <f>'Waste 10'!C31</f>
        <v>0</v>
      </c>
      <c r="E12" s="33">
        <f>'Waste 10'!D31</f>
        <v>0</v>
      </c>
      <c r="F12" s="33">
        <f>'Waste 10'!E31</f>
        <v>0</v>
      </c>
      <c r="G12" s="33">
        <f>'Waste 10'!F31</f>
        <v>0</v>
      </c>
      <c r="H12" s="33">
        <f>'Waste 10'!G31</f>
        <v>0</v>
      </c>
      <c r="I12" s="33">
        <f>'Waste 10'!H31</f>
        <v>0</v>
      </c>
      <c r="J12" s="33">
        <f>'Waste 10'!I31</f>
        <v>0</v>
      </c>
      <c r="K12" s="33">
        <f>'Waste 10'!J31</f>
        <v>0</v>
      </c>
      <c r="L12" s="33">
        <f>'Waste 10'!K31</f>
        <v>0</v>
      </c>
      <c r="M12" s="33">
        <f>'Waste 10'!L31</f>
        <v>0</v>
      </c>
      <c r="N12" s="33">
        <f>'Waste 10'!M31</f>
        <v>0</v>
      </c>
      <c r="O12" s="33">
        <f>'Waste 10'!N31</f>
        <v>0</v>
      </c>
      <c r="P12" s="33">
        <f>'Waste 10'!O31</f>
        <v>0</v>
      </c>
      <c r="Q12" s="33">
        <f>'Waste 10'!P31</f>
        <v>0</v>
      </c>
      <c r="R12" s="33">
        <f>'Waste 10'!Q31</f>
        <v>0</v>
      </c>
      <c r="S12" s="33">
        <f>'Waste 10'!R31</f>
        <v>0</v>
      </c>
      <c r="T12" s="33">
        <f>'Waste 10'!S31</f>
        <v>0</v>
      </c>
      <c r="U12" s="33">
        <f>'Waste 10'!T31</f>
        <v>0</v>
      </c>
      <c r="V12" s="33">
        <f>'Waste 10'!U31</f>
        <v>0</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4" t="s">
        <v>84</v>
      </c>
      <c r="B15" s="35" t="s">
        <v>152</v>
      </c>
      <c r="C15" s="35">
        <f>'Field data and Waste 1'!B43</f>
        <v>66</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4"/>
      <c r="B16" s="32" t="s">
        <v>46</v>
      </c>
      <c r="C16" s="35">
        <f>'Field data and Waste 1'!B44</f>
        <v>66</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66</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100</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100</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30</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68</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92</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77</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f t="shared" si="15"/>
        <v>0</v>
      </c>
      <c r="D24" s="88">
        <f>D10*$B$10</f>
        <v>0</v>
      </c>
      <c r="E24" s="88">
        <f t="shared" ref="E24:V24" si="16">E10*$B$10</f>
        <v>0</v>
      </c>
      <c r="F24" s="88">
        <f t="shared" si="16"/>
        <v>0</v>
      </c>
      <c r="G24" s="88">
        <f t="shared" si="16"/>
        <v>0</v>
      </c>
      <c r="H24" s="88">
        <f t="shared" si="16"/>
        <v>0</v>
      </c>
      <c r="I24" s="88">
        <f t="shared" si="16"/>
        <v>0</v>
      </c>
      <c r="J24" s="88">
        <f t="shared" si="16"/>
        <v>0</v>
      </c>
      <c r="K24" s="88">
        <f t="shared" si="16"/>
        <v>0</v>
      </c>
      <c r="L24" s="88">
        <f t="shared" si="16"/>
        <v>0</v>
      </c>
      <c r="M24" s="88">
        <f t="shared" si="16"/>
        <v>0</v>
      </c>
      <c r="N24" s="88">
        <f t="shared" si="16"/>
        <v>0</v>
      </c>
      <c r="O24" s="88">
        <f t="shared" si="16"/>
        <v>0</v>
      </c>
      <c r="P24" s="88">
        <f t="shared" si="16"/>
        <v>0</v>
      </c>
      <c r="Q24" s="88">
        <f t="shared" si="16"/>
        <v>0</v>
      </c>
      <c r="R24" s="88">
        <f t="shared" si="16"/>
        <v>0</v>
      </c>
      <c r="S24" s="88">
        <f t="shared" si="16"/>
        <v>0</v>
      </c>
      <c r="T24" s="88">
        <f t="shared" si="16"/>
        <v>0</v>
      </c>
      <c r="U24" s="88">
        <f t="shared" si="16"/>
        <v>0</v>
      </c>
      <c r="V24" s="88">
        <f t="shared" si="16"/>
        <v>0</v>
      </c>
    </row>
    <row r="25" spans="1:22" x14ac:dyDescent="0.25">
      <c r="A25" s="85">
        <v>9</v>
      </c>
      <c r="B25" s="86">
        <f t="shared" ref="B25:C25" si="17">B11</f>
        <v>0</v>
      </c>
      <c r="C25" s="87">
        <f t="shared" si="17"/>
        <v>0</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f t="shared" si="19"/>
        <v>0</v>
      </c>
      <c r="D26" s="88">
        <f>D12*$B$12</f>
        <v>0</v>
      </c>
      <c r="E26" s="88">
        <f t="shared" ref="E26:V26" si="20">E12*$B$12</f>
        <v>0</v>
      </c>
      <c r="F26" s="88">
        <f t="shared" si="20"/>
        <v>0</v>
      </c>
      <c r="G26" s="88">
        <f t="shared" si="20"/>
        <v>0</v>
      </c>
      <c r="H26" s="88">
        <f t="shared" si="20"/>
        <v>0</v>
      </c>
      <c r="I26" s="88">
        <f t="shared" si="20"/>
        <v>0</v>
      </c>
      <c r="J26" s="88">
        <f t="shared" si="20"/>
        <v>0</v>
      </c>
      <c r="K26" s="88">
        <f t="shared" si="20"/>
        <v>0</v>
      </c>
      <c r="L26" s="88">
        <f t="shared" si="20"/>
        <v>0</v>
      </c>
      <c r="M26" s="88">
        <f t="shared" si="20"/>
        <v>0</v>
      </c>
      <c r="N26" s="88">
        <f t="shared" si="20"/>
        <v>0</v>
      </c>
      <c r="O26" s="88">
        <f t="shared" si="20"/>
        <v>0</v>
      </c>
      <c r="P26" s="88">
        <f t="shared" si="20"/>
        <v>0</v>
      </c>
      <c r="Q26" s="88">
        <f t="shared" si="20"/>
        <v>0</v>
      </c>
      <c r="R26" s="88">
        <f t="shared" si="20"/>
        <v>0</v>
      </c>
      <c r="S26" s="88">
        <f t="shared" si="20"/>
        <v>0</v>
      </c>
      <c r="T26" s="88">
        <f t="shared" si="20"/>
        <v>0</v>
      </c>
      <c r="U26" s="88">
        <f t="shared" si="20"/>
        <v>0</v>
      </c>
      <c r="V26" s="88">
        <f t="shared" si="20"/>
        <v>0</v>
      </c>
    </row>
    <row r="27" spans="1:22" s="90" customFormat="1" ht="15.5" x14ac:dyDescent="0.35">
      <c r="A27" s="146" t="s">
        <v>85</v>
      </c>
      <c r="B27" s="146"/>
      <c r="C27" s="146"/>
      <c r="D27" s="89">
        <f>SUM(D17:D26)</f>
        <v>0</v>
      </c>
      <c r="E27" s="89">
        <f t="shared" ref="E27:V27" si="21">SUM(E17:E26)</f>
        <v>0</v>
      </c>
      <c r="F27" s="89">
        <f t="shared" si="21"/>
        <v>0</v>
      </c>
      <c r="G27" s="89">
        <f t="shared" si="21"/>
        <v>0</v>
      </c>
      <c r="H27" s="89">
        <f t="shared" si="21"/>
        <v>0</v>
      </c>
      <c r="I27" s="89">
        <f t="shared" si="21"/>
        <v>0</v>
      </c>
      <c r="J27" s="89">
        <f t="shared" si="21"/>
        <v>0</v>
      </c>
      <c r="K27" s="89">
        <f t="shared" si="21"/>
        <v>0</v>
      </c>
      <c r="L27" s="89">
        <f t="shared" si="21"/>
        <v>0</v>
      </c>
      <c r="M27" s="89">
        <f t="shared" si="21"/>
        <v>0</v>
      </c>
      <c r="N27" s="89">
        <f t="shared" si="21"/>
        <v>0</v>
      </c>
      <c r="O27" s="89">
        <f t="shared" si="21"/>
        <v>0</v>
      </c>
      <c r="P27" s="89">
        <f t="shared" si="21"/>
        <v>0</v>
      </c>
      <c r="Q27" s="89">
        <f t="shared" si="21"/>
        <v>0</v>
      </c>
      <c r="R27" s="89">
        <f t="shared" si="21"/>
        <v>0</v>
      </c>
      <c r="S27" s="89">
        <f t="shared" si="21"/>
        <v>0</v>
      </c>
      <c r="T27" s="89">
        <f t="shared" si="21"/>
        <v>0</v>
      </c>
      <c r="U27" s="89">
        <f t="shared" si="21"/>
        <v>0</v>
      </c>
      <c r="V27" s="89">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REGU-415-1631715</_dlc_DocId>
    <_dlc_DocIdUrl xmlns="9be56660-2c31-41ef-bc00-23e72f632f2a">
      <Url>https://cyfoethnaturiolcymru.sharepoint.com/teams/Regulatory/Permitting/_layouts/15/DocIdRedir.aspx?ID=REGU-415-1631715</Url>
      <Description>REGU-415-1631715</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2024-05-06T23:00:00+00:00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102" PreviousValue="false"/>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3EB88BFD-E29A-4849-A8E6-116EB74B98EA}">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C7684167-D32D-49EB-96EA-A1905EC6F870}"/>
</file>

<file path=customXml/itemProps4.xml><?xml version="1.0" encoding="utf-8"?>
<ds:datastoreItem xmlns:ds="http://schemas.openxmlformats.org/officeDocument/2006/customXml" ds:itemID="{76DD5599-1A64-4D77-9E7A-89D43526BAF9}"/>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Waste 1</vt:lpstr>
      <vt:lpstr>Waste 2</vt:lpstr>
      <vt:lpstr>Waste 3</vt:lpstr>
      <vt:lpstr>Waste 4</vt:lpstr>
      <vt:lpstr>Waste 5</vt:lpstr>
      <vt:lpstr>Waste 6</vt:lpstr>
      <vt:lpstr>Waste 7</vt:lpstr>
      <vt:lpstr>Waste 8</vt:lpstr>
      <vt:lpstr>Waste 9</vt:lpstr>
      <vt:lpstr>Waste 10</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Banfield, Ethan</cp:lastModifiedBy>
  <dcterms:created xsi:type="dcterms:W3CDTF">2016-09-26T10:07:59Z</dcterms:created>
  <dcterms:modified xsi:type="dcterms:W3CDTF">2024-05-07T11:00:04Z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744980ca-c737-4f81-8360-30722500959a</vt:lpwstr>
  </property>
  <property fmtid="{D5CDD505-2E9C-101B-9397-08002B2CF9AE}" pid="4" name="Order">
    <vt:r8>11279100</vt:r8>
  </property>
  <property fmtid="{D5CDD505-2E9C-101B-9397-08002B2CF9AE}" pid="5" name="MediaServiceImageTags">
    <vt:lpwstr/>
  </property>
  <property fmtid="{D5CDD505-2E9C-101B-9397-08002B2CF9AE}" pid="6" name="TaxCatchAll">
    <vt:lpwstr/>
  </property>
  <property fmtid="{D5CDD505-2E9C-101B-9397-08002B2CF9AE}" pid="7" name="lcf76f155ced4ddcb4097134ff3c332f">
    <vt:lpwstr/>
  </property>
</Properties>
</file>