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5082D/"/>
    </mc:Choice>
  </mc:AlternateContent>
  <xr:revisionPtr revIDLastSave="0" documentId="13_ncr:1_{D3193C30-2B6E-45B0-9498-38193BCEF81A}" xr6:coauthVersionLast="47" xr6:coauthVersionMax="47" xr10:uidLastSave="{00000000-0000-0000-0000-000000000000}"/>
  <bookViews>
    <workbookView xWindow="-28920" yWindow="-120" windowWidth="29040" windowHeight="15840" tabRatio="870" activeTab="9" xr2:uid="{00000000-000D-0000-FFFF-FFFF00000000}"/>
  </bookViews>
  <sheets>
    <sheet name="Volac" sheetId="1" r:id="rId1"/>
    <sheet name="Penderyn Brecon" sheetId="21" r:id="rId2"/>
    <sheet name="Pendeyrn Swansea" sheetId="27" r:id="rId3"/>
    <sheet name="DCWW Cefn Dryscoed" sheetId="28" r:id="rId4"/>
    <sheet name="DCWW CRAY" sheetId="30" r:id="rId5"/>
    <sheet name="DCWW HIRWAUN" sheetId="26" r:id="rId6"/>
    <sheet name="DCWW FELINDRE" sheetId="24" r:id="rId7"/>
    <sheet name="DCWW BRYN GWYN" sheetId="29" r:id="rId8"/>
    <sheet name="DCWW CAPEL DEWI" sheetId="23" r:id="rId9"/>
    <sheet name="DCWW LLECHRYD"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N22" i="30"/>
  <c r="I22" i="30"/>
  <c r="V20" i="30"/>
  <c r="U20" i="30"/>
  <c r="T20" i="30"/>
  <c r="S20" i="30"/>
  <c r="R20" i="30"/>
  <c r="Q20" i="30"/>
  <c r="P20" i="30"/>
  <c r="O20" i="30"/>
  <c r="N20" i="30"/>
  <c r="M20" i="30"/>
  <c r="T18" i="30"/>
  <c r="Q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0" i="29"/>
  <c r="U20" i="29"/>
  <c r="T20" i="29"/>
  <c r="S20" i="29"/>
  <c r="R20" i="29"/>
  <c r="Q20" i="29"/>
  <c r="P20" i="29"/>
  <c r="O20" i="29"/>
  <c r="N20" i="29"/>
  <c r="M20" i="29"/>
  <c r="R18" i="29"/>
  <c r="P18" i="29"/>
  <c r="L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M22" i="28"/>
  <c r="V20" i="28"/>
  <c r="U20" i="28"/>
  <c r="T20" i="28"/>
  <c r="S20" i="28"/>
  <c r="R20" i="28"/>
  <c r="Q20" i="28"/>
  <c r="P20" i="28"/>
  <c r="O20" i="28"/>
  <c r="N20" i="28"/>
  <c r="M20" i="28"/>
  <c r="V18" i="28"/>
  <c r="P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T18" i="27"/>
  <c r="S18" i="27"/>
  <c r="R18"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V20" i="26"/>
  <c r="U20" i="26"/>
  <c r="T20" i="26"/>
  <c r="S20" i="26"/>
  <c r="R20" i="26"/>
  <c r="Q20" i="26"/>
  <c r="P20" i="26"/>
  <c r="O20" i="26"/>
  <c r="N20" i="26"/>
  <c r="M20" i="26"/>
  <c r="T18" i="26"/>
  <c r="S18" i="26"/>
  <c r="O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M22" i="24"/>
  <c r="V20" i="24"/>
  <c r="U20" i="24"/>
  <c r="T20" i="24"/>
  <c r="S20" i="24"/>
  <c r="R20" i="24"/>
  <c r="Q20" i="24"/>
  <c r="P20" i="24"/>
  <c r="O20" i="24"/>
  <c r="N20" i="24"/>
  <c r="M20" i="24"/>
  <c r="V18" i="24"/>
  <c r="U18" i="24"/>
  <c r="P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O20" i="23"/>
  <c r="N20" i="23"/>
  <c r="M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O22" i="22"/>
  <c r="M22" i="22"/>
  <c r="G22" i="22"/>
  <c r="V20" i="22"/>
  <c r="U20" i="22"/>
  <c r="T20" i="22"/>
  <c r="S20" i="22"/>
  <c r="R20" i="22"/>
  <c r="Q20" i="22"/>
  <c r="P20" i="22"/>
  <c r="O20" i="22"/>
  <c r="N20" i="22"/>
  <c r="M20" i="22"/>
  <c r="V18" i="22"/>
  <c r="S18"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U63" i="27" l="1"/>
  <c r="H10" i="19"/>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23" i="29" s="1"/>
  <c r="L24" i="29" s="1"/>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I23" i="21" s="1"/>
  <c r="I24" i="21" s="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19" i="22" s="1"/>
  <c r="J20" i="22" s="1"/>
  <c r="J21" i="22"/>
  <c r="J23" i="22" s="1"/>
  <c r="J24" i="22" s="1"/>
  <c r="K59" i="23"/>
  <c r="L17" i="23"/>
  <c r="L19" i="23" s="1"/>
  <c r="L20" i="23" s="1"/>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21" i="28"/>
  <c r="K23" i="28" s="1"/>
  <c r="K24" i="28" s="1"/>
  <c r="R59" i="28"/>
  <c r="S17" i="28"/>
  <c r="S21" i="28"/>
  <c r="S23" i="28" s="1"/>
  <c r="S24" i="28" s="1"/>
  <c r="I59" i="29"/>
  <c r="J17" i="29"/>
  <c r="J19" i="29" s="1"/>
  <c r="J20" i="29" s="1"/>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23" i="28" s="1"/>
  <c r="L24" i="28" s="1"/>
  <c r="L17" i="28"/>
  <c r="L19" i="28" s="1"/>
  <c r="L20" i="28" s="1"/>
  <c r="S59" i="28"/>
  <c r="T21" i="28"/>
  <c r="T17" i="28"/>
  <c r="T19" i="28" s="1"/>
  <c r="J59" i="29"/>
  <c r="K17" i="29"/>
  <c r="K19" i="29" s="1"/>
  <c r="K20"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1" i="23"/>
  <c r="J59" i="24"/>
  <c r="K21" i="24"/>
  <c r="K23" i="24" s="1"/>
  <c r="K24" i="24" s="1"/>
  <c r="K17" i="24"/>
  <c r="R59" i="24"/>
  <c r="S21" i="24"/>
  <c r="S23" i="24" s="1"/>
  <c r="S24" i="24" s="1"/>
  <c r="S17" i="24"/>
  <c r="G21" i="26"/>
  <c r="G17" i="26"/>
  <c r="G19" i="26" s="1"/>
  <c r="G20" i="26" s="1"/>
  <c r="O17" i="26"/>
  <c r="O21" i="26"/>
  <c r="E59" i="27"/>
  <c r="F17" i="27"/>
  <c r="F19" i="27" s="1"/>
  <c r="F20" i="27" s="1"/>
  <c r="M59" i="27"/>
  <c r="N17" i="27"/>
  <c r="U59" i="27"/>
  <c r="V17" i="27"/>
  <c r="E59" i="28"/>
  <c r="F17" i="28"/>
  <c r="F19" i="28" s="1"/>
  <c r="F20" i="28" s="1"/>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G23" i="22" s="1"/>
  <c r="G24" i="22" s="1"/>
  <c r="O17" i="22"/>
  <c r="O19"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23" i="24" s="1"/>
  <c r="L24" i="24" s="1"/>
  <c r="L17" i="24"/>
  <c r="L19" i="24" s="1"/>
  <c r="L20"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21" i="29"/>
  <c r="F23" i="29" s="1"/>
  <c r="F24" i="29" s="1"/>
  <c r="M59" i="29"/>
  <c r="N17" i="29"/>
  <c r="N21" i="29"/>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23" i="23" s="1"/>
  <c r="J24" i="23" s="1"/>
  <c r="J17" i="23"/>
  <c r="J19" i="23" s="1"/>
  <c r="J20" i="23" s="1"/>
  <c r="Q59" i="23"/>
  <c r="R21" i="23"/>
  <c r="R17" i="23"/>
  <c r="D59" i="24"/>
  <c r="E17" i="24"/>
  <c r="E21" i="24"/>
  <c r="E23" i="24" s="1"/>
  <c r="E24" i="24" s="1"/>
  <c r="L59" i="24"/>
  <c r="M17" i="24"/>
  <c r="M19" i="24" s="1"/>
  <c r="M21" i="24"/>
  <c r="M23" i="24" s="1"/>
  <c r="M24" i="24" s="1"/>
  <c r="T59" i="24"/>
  <c r="U21" i="24"/>
  <c r="U17" i="24"/>
  <c r="H59" i="26"/>
  <c r="I17" i="26"/>
  <c r="I19" i="26" s="1"/>
  <c r="I20" i="26" s="1"/>
  <c r="I21" i="26"/>
  <c r="I23" i="26" s="1"/>
  <c r="I24" i="26" s="1"/>
  <c r="P59" i="26"/>
  <c r="Q17" i="26"/>
  <c r="Q19" i="26" s="1"/>
  <c r="Q21" i="26"/>
  <c r="E63" i="26"/>
  <c r="H17" i="27"/>
  <c r="H19" i="27" s="1"/>
  <c r="H20" i="27" s="1"/>
  <c r="P17" i="27"/>
  <c r="P19" i="27" s="1"/>
  <c r="H21" i="28"/>
  <c r="H23" i="28" s="1"/>
  <c r="H24" i="28" s="1"/>
  <c r="H17" i="28"/>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Q19" i="27" s="1"/>
  <c r="I21" i="28"/>
  <c r="I23" i="28" s="1"/>
  <c r="I24" i="28" s="1"/>
  <c r="I17" i="28"/>
  <c r="I19" i="28" s="1"/>
  <c r="I20" i="28" s="1"/>
  <c r="Q21" i="28"/>
  <c r="Q23" i="28" s="1"/>
  <c r="Q24" i="28" s="1"/>
  <c r="Q17" i="28"/>
  <c r="Q19" i="28" s="1"/>
  <c r="H21" i="29"/>
  <c r="H23" i="29" s="1"/>
  <c r="H24" i="29" s="1"/>
  <c r="H17" i="29"/>
  <c r="H19" i="29" s="1"/>
  <c r="H20" i="29" s="1"/>
  <c r="P21" i="29"/>
  <c r="P23" i="29" s="1"/>
  <c r="P24"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R19" i="24"/>
  <c r="I21" i="27"/>
  <c r="I23" i="27" s="1"/>
  <c r="I24" i="27" s="1"/>
  <c r="Q21" i="27"/>
  <c r="Q23" i="27" s="1"/>
  <c r="Q24" i="27" s="1"/>
  <c r="R58" i="21"/>
  <c r="R61" i="21" s="1"/>
  <c r="R64" i="21" s="1"/>
  <c r="R65" i="21" s="1"/>
  <c r="O57" i="21"/>
  <c r="A43" i="21"/>
  <c r="J58" i="21"/>
  <c r="J61" i="21" s="1"/>
  <c r="G23" i="26"/>
  <c r="G24" i="26" s="1"/>
  <c r="D58" i="29"/>
  <c r="D61" i="29" s="1"/>
  <c r="P23" i="26"/>
  <c r="P24" i="26" s="1"/>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R19" i="23"/>
  <c r="J58" i="27"/>
  <c r="J61" i="27" s="1"/>
  <c r="R58" i="27"/>
  <c r="R61" i="27" s="1"/>
  <c r="R64" i="27" s="1"/>
  <c r="R65" i="27" s="1"/>
  <c r="R58" i="28"/>
  <c r="R61" i="28" s="1"/>
  <c r="R64" i="28" s="1"/>
  <c r="R65"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P65" i="22" s="1"/>
  <c r="F59" i="22"/>
  <c r="K58" i="29"/>
  <c r="K61" i="29" s="1"/>
  <c r="I58" i="23"/>
  <c r="I61" i="23" s="1"/>
  <c r="Q58" i="23"/>
  <c r="Q61" i="23" s="1"/>
  <c r="L58" i="29"/>
  <c r="L61" i="29" s="1"/>
  <c r="T58" i="29"/>
  <c r="T61" i="29" s="1"/>
  <c r="T64" i="29" s="1"/>
  <c r="T65" i="29" s="1"/>
  <c r="Q23" i="30"/>
  <c r="Q24" i="30" s="1"/>
  <c r="U23" i="30"/>
  <c r="U24" i="30" s="1"/>
  <c r="J58" i="28"/>
  <c r="J61" i="28" s="1"/>
  <c r="J64" i="28" s="1"/>
  <c r="R58" i="22"/>
  <c r="R61" i="22" s="1"/>
  <c r="R64" i="22" s="1"/>
  <c r="R65" i="22" s="1"/>
  <c r="J58" i="23"/>
  <c r="J61" i="23" s="1"/>
  <c r="J64" i="23" s="1"/>
  <c r="J58" i="24"/>
  <c r="J61" i="24" s="1"/>
  <c r="R58" i="24"/>
  <c r="R61" i="24" s="1"/>
  <c r="F57" i="24"/>
  <c r="T58" i="30"/>
  <c r="T61" i="30" s="1"/>
  <c r="T64" i="30" s="1"/>
  <c r="T65" i="30" s="1"/>
  <c r="C58" i="23"/>
  <c r="C61" i="23" s="1"/>
  <c r="K58" i="23"/>
  <c r="K61" i="23" s="1"/>
  <c r="S58" i="23"/>
  <c r="S61" i="23" s="1"/>
  <c r="F58" i="26"/>
  <c r="F61" i="26" s="1"/>
  <c r="D58" i="27"/>
  <c r="D61" i="27" s="1"/>
  <c r="D64" i="27" s="1"/>
  <c r="L58" i="27"/>
  <c r="L61" i="27" s="1"/>
  <c r="T58" i="27"/>
  <c r="T61" i="27" s="1"/>
  <c r="T64" i="27" s="1"/>
  <c r="T65" i="27" s="1"/>
  <c r="J58" i="30"/>
  <c r="J61" i="30" s="1"/>
  <c r="J64" i="30" s="1"/>
  <c r="R58" i="30"/>
  <c r="R61" i="30" s="1"/>
  <c r="R64" i="30" s="1"/>
  <c r="R65" i="30" s="1"/>
  <c r="P57" i="30"/>
  <c r="J57" i="21"/>
  <c r="H59" i="21"/>
  <c r="Q23" i="22"/>
  <c r="Q24" i="22" s="1"/>
  <c r="R21" i="27"/>
  <c r="R23" i="27" s="1"/>
  <c r="R24" i="27" s="1"/>
  <c r="E58" i="27"/>
  <c r="E61" i="27" s="1"/>
  <c r="M58" i="27"/>
  <c r="M61" i="27" s="1"/>
  <c r="U58" i="27"/>
  <c r="U61" i="27" s="1"/>
  <c r="I58" i="29"/>
  <c r="I61" i="29" s="1"/>
  <c r="Q58" i="29"/>
  <c r="Q61" i="29" s="1"/>
  <c r="Q64" i="29" s="1"/>
  <c r="Q65"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R65" i="29" s="1"/>
  <c r="P57" i="29"/>
  <c r="T23" i="30"/>
  <c r="T24" i="30" s="1"/>
  <c r="G58" i="30"/>
  <c r="G61" i="30" s="1"/>
  <c r="O58" i="30"/>
  <c r="O61" i="30" s="1"/>
  <c r="Q57" i="30"/>
  <c r="A36" i="22"/>
  <c r="G58" i="27"/>
  <c r="G61" i="27" s="1"/>
  <c r="T58" i="28"/>
  <c r="T61" i="28" s="1"/>
  <c r="T64" i="28" s="1"/>
  <c r="T65" i="28" s="1"/>
  <c r="C58" i="29"/>
  <c r="C61" i="29" s="1"/>
  <c r="C64" i="29" s="1"/>
  <c r="H58" i="30"/>
  <c r="H61" i="30" s="1"/>
  <c r="N59" i="30"/>
  <c r="K19" i="21"/>
  <c r="K20" i="21" s="1"/>
  <c r="Q57" i="21"/>
  <c r="B58" i="21"/>
  <c r="B61" i="21" s="1"/>
  <c r="I58" i="22"/>
  <c r="I61" i="22" s="1"/>
  <c r="I64"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Q65"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U65" i="23" s="1"/>
  <c r="V19" i="23"/>
  <c r="O23" i="24"/>
  <c r="O24" i="24" s="1"/>
  <c r="F58" i="24"/>
  <c r="F61" i="24" s="1"/>
  <c r="N58" i="24"/>
  <c r="N61" i="24" s="1"/>
  <c r="F59" i="24"/>
  <c r="I58" i="27"/>
  <c r="I61" i="27" s="1"/>
  <c r="Q58" i="27"/>
  <c r="Q61"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S65" i="29" s="1"/>
  <c r="P19" i="21"/>
  <c r="H23" i="22"/>
  <c r="H24" i="22" s="1"/>
  <c r="P23" i="22"/>
  <c r="P24" i="22" s="1"/>
  <c r="C58" i="22"/>
  <c r="C61" i="22" s="1"/>
  <c r="C64" i="22" s="1"/>
  <c r="K58" i="22"/>
  <c r="K61" i="22" s="1"/>
  <c r="K64" i="22" s="1"/>
  <c r="S58" i="22"/>
  <c r="S61" i="22" s="1"/>
  <c r="S64" i="22" s="1"/>
  <c r="S65" i="22" s="1"/>
  <c r="F57" i="23"/>
  <c r="D23" i="24"/>
  <c r="D24" i="24" s="1"/>
  <c r="T23" i="24"/>
  <c r="T24" i="24" s="1"/>
  <c r="G58" i="24"/>
  <c r="G61" i="24" s="1"/>
  <c r="O58" i="24"/>
  <c r="O61" i="24" s="1"/>
  <c r="N59" i="24"/>
  <c r="C58" i="26"/>
  <c r="C61" i="26" s="1"/>
  <c r="C64"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64" i="24" s="1"/>
  <c r="D65" i="24" s="1"/>
  <c r="D58" i="28"/>
  <c r="D61" i="28" s="1"/>
  <c r="D64"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L64" i="26" s="1"/>
  <c r="L65" i="26" s="1"/>
  <c r="T58" i="26"/>
  <c r="T61" i="26" s="1"/>
  <c r="F57" i="26"/>
  <c r="C58" i="27"/>
  <c r="C61" i="27" s="1"/>
  <c r="C64" i="27" s="1"/>
  <c r="K58" i="27"/>
  <c r="K61" i="27" s="1"/>
  <c r="S58" i="27"/>
  <c r="S61" i="27" s="1"/>
  <c r="S64" i="27" s="1"/>
  <c r="P57" i="27"/>
  <c r="N59" i="27"/>
  <c r="H58" i="28"/>
  <c r="H61" i="28" s="1"/>
  <c r="P58" i="28"/>
  <c r="P61" i="28" s="1"/>
  <c r="N57" i="28"/>
  <c r="T23" i="29"/>
  <c r="T24" i="29" s="1"/>
  <c r="G58" i="29"/>
  <c r="G61" i="29" s="1"/>
  <c r="O58" i="29"/>
  <c r="O61" i="29" s="1"/>
  <c r="P59" i="29"/>
  <c r="D64" i="30"/>
  <c r="D65" i="30" s="1"/>
  <c r="I57" i="30"/>
  <c r="M19" i="21"/>
  <c r="G57" i="21"/>
  <c r="E58" i="22"/>
  <c r="E61" i="22" s="1"/>
  <c r="M58" i="22"/>
  <c r="M61" i="22" s="1"/>
  <c r="M64" i="22" s="1"/>
  <c r="M65" i="22" s="1"/>
  <c r="U58" i="22"/>
  <c r="U61" i="22" s="1"/>
  <c r="A45" i="22"/>
  <c r="O57" i="22"/>
  <c r="H58" i="23"/>
  <c r="H61" i="23" s="1"/>
  <c r="P58" i="23"/>
  <c r="P61" i="23" s="1"/>
  <c r="P64" i="23" s="1"/>
  <c r="P65" i="23" s="1"/>
  <c r="I58" i="24"/>
  <c r="I61" i="24" s="1"/>
  <c r="Q58" i="24"/>
  <c r="Q61" i="24" s="1"/>
  <c r="Q64" i="24" s="1"/>
  <c r="Q65" i="24" s="1"/>
  <c r="E58" i="26"/>
  <c r="E61" i="26" s="1"/>
  <c r="M58" i="26"/>
  <c r="M61" i="26" s="1"/>
  <c r="M64" i="26" s="1"/>
  <c r="U58" i="26"/>
  <c r="U61" i="26" s="1"/>
  <c r="U64" i="26" s="1"/>
  <c r="N57" i="26"/>
  <c r="P59" i="27"/>
  <c r="I58" i="28"/>
  <c r="I61" i="28" s="1"/>
  <c r="Q58" i="28"/>
  <c r="Q61" i="28" s="1"/>
  <c r="Q64" i="28" s="1"/>
  <c r="Q65" i="28" s="1"/>
  <c r="P23" i="28"/>
  <c r="P24" i="28" s="1"/>
  <c r="H58" i="29"/>
  <c r="H61" i="29" s="1"/>
  <c r="P58" i="29"/>
  <c r="P61" i="29" s="1"/>
  <c r="E58" i="30"/>
  <c r="E61" i="30" s="1"/>
  <c r="E64" i="30" s="1"/>
  <c r="M58" i="30"/>
  <c r="M61" i="30" s="1"/>
  <c r="U58" i="30"/>
  <c r="U61" i="30" s="1"/>
  <c r="U64"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S19" i="30"/>
  <c r="S23" i="30"/>
  <c r="S24" i="30" s="1"/>
  <c r="A31" i="30"/>
  <c r="A33" i="30"/>
  <c r="A39" i="30"/>
  <c r="A41" i="30"/>
  <c r="A47" i="30"/>
  <c r="A49" i="30"/>
  <c r="G57" i="30"/>
  <c r="O57" i="30"/>
  <c r="G59" i="30"/>
  <c r="G64" i="30" s="1"/>
  <c r="G65" i="30" s="1"/>
  <c r="O59" i="30"/>
  <c r="G63" i="30"/>
  <c r="O63" i="30"/>
  <c r="P63" i="30"/>
  <c r="I63" i="30"/>
  <c r="Q63" i="30"/>
  <c r="T19" i="30"/>
  <c r="E19" i="30"/>
  <c r="E20" i="30" s="1"/>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R19" i="29"/>
  <c r="J23" i="29"/>
  <c r="J24" i="29" s="1"/>
  <c r="F57" i="29"/>
  <c r="N57" i="29"/>
  <c r="F59" i="29"/>
  <c r="N59" i="29"/>
  <c r="F63" i="29"/>
  <c r="N63" i="29"/>
  <c r="H63" i="29"/>
  <c r="S19" i="29"/>
  <c r="K23" i="29"/>
  <c r="K24" i="29" s="1"/>
  <c r="S23" i="29"/>
  <c r="S24" i="29" s="1"/>
  <c r="A31" i="29"/>
  <c r="A33" i="29"/>
  <c r="A39" i="29"/>
  <c r="A41" i="29"/>
  <c r="A47" i="29"/>
  <c r="A49" i="29"/>
  <c r="G57" i="29"/>
  <c r="O57" i="29"/>
  <c r="G59" i="29"/>
  <c r="O59" i="29"/>
  <c r="G63" i="29"/>
  <c r="O63" i="29"/>
  <c r="E19" i="29"/>
  <c r="E20" i="29" s="1"/>
  <c r="M19" i="29"/>
  <c r="U19" i="29"/>
  <c r="E23" i="29"/>
  <c r="E24" i="29" s="1"/>
  <c r="M23" i="29"/>
  <c r="M24" i="29" s="1"/>
  <c r="U23" i="29"/>
  <c r="U24" i="29" s="1"/>
  <c r="I57" i="29"/>
  <c r="Q57" i="29"/>
  <c r="I63" i="29"/>
  <c r="Q63" i="29"/>
  <c r="F19" i="29"/>
  <c r="F20" i="29" s="1"/>
  <c r="N19" i="29"/>
  <c r="V19" i="29"/>
  <c r="N23" i="29"/>
  <c r="N24" i="29" s="1"/>
  <c r="B63" i="29"/>
  <c r="J63" i="29"/>
  <c r="R63" i="29"/>
  <c r="O19" i="29"/>
  <c r="A32" i="29"/>
  <c r="A34" i="29"/>
  <c r="A40" i="29"/>
  <c r="A42" i="29"/>
  <c r="A48" i="29"/>
  <c r="A50" i="29"/>
  <c r="C63" i="29"/>
  <c r="K63" i="29"/>
  <c r="S63" i="29"/>
  <c r="P19" i="29"/>
  <c r="D63" i="29"/>
  <c r="L63" i="29"/>
  <c r="T63" i="29"/>
  <c r="E63" i="29"/>
  <c r="M63" i="29"/>
  <c r="K19" i="28"/>
  <c r="K20" i="28" s="1"/>
  <c r="S19" i="28"/>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E63" i="28"/>
  <c r="M63" i="28"/>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E63" i="27"/>
  <c r="M63" i="27"/>
  <c r="O23" i="26"/>
  <c r="O24" i="26" s="1"/>
  <c r="H64" i="26"/>
  <c r="A31" i="26"/>
  <c r="A33" i="26"/>
  <c r="A37" i="26"/>
  <c r="A39" i="26"/>
  <c r="A41" i="26"/>
  <c r="A45" i="26"/>
  <c r="A47" i="26"/>
  <c r="A49" i="26"/>
  <c r="G57" i="26"/>
  <c r="O57" i="26"/>
  <c r="G59" i="26"/>
  <c r="O59" i="26"/>
  <c r="G63" i="26"/>
  <c r="O63" i="26"/>
  <c r="T19" i="26"/>
  <c r="T23" i="26"/>
  <c r="T24" i="26" s="1"/>
  <c r="H63" i="26"/>
  <c r="P63" i="26"/>
  <c r="M19" i="26"/>
  <c r="E23" i="26"/>
  <c r="E24" i="26" s="1"/>
  <c r="M23" i="26"/>
  <c r="M24" i="26" s="1"/>
  <c r="I57" i="26"/>
  <c r="Q57" i="26"/>
  <c r="I59" i="26"/>
  <c r="I64" i="26" s="1"/>
  <c r="Q59" i="26"/>
  <c r="Q64" i="26" s="1"/>
  <c r="Q65" i="26" s="1"/>
  <c r="I63" i="26"/>
  <c r="Q63" i="26"/>
  <c r="N19" i="26"/>
  <c r="N23" i="26"/>
  <c r="N24" i="26" s="1"/>
  <c r="V23" i="26"/>
  <c r="V24" i="26" s="1"/>
  <c r="B63" i="26"/>
  <c r="J63" i="26"/>
  <c r="R63" i="26"/>
  <c r="O19" i="26"/>
  <c r="A32" i="26"/>
  <c r="A34" i="26"/>
  <c r="A40" i="26"/>
  <c r="A42" i="26"/>
  <c r="A48" i="26"/>
  <c r="A50" i="26"/>
  <c r="C63" i="26"/>
  <c r="K63" i="26"/>
  <c r="S63" i="26"/>
  <c r="P19" i="26"/>
  <c r="D63" i="26"/>
  <c r="L63" i="26"/>
  <c r="J23" i="24"/>
  <c r="J24" i="24" s="1"/>
  <c r="H23" i="24"/>
  <c r="H24" i="24" s="1"/>
  <c r="P23" i="24"/>
  <c r="P24" i="24" s="1"/>
  <c r="K19" i="24"/>
  <c r="K20" i="24" s="1"/>
  <c r="S19" i="24"/>
  <c r="A31" i="24"/>
  <c r="A33" i="24"/>
  <c r="A37" i="24"/>
  <c r="A39" i="24"/>
  <c r="A41" i="24"/>
  <c r="A45" i="24"/>
  <c r="A47" i="24"/>
  <c r="A49" i="24"/>
  <c r="G57" i="24"/>
  <c r="O57" i="24"/>
  <c r="G59" i="24"/>
  <c r="O59" i="24"/>
  <c r="G63" i="24"/>
  <c r="O63" i="24"/>
  <c r="H59" i="24"/>
  <c r="P59" i="24"/>
  <c r="H63" i="24"/>
  <c r="P63" i="24"/>
  <c r="E19" i="24"/>
  <c r="E20" i="24" s="1"/>
  <c r="U19" i="24"/>
  <c r="U23" i="24"/>
  <c r="U24" i="24" s="1"/>
  <c r="I57" i="24"/>
  <c r="Q57" i="24"/>
  <c r="I63" i="24"/>
  <c r="Q63"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T19" i="23"/>
  <c r="D23" i="23"/>
  <c r="D24" i="23" s="1"/>
  <c r="L23" i="23"/>
  <c r="L24" i="23" s="1"/>
  <c r="T23" i="23"/>
  <c r="T24" i="23" s="1"/>
  <c r="E19" i="23"/>
  <c r="E20" i="23" s="1"/>
  <c r="M19" i="23"/>
  <c r="E23" i="23"/>
  <c r="E24" i="23" s="1"/>
  <c r="M23" i="23"/>
  <c r="M24" i="23" s="1"/>
  <c r="I57" i="23"/>
  <c r="Q57" i="23"/>
  <c r="F23" i="23"/>
  <c r="F24" i="23" s="1"/>
  <c r="N23" i="23"/>
  <c r="N24" i="23" s="1"/>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L20" i="22" s="1"/>
  <c r="T19" i="22"/>
  <c r="L23" i="22"/>
  <c r="L24" i="22" s="1"/>
  <c r="T23" i="22"/>
  <c r="T24" i="22" s="1"/>
  <c r="K23" i="22"/>
  <c r="K24" i="22" s="1"/>
  <c r="A31" i="22"/>
  <c r="A33" i="22"/>
  <c r="A41" i="22"/>
  <c r="A47" i="22"/>
  <c r="M19" i="22"/>
  <c r="E23" i="22"/>
  <c r="E24" i="22" s="1"/>
  <c r="U23" i="22"/>
  <c r="U24" i="22" s="1"/>
  <c r="I57" i="22"/>
  <c r="Q57" i="22"/>
  <c r="K19" i="22"/>
  <c r="K20" i="22" s="1"/>
  <c r="A39" i="22"/>
  <c r="A49" i="22"/>
  <c r="N19" i="22"/>
  <c r="V19" i="22"/>
  <c r="V23" i="22"/>
  <c r="V24" i="22" s="1"/>
  <c r="G19" i="22"/>
  <c r="G20" i="22" s="1"/>
  <c r="A32" i="22"/>
  <c r="A34" i="22"/>
  <c r="A40" i="22"/>
  <c r="A42" i="22"/>
  <c r="A48" i="22"/>
  <c r="A50" i="22"/>
  <c r="P19" i="22"/>
  <c r="P64" i="21"/>
  <c r="P65" i="21" s="1"/>
  <c r="H23" i="21"/>
  <c r="H24" i="21" s="1"/>
  <c r="F23" i="21"/>
  <c r="F24" i="21" s="1"/>
  <c r="N23" i="21"/>
  <c r="N24" i="21" s="1"/>
  <c r="A33" i="21"/>
  <c r="A37" i="21"/>
  <c r="A41" i="21"/>
  <c r="A45" i="21"/>
  <c r="A49" i="21"/>
  <c r="E58" i="21"/>
  <c r="E61" i="21" s="1"/>
  <c r="M58" i="21"/>
  <c r="M61" i="21" s="1"/>
  <c r="U58" i="21"/>
  <c r="U61" i="21" s="1"/>
  <c r="U64" i="21" s="1"/>
  <c r="S19" i="21"/>
  <c r="G23" i="21"/>
  <c r="G24" i="21" s="1"/>
  <c r="M23" i="21"/>
  <c r="M24" i="21" s="1"/>
  <c r="C57" i="21"/>
  <c r="K57" i="21"/>
  <c r="S57" i="21"/>
  <c r="G19" i="21"/>
  <c r="G20" i="21" s="1"/>
  <c r="Q19" i="21"/>
  <c r="J23" i="21"/>
  <c r="J24" i="21" s="1"/>
  <c r="R23" i="21"/>
  <c r="R24" i="21" s="1"/>
  <c r="I19" i="21"/>
  <c r="I20" i="21" s="1"/>
  <c r="R19" i="21"/>
  <c r="A31" i="21"/>
  <c r="D64"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19" i="29" l="1"/>
  <c r="C20" i="29" s="1"/>
  <c r="S65" i="27"/>
  <c r="C23" i="21"/>
  <c r="C24" i="21" s="1"/>
  <c r="K65" i="22"/>
  <c r="I65" i="22"/>
  <c r="H65" i="22"/>
  <c r="C65" i="22"/>
  <c r="C23" i="22"/>
  <c r="C24" i="22" s="1"/>
  <c r="J65" i="23"/>
  <c r="C65" i="29"/>
  <c r="B65" i="24"/>
  <c r="I65" i="26"/>
  <c r="H65" i="26"/>
  <c r="C65" i="26"/>
  <c r="J65" i="30"/>
  <c r="E65" i="30"/>
  <c r="B65" i="30"/>
  <c r="J65" i="28"/>
  <c r="D65" i="28"/>
  <c r="D65" i="27"/>
  <c r="C65" i="27"/>
  <c r="D65" i="21"/>
  <c r="I64" i="30"/>
  <c r="I65" i="30" s="1"/>
  <c r="I64" i="29"/>
  <c r="I65" i="29" s="1"/>
  <c r="I64" i="28"/>
  <c r="I65" i="28" s="1"/>
  <c r="I64" i="27"/>
  <c r="I65" i="27" s="1"/>
  <c r="K64" i="21"/>
  <c r="K65" i="21" s="1"/>
  <c r="K64" i="27"/>
  <c r="K65" i="27" s="1"/>
  <c r="K64" i="30"/>
  <c r="K65" i="30" s="1"/>
  <c r="K64" i="28"/>
  <c r="K65" i="28" s="1"/>
  <c r="I64" i="23"/>
  <c r="I65" i="23" s="1"/>
  <c r="H64" i="23"/>
  <c r="H65" i="23" s="1"/>
  <c r="E64" i="27"/>
  <c r="E65" i="27" s="1"/>
  <c r="E64" i="22"/>
  <c r="E65" i="22" s="1"/>
  <c r="J64" i="24"/>
  <c r="J65" i="24" s="1"/>
  <c r="F64" i="26"/>
  <c r="F66" i="26" s="1"/>
  <c r="H64" i="30"/>
  <c r="H65" i="30" s="1"/>
  <c r="Q64" i="27"/>
  <c r="Q65" i="27" s="1"/>
  <c r="O64" i="22"/>
  <c r="O65" i="22" s="1"/>
  <c r="J64" i="27"/>
  <c r="J65" i="27" s="1"/>
  <c r="L64" i="28"/>
  <c r="L65" i="28" s="1"/>
  <c r="N66" i="21"/>
  <c r="N65" i="21"/>
  <c r="M66" i="26"/>
  <c r="M65" i="26"/>
  <c r="N64" i="22"/>
  <c r="N65" i="22" s="1"/>
  <c r="U66" i="21"/>
  <c r="U65" i="21"/>
  <c r="U66" i="26"/>
  <c r="U65" i="26"/>
  <c r="U66" i="30"/>
  <c r="U65" i="30"/>
  <c r="C64" i="21"/>
  <c r="C65" i="21" s="1"/>
  <c r="C64" i="30"/>
  <c r="C65" i="30" s="1"/>
  <c r="C64" i="23"/>
  <c r="C65" i="23"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23"/>
  <c r="E66" i="22"/>
  <c r="T66" i="23"/>
  <c r="Q66" i="21"/>
  <c r="P66" i="21"/>
  <c r="K66" i="27"/>
  <c r="G64" i="23"/>
  <c r="Q66" i="24"/>
  <c r="R66" i="27"/>
  <c r="C66" i="27"/>
  <c r="G64" i="27"/>
  <c r="G66" i="30"/>
  <c r="J66" i="30"/>
  <c r="F64" i="27"/>
  <c r="T66" i="27"/>
  <c r="Q66" i="22"/>
  <c r="C66" i="22"/>
  <c r="T66" i="21"/>
  <c r="S66" i="23"/>
  <c r="H66" i="30"/>
  <c r="E66" i="30"/>
  <c r="L66" i="21"/>
  <c r="S66" i="26"/>
  <c r="L66" i="26"/>
  <c r="T66" i="30"/>
  <c r="C66" i="29"/>
  <c r="H66" i="22"/>
  <c r="R66" i="28"/>
  <c r="N64" i="26"/>
  <c r="O64" i="29"/>
  <c r="P64" i="29"/>
  <c r="S64" i="1"/>
  <c r="R66" i="26"/>
  <c r="D66" i="27"/>
  <c r="N64" i="29"/>
  <c r="R66" i="30"/>
  <c r="L66" i="23"/>
  <c r="O66" i="22"/>
  <c r="R64" i="1"/>
  <c r="J66" i="23"/>
  <c r="Q64" i="1"/>
  <c r="U64" i="1"/>
  <c r="P64" i="1"/>
  <c r="J66" i="24"/>
  <c r="Q66" i="29"/>
  <c r="F64" i="29"/>
  <c r="O64" i="23"/>
  <c r="O64" i="30"/>
  <c r="N64" i="24"/>
  <c r="B66" i="30"/>
  <c r="B66" i="24"/>
  <c r="I66" i="30"/>
  <c r="R66" i="29"/>
  <c r="M66" i="29"/>
  <c r="S66" i="29"/>
  <c r="T66" i="28"/>
  <c r="D66" i="28"/>
  <c r="Q66" i="28"/>
  <c r="S66" i="28"/>
  <c r="K66" i="28"/>
  <c r="Q66" i="27"/>
  <c r="Q66" i="26"/>
  <c r="C66" i="26"/>
  <c r="I66" i="26"/>
  <c r="H66" i="26"/>
  <c r="D66" i="26"/>
  <c r="L66" i="24"/>
  <c r="I66" i="24"/>
  <c r="P66" i="24"/>
  <c r="D66" i="24"/>
  <c r="M66" i="24"/>
  <c r="I66" i="23"/>
  <c r="N66" i="23"/>
  <c r="E66" i="23"/>
  <c r="I66" i="22"/>
  <c r="M66" i="22"/>
  <c r="S66" i="22"/>
  <c r="K66" i="22"/>
  <c r="T66" i="22"/>
  <c r="M66" i="21"/>
  <c r="K66" i="21"/>
  <c r="D66" i="21"/>
  <c r="R66" i="21"/>
  <c r="N64" i="1"/>
  <c r="M64" i="1"/>
  <c r="T64" i="1"/>
  <c r="L64" i="1"/>
  <c r="J64" i="1"/>
  <c r="K64" i="1"/>
  <c r="O64" i="1"/>
  <c r="C64" i="1"/>
  <c r="I64" i="1"/>
  <c r="H64" i="1"/>
  <c r="G64" i="1"/>
  <c r="F64" i="1"/>
  <c r="E64" i="1"/>
  <c r="D64" i="1"/>
  <c r="B64" i="1"/>
  <c r="D63" i="1"/>
  <c r="L63" i="1"/>
  <c r="L65" i="1" s="1"/>
  <c r="F63" i="1"/>
  <c r="R63" i="1"/>
  <c r="R65" i="1" s="1"/>
  <c r="J63" i="1"/>
  <c r="Q63" i="1"/>
  <c r="I63" i="1"/>
  <c r="C63" i="1"/>
  <c r="K63" i="1"/>
  <c r="P63" i="1"/>
  <c r="H63" i="1"/>
  <c r="T63" i="1"/>
  <c r="S63" i="1"/>
  <c r="S65" i="1" s="1"/>
  <c r="O63" i="1"/>
  <c r="G63" i="1"/>
  <c r="N63" i="1"/>
  <c r="N65" i="1" s="1"/>
  <c r="E63" i="1"/>
  <c r="B63" i="1"/>
  <c r="U63" i="1"/>
  <c r="M63" i="1"/>
  <c r="M65" i="1" s="1"/>
  <c r="E66" i="27" l="1"/>
  <c r="J66" i="27"/>
  <c r="K65" i="1"/>
  <c r="J65" i="1"/>
  <c r="F65" i="1"/>
  <c r="E65" i="1"/>
  <c r="D65" i="1"/>
  <c r="H66" i="23"/>
  <c r="I66" i="28"/>
  <c r="I66" i="29"/>
  <c r="I66" i="27"/>
  <c r="K66" i="30"/>
  <c r="F65" i="26"/>
  <c r="O65" i="1"/>
  <c r="L66" i="22"/>
  <c r="G65" i="1"/>
  <c r="T66" i="1"/>
  <c r="T65" i="1"/>
  <c r="K66" i="24"/>
  <c r="L66" i="28"/>
  <c r="U65" i="1"/>
  <c r="H65" i="1"/>
  <c r="M66" i="28"/>
  <c r="C66" i="30"/>
  <c r="J66" i="26"/>
  <c r="Q66" i="1"/>
  <c r="Q65" i="1"/>
  <c r="I65" i="1"/>
  <c r="P66" i="27"/>
  <c r="D66" i="29"/>
  <c r="P65" i="1"/>
  <c r="C65" i="1"/>
  <c r="S66" i="24"/>
  <c r="N66" i="28"/>
  <c r="N65" i="28"/>
  <c r="R66" i="23"/>
  <c r="R65" i="23"/>
  <c r="N66" i="30"/>
  <c r="N65" i="30"/>
  <c r="N66" i="26"/>
  <c r="N65" i="26"/>
  <c r="O66" i="26"/>
  <c r="O65" i="26"/>
  <c r="N66" i="27"/>
  <c r="N65" i="27"/>
  <c r="U66" i="27"/>
  <c r="U65" i="27"/>
  <c r="Q66" i="23"/>
  <c r="Q65" i="23"/>
  <c r="T66" i="26"/>
  <c r="T65" i="26"/>
  <c r="M66" i="23"/>
  <c r="M65" i="23"/>
  <c r="L66" i="29"/>
  <c r="O66" i="28"/>
  <c r="O65" i="28"/>
  <c r="U66" i="29"/>
  <c r="U65" i="29"/>
  <c r="S66" i="30"/>
  <c r="S65" i="30"/>
  <c r="N66" i="29"/>
  <c r="N65" i="29"/>
  <c r="O66" i="27"/>
  <c r="O65" i="27"/>
  <c r="U66" i="24"/>
  <c r="U65" i="24"/>
  <c r="R66" i="24"/>
  <c r="R65" i="24"/>
  <c r="M66" i="27"/>
  <c r="M65" i="27"/>
  <c r="S66" i="21"/>
  <c r="S65" i="21"/>
  <c r="U66" i="22"/>
  <c r="U65" i="22"/>
  <c r="N66" i="24"/>
  <c r="N65" i="24"/>
  <c r="P66" i="30"/>
  <c r="P65" i="30"/>
  <c r="U66" i="28"/>
  <c r="U65" i="28"/>
  <c r="L66" i="27"/>
  <c r="L65" i="27"/>
  <c r="M66" i="30"/>
  <c r="M65" i="30"/>
  <c r="O66" i="30"/>
  <c r="O65" i="30"/>
  <c r="O66" i="24"/>
  <c r="O65" i="24"/>
  <c r="O66" i="23"/>
  <c r="O65" i="23"/>
  <c r="P66" i="28"/>
  <c r="P65" i="28"/>
  <c r="O66" i="29"/>
  <c r="O65" i="29"/>
  <c r="P66" i="26"/>
  <c r="P66" i="29"/>
  <c r="P65" i="29"/>
  <c r="C66" i="23"/>
  <c r="C66" i="21"/>
  <c r="D66" i="23"/>
  <c r="D66" i="22"/>
  <c r="H66" i="21"/>
  <c r="J66" i="29"/>
  <c r="J65" i="29"/>
  <c r="G66" i="22"/>
  <c r="G65" i="22"/>
  <c r="G66" i="28"/>
  <c r="G65" i="28"/>
  <c r="F66" i="21"/>
  <c r="F65" i="21"/>
  <c r="F66" i="23"/>
  <c r="F65" i="23"/>
  <c r="K66" i="29"/>
  <c r="K65" i="29"/>
  <c r="H66" i="27"/>
  <c r="H65" i="27"/>
  <c r="H66" i="28"/>
  <c r="H65" i="28"/>
  <c r="E66" i="21"/>
  <c r="E65" i="21"/>
  <c r="F66" i="27"/>
  <c r="F65" i="27"/>
  <c r="F66" i="22"/>
  <c r="F65" i="22"/>
  <c r="H66" i="29"/>
  <c r="H65" i="29"/>
  <c r="J66" i="22"/>
  <c r="J65" i="22"/>
  <c r="G66" i="21"/>
  <c r="G65" i="21"/>
  <c r="F66" i="29"/>
  <c r="F65" i="29"/>
  <c r="G66" i="23"/>
  <c r="G65" i="23"/>
  <c r="G66" i="29"/>
  <c r="G65" i="29"/>
  <c r="G66" i="26"/>
  <c r="G65" i="26"/>
  <c r="I66" i="21"/>
  <c r="I65" i="21"/>
  <c r="C66" i="24"/>
  <c r="C65" i="24"/>
  <c r="E66" i="24"/>
  <c r="E65" i="24"/>
  <c r="F66" i="28"/>
  <c r="F65" i="28"/>
  <c r="G66" i="27"/>
  <c r="G65" i="27"/>
  <c r="C66" i="28"/>
  <c r="C65" i="28"/>
  <c r="H66" i="24"/>
  <c r="H65" i="24"/>
  <c r="F66" i="24"/>
  <c r="F65" i="24"/>
  <c r="K66" i="26"/>
  <c r="K65" i="26"/>
  <c r="G66" i="24"/>
  <c r="G65" i="24"/>
  <c r="E66" i="28"/>
  <c r="E65" i="28"/>
  <c r="K66" i="23"/>
  <c r="K65" i="23"/>
  <c r="J66" i="21"/>
  <c r="J65" i="21"/>
  <c r="E66" i="29"/>
  <c r="E65" i="29"/>
  <c r="F66" i="30"/>
  <c r="F65" i="30"/>
  <c r="E66" i="26"/>
  <c r="E65" i="26"/>
  <c r="B66" i="23"/>
  <c r="B65" i="23"/>
  <c r="B66" i="21"/>
  <c r="B65" i="21"/>
  <c r="B66" i="26"/>
  <c r="B65" i="26"/>
  <c r="B66" i="27"/>
  <c r="B65" i="27"/>
  <c r="B66" i="28"/>
  <c r="B65" i="28"/>
  <c r="B66" i="29"/>
  <c r="B65" i="29"/>
  <c r="B65" i="1"/>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<sst xmlns="http://schemas.openxmlformats.org/spreadsheetml/2006/main" count="2243" uniqueCount="189">
  <si>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</si>
  <si>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</si>
  <si>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</si>
  <si>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</si>
  <si>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</si>
  <si>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</si>
  <si>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</si>
  <si>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</si>
  <si>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</si>
  <si>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</si>
  <si>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</si>
  <si>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</si>
  <si>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</si>
  <si>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</si>
  <si>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</si>
  <si>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</si>
  <si>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</si>
  <si>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</si>
  <si>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</si>
  <si>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</si>
  <si>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</si>
  <si>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</si>
  <si>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</si>
  <si>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</si>
  <si>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</si>
  <si>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</si>
  <si>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</si>
  <si>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</si>
  <si>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</si>
  <si>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</si>
  <si>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</si>
  <si>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</si>
  <si>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</si>
  <si>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</si>
  <si>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</si>
  <si>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</si>
  <si>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</si>
  <si>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</si>
  <si>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</si>
  <si>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</si>
  <si>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</si>
  <si>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</si>
  <si>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</si>
  <si>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</si>
  <si>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</si>
  <si>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</si>
  <si>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</si>
  <si>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</si>
  <si>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</si>
  <si>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</si>
  <si>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</si>
  <si>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</si>
  <si>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</si>
  <si>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</si>
  <si>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</si>
  <si>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</si>
  <si>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</si>
  <si>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</si>
  <si>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</si>
  <si>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</si>
  <si>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</si>
  <si>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</si>
  <si>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</si>
  <si>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</si>
  <si>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</si>
  <si>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</si>
  <si>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</si>
  <si>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</si>
  <si>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</si>
  <si>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</si>
  <si>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</si>
  <si>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</si>
  <si>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</si>
  <si>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</si>
  <si>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</si>
  <si>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</si>
  <si>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</si>
  <si>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</si>
  <si>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</si>
  <si>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</si>
  <si>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</si>
  <si>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</si>
  <si>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</si>
  <si>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</si>
  <si>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</si>
  <si>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</si>
  <si>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</si>
  <si>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</si>
  <si>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</si>
  <si>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</si>
  <si>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</si>
  <si>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</si>
  <si>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</si>
  <si>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</si>
  <si>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</si>
  <si>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</si>
  <si>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</si>
  <si>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</si>
  <si>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</si>
  <si>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</si>
  <si>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</si>
  <si>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</si>
  <si>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</si>
  <si>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</si>
  <si>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</si>
  <si>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</si>
  <si>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</si>
  <si>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</si>
  <si>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</si>
  <si>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</si>
  <si>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</si>
  <si>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</si>
  <si>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</si>
  <si>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</si>
  <si>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</si>
  <si>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</si>
  <si>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</si>
  <si>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</si>
  <si>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</si>
  <si>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</si>
  <si>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</si>
  <si>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</si>
  <si>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</si>
  <si>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</si>
  <si>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</si>
  <si>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</si>
  <si>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</si>
  <si>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</si>
  <si>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</si>
  <si>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</si>
  <si>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</si>
  <si>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</si>
  <si>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</si>
  <si>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</si>
  <si>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</si>
  <si>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</si>
  <si>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</si>
  <si>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</si>
  <si>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</si>
  <si>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</si>
  <si>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</si>
  <si>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</si>
  <si>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</si>
  <si>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</si>
  <si>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</si>
  <si>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</si>
  <si>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</si>
  <si>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</si>
  <si>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</si>
  <si>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</si>
  <si>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</si>
  <si>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</si>
  <si>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</si>
  <si>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</si>
  <si>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</si>
  <si>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</si>
  <si>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</si>
  <si>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</si>
  <si>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</si>
  <si>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</si>
  <si>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PAN-025082 </t>
  </si>
  <si>
    <t>EPR/AB3891CX</t>
  </si>
  <si>
    <t>Mr Daniel James and Mrs Carys James</t>
  </si>
  <si>
    <t>Hafod Farm Ferwig, Cardigan, SA43 1PU</t>
  </si>
  <si>
    <t>Owen Clee</t>
  </si>
  <si>
    <t>02 05 02</t>
  </si>
  <si>
    <t xml:space="preserve"> CYY 5505
</t>
  </si>
  <si>
    <t xml:space="preserve"> CYY 4885
</t>
  </si>
  <si>
    <t xml:space="preserve">  2056
</t>
  </si>
  <si>
    <t xml:space="preserve">0834
</t>
  </si>
  <si>
    <t xml:space="preserve">5928
</t>
  </si>
  <si>
    <t xml:space="preserve"> 3370
</t>
  </si>
  <si>
    <t xml:space="preserve"> Dun 2
 </t>
  </si>
  <si>
    <t xml:space="preserve">9155
</t>
  </si>
  <si>
    <t xml:space="preserve"> 2062
</t>
  </si>
  <si>
    <t xml:space="preserve">Moderate </t>
  </si>
  <si>
    <t>Moderate</t>
  </si>
  <si>
    <t>Volac</t>
  </si>
  <si>
    <t>Penderyn Brecon</t>
  </si>
  <si>
    <t>Penderyn Swansea</t>
  </si>
  <si>
    <t>Cefn Dryscoed</t>
  </si>
  <si>
    <t>Cray</t>
  </si>
  <si>
    <t>Hirwaun</t>
  </si>
  <si>
    <t>Felindre</t>
  </si>
  <si>
    <t>Bryn Gwyn</t>
  </si>
  <si>
    <t>Capel Dewi</t>
  </si>
  <si>
    <t>Llechryd</t>
  </si>
  <si>
    <t>02 07 02</t>
  </si>
  <si>
    <t>19 09 02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</si>
</sst>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center" vertical="top" wrapText="1"/>
      <protection locked="0"/>
    </xf>
  </cellXfs>
  <cellStyles count="3">
    <cellStyle name="Normal" xfId="0" builtinId="0"/>
    <cellStyle name="Normal 2" xfId="1" xr:uid="{00000000-0005-0000-0000-000001000000}"/>
    <cellStyle name="Per cent" xfId="2" builtinId="5"/>
  </cellStyles>
  <dxfs count="4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19" dataDxfId="417" headerRowBorderDxfId="418" tableBorderDxfId="416" totalsRowBorderDxfId="415">
  <autoFilter ref="AI1:AN26" xr:uid="{F8B5EC87-3095-445A-A980-2CFAA0A7B9A2}"/>
  <sortState xmlns:xlrd2="http://schemas.microsoft.com/office/spreadsheetml/2017/richdata2" ref="AI2:AL25">
    <sortCondition ref="AL1:AL25"/>
  </sortState>
  <tableColumns count="6">
    <tableColumn id="1" xr3:uid="{360F44E4-7249-415F-8D5E-41D249F9A162}" name="Crop" dataDxfId="414"/>
    <tableColumn id="2" xr3:uid="{55E07717-B4EC-4E8A-B9A9-34F3CF85E32D}" name="P Offtake" dataDxfId="413"/>
    <tableColumn id="3" xr3:uid="{7B25FA52-8104-4FE3-AED4-B53CBFDF89B2}" name="K Offtake" dataDxfId="412"/>
    <tableColumn id="4" xr3:uid="{0DBAE461-2D09-43C8-9342-3980D552AE4D}" name="Order" dataDxfId="411"/>
    <tableColumn id="5" xr3:uid="{52CACE7B-0CBA-46FC-9F24-02CBD6100239}" name="Lime pH requirement" dataDxfId="410"/>
    <tableColumn id="6" xr3:uid="{F1432630-9B16-4266-8147-CE754A715307}" name="Column1" dataDxfId="40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408" dataDxfId="406" headerRowBorderDxfId="407" tableBorderDxfId="405" totalsRowBorderDxfId="404">
  <autoFilter ref="AI1:AN26" xr:uid="{F8B5EC87-3095-445A-A980-2CFAA0A7B9A2}"/>
  <sortState xmlns:xlrd2="http://schemas.microsoft.com/office/spreadsheetml/2017/richdata2" ref="AI2:AL25">
    <sortCondition ref="AL1:AL25"/>
  </sortState>
  <tableColumns count="6">
    <tableColumn id="1" xr3:uid="{7E96A84B-948F-445F-BD6E-30CC8E6E6DD1}" name="Crop" dataDxfId="403"/>
    <tableColumn id="2" xr3:uid="{12657DDB-F680-47DE-ABB1-8675D5F91E41}" name="P Offtake" dataDxfId="402"/>
    <tableColumn id="3" xr3:uid="{DEB99109-D325-4F98-8A71-E70C03433437}" name="K Offtake" dataDxfId="401"/>
    <tableColumn id="4" xr3:uid="{E96A561F-7E7F-4FB3-97AA-0B35D8C8E93A}" name="Order" dataDxfId="400"/>
    <tableColumn id="5" xr3:uid="{181DD475-0A71-4C52-AF1A-8BFF46F5A827}" name="Lime pH requirement" dataDxfId="399"/>
    <tableColumn id="6" xr3:uid="{AC3FA7E8-D76B-43A3-B715-04446DFF63C6}" name="Column1" dataDxfId="39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97" dataDxfId="395" headerRowBorderDxfId="396" tableBorderDxfId="394" totalsRowBorderDxfId="393">
  <autoFilter ref="AI1:AN26" xr:uid="{F8B5EC87-3095-445A-A980-2CFAA0A7B9A2}"/>
  <sortState xmlns:xlrd2="http://schemas.microsoft.com/office/spreadsheetml/2017/richdata2" ref="AI2:AL25">
    <sortCondition ref="AL1:AL25"/>
  </sortState>
  <tableColumns count="6">
    <tableColumn id="1" xr3:uid="{06008BA1-A1E9-4286-B67A-352533C06A26}" name="Crop" dataDxfId="392"/>
    <tableColumn id="2" xr3:uid="{2AEB5EEB-C9D1-41DC-913E-953A33D1A4AF}" name="P Offtake" dataDxfId="391"/>
    <tableColumn id="3" xr3:uid="{8FA16A0B-1017-4CEE-862E-0A8CBD8EB3D3}" name="K Offtake" dataDxfId="390"/>
    <tableColumn id="4" xr3:uid="{E7A3B8CD-4036-47F4-B818-C3F22E80C749}" name="Order" dataDxfId="389"/>
    <tableColumn id="5" xr3:uid="{8F3EBD84-7904-4559-9B5C-63088B792C98}" name="Lime pH requirement" dataDxfId="388"/>
    <tableColumn id="6" xr3:uid="{A21DD95A-C955-4510-9114-E3F1CB645370}" name="Column1" dataDxfId="3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86" dataDxfId="384" headerRowBorderDxfId="385" tableBorderDxfId="383" totalsRowBorderDxfId="382">
  <autoFilter ref="AI1:AN26" xr:uid="{F8B5EC87-3095-445A-A980-2CFAA0A7B9A2}"/>
  <sortState xmlns:xlrd2="http://schemas.microsoft.com/office/spreadsheetml/2017/richdata2" ref="AI2:AL25">
    <sortCondition ref="AL1:AL25"/>
  </sortState>
  <tableColumns count="6">
    <tableColumn id="1" xr3:uid="{11579FCC-3D9F-49AD-888D-5D79B801F6AE}" name="Crop" dataDxfId="381"/>
    <tableColumn id="2" xr3:uid="{05C08116-56D5-4CC6-A649-B06AF891B931}" name="P Offtake" dataDxfId="380"/>
    <tableColumn id="3" xr3:uid="{59CDE959-192B-4757-9203-A0F691CF0F96}" name="K Offtake" dataDxfId="379"/>
    <tableColumn id="4" xr3:uid="{9FB8E4F7-B91F-4CE0-AF39-D4895D0ECF2F}" name="Order" dataDxfId="378"/>
    <tableColumn id="5" xr3:uid="{688FF2A4-D7C6-4425-A915-A9ADD700A9EE}" name="Lime pH requirement" dataDxfId="377"/>
    <tableColumn id="6" xr3:uid="{05FC5CFF-3D81-4B5F-87C7-2364076F2714}" name="Column1" dataDxfId="3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75" dataDxfId="373" headerRowBorderDxfId="374" tableBorderDxfId="372" totalsRowBorderDxfId="371">
  <autoFilter ref="AI1:AN26" xr:uid="{F8B5EC87-3095-445A-A980-2CFAA0A7B9A2}"/>
  <sortState xmlns:xlrd2="http://schemas.microsoft.com/office/spreadsheetml/2017/richdata2" ref="AI2:AL25">
    <sortCondition ref="AL1:AL25"/>
  </sortState>
  <tableColumns count="6">
    <tableColumn id="1" xr3:uid="{973D7FFB-D248-4199-9B2E-B3C6CC09D382}" name="Crop" dataDxfId="370"/>
    <tableColumn id="2" xr3:uid="{7F2A3986-EC86-4CF9-BD10-791170BA6682}" name="P Offtake" dataDxfId="369"/>
    <tableColumn id="3" xr3:uid="{D6129C35-9DC6-42E5-AE3F-EA3A083168E6}" name="K Offtake" dataDxfId="368"/>
    <tableColumn id="4" xr3:uid="{C1CC42B5-564A-4DE7-B817-B7D686FE9A11}" name="Order" dataDxfId="367"/>
    <tableColumn id="5" xr3:uid="{620F3ABD-564C-411A-8DEA-CE1A34F9FC36}" name="Lime pH requirement" dataDxfId="366"/>
    <tableColumn id="6" xr3:uid="{76C9BC4F-4FF3-4AFB-8E7B-16DC0CC3E97C}" name="Column1" dataDxfId="36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64" dataDxfId="362" headerRowBorderDxfId="363" tableBorderDxfId="361" totalsRowBorderDxfId="360">
  <autoFilter ref="AI1:AN26" xr:uid="{F8B5EC87-3095-445A-A980-2CFAA0A7B9A2}"/>
  <sortState xmlns:xlrd2="http://schemas.microsoft.com/office/spreadsheetml/2017/richdata2" ref="AI2:AL25">
    <sortCondition ref="AL1:AL25"/>
  </sortState>
  <tableColumns count="6">
    <tableColumn id="1" xr3:uid="{D13A12FC-EAE6-4280-A219-C2622262E5F4}" name="Crop" dataDxfId="359"/>
    <tableColumn id="2" xr3:uid="{FD06C4A3-4B75-490D-88CF-232C7DC3EFC6}" name="P Offtake" dataDxfId="358"/>
    <tableColumn id="3" xr3:uid="{B043BEFF-10D4-4840-989B-BB13A502ECDF}" name="K Offtake" dataDxfId="357"/>
    <tableColumn id="4" xr3:uid="{48481FDC-5D20-466C-B554-D45886EA366A}" name="Order" dataDxfId="356"/>
    <tableColumn id="5" xr3:uid="{9E0852D2-9D0D-44AB-98B7-FBA51F331ACF}" name="Lime pH requirement" dataDxfId="355"/>
    <tableColumn id="6" xr3:uid="{29F9C4A5-6854-4F37-8BD1-0DD9B6024A55}" name="Column1" dataDxfId="35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53" dataDxfId="351" headerRowBorderDxfId="352" tableBorderDxfId="350" totalsRowBorderDxfId="349">
  <autoFilter ref="AI1:AN26" xr:uid="{F8B5EC87-3095-445A-A980-2CFAA0A7B9A2}"/>
  <sortState xmlns:xlrd2="http://schemas.microsoft.com/office/spreadsheetml/2017/richdata2" ref="AI2:AL25">
    <sortCondition ref="AL1:AL25"/>
  </sortState>
  <tableColumns count="6">
    <tableColumn id="1" xr3:uid="{1B554ED3-7AAF-4192-827C-B071945474B8}" name="Crop" dataDxfId="348"/>
    <tableColumn id="2" xr3:uid="{35F435E0-8D8E-44D1-84BD-C2FF51C3F944}" name="P Offtake" dataDxfId="347"/>
    <tableColumn id="3" xr3:uid="{38465C9D-AA8F-443A-80F5-96D1F6258317}" name="K Offtake" dataDxfId="346"/>
    <tableColumn id="4" xr3:uid="{E0C0E6AF-5628-4BC3-9625-81A87B93D279}" name="Order" dataDxfId="345"/>
    <tableColumn id="5" xr3:uid="{ACDE1D9A-7F94-4404-BDDC-1235C32C758F}" name="Lime pH requirement" dataDxfId="344"/>
    <tableColumn id="6" xr3:uid="{B093C9DF-C4CF-4906-9658-89F446EB9C12}" name="Column1" dataDxfId="34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42" dataDxfId="340" headerRowBorderDxfId="341" tableBorderDxfId="339" totalsRowBorderDxfId="338">
  <autoFilter ref="AI1:AN26" xr:uid="{F8B5EC87-3095-445A-A980-2CFAA0A7B9A2}"/>
  <sortState xmlns:xlrd2="http://schemas.microsoft.com/office/spreadsheetml/2017/richdata2" ref="AI2:AL25">
    <sortCondition ref="AL1:AL25"/>
  </sortState>
  <tableColumns count="6">
    <tableColumn id="1" xr3:uid="{C4B2E6E9-5990-417D-9E04-7933BDF1FC69}" name="Crop" dataDxfId="337"/>
    <tableColumn id="2" xr3:uid="{E74EF8D0-6C68-49B8-AE52-40C276CA5FC9}" name="P Offtake" dataDxfId="336"/>
    <tableColumn id="3" xr3:uid="{9E0A7857-36E3-482D-B4B2-65B90760417F}" name="K Offtake" dataDxfId="335"/>
    <tableColumn id="4" xr3:uid="{A78867D2-7566-4070-AF99-15EE4CEB1699}" name="Order" dataDxfId="334"/>
    <tableColumn id="5" xr3:uid="{240FD5FA-5659-468E-8544-C93086800EC9}" name="Lime pH requirement" dataDxfId="333"/>
    <tableColumn id="6" xr3:uid="{D5C8E9C3-9076-473B-AE62-DA32692BAABC}" name="Column1" dataDxfId="33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31" dataDxfId="329" headerRowBorderDxfId="330" tableBorderDxfId="328" totalsRowBorderDxfId="327">
  <autoFilter ref="AI1:AN26" xr:uid="{F8B5EC87-3095-445A-A980-2CFAA0A7B9A2}"/>
  <sortState xmlns:xlrd2="http://schemas.microsoft.com/office/spreadsheetml/2017/richdata2" ref="AI2:AL25">
    <sortCondition ref="AL1:AL25"/>
  </sortState>
  <tableColumns count="6">
    <tableColumn id="1" xr3:uid="{82F1A1D2-F5AA-4D76-98E8-3C18592FB8CF}" name="Crop" dataDxfId="326"/>
    <tableColumn id="2" xr3:uid="{17F60BEE-3BBA-4198-AA21-518EC4696EB6}" name="P Offtake" dataDxfId="325"/>
    <tableColumn id="3" xr3:uid="{95D820EB-2583-433A-A070-6E8356E186E7}" name="K Offtake" dataDxfId="324"/>
    <tableColumn id="4" xr3:uid="{F3AE1839-F59F-4A70-B11A-A32E3FDD1A00}" name="Order" dataDxfId="323"/>
    <tableColumn id="5" xr3:uid="{C52880C5-B266-4CF0-9A11-778ABC47F9F0}" name="Lime pH requirement" dataDxfId="322"/>
    <tableColumn id="6" xr3:uid="{233F7657-9414-44B1-9E43-A91A69CB97ED}" name="Column1" dataDxfId="32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20" dataDxfId="318" headerRowBorderDxfId="319" tableBorderDxfId="317" totalsRowBorderDxfId="316">
  <autoFilter ref="AI1:AN26" xr:uid="{F8B5EC87-3095-445A-A980-2CFAA0A7B9A2}"/>
  <sortState xmlns:xlrd2="http://schemas.microsoft.com/office/spreadsheetml/2017/richdata2" ref="AI2:AL25">
    <sortCondition ref="AL1:AL25"/>
  </sortState>
  <tableColumns count="6">
    <tableColumn id="1" xr3:uid="{34C99CE0-FFE9-4282-9A7F-89014FFD2010}" name="Crop" dataDxfId="315"/>
    <tableColumn id="2" xr3:uid="{D81725A7-3522-491F-9BAF-35ADAADB5C49}" name="P Offtake" dataDxfId="314"/>
    <tableColumn id="3" xr3:uid="{E1F3CA70-D73E-4B9D-9A9F-F209536EAEFF}" name="K Offtake" dataDxfId="313"/>
    <tableColumn id="4" xr3:uid="{41F03B60-DF58-4AA1-9642-EF87A44AF9EC}" name="Order" dataDxfId="312"/>
    <tableColumn id="5" xr3:uid="{F3D9EC0E-6F67-4466-B24D-F47864B8CBA4}" name="Lime pH requirement" dataDxfId="311"/>
    <tableColumn id="6" xr3:uid="{D49CA6DF-7C49-4445-A0D2-0F2C2FDFB7ED}" name="Column1" dataDxfId="31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Q21" sqref="Q21"/>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13.21875"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1" width="13.21875" style="11" hidden="1" customWidth="1"/>
    <col min="42" max="42" width="0" style="11" hidden="1" customWidth="1"/>
    <col min="43" max="16384" width="13.21875" style="11"/>
  </cols>
  <sheetData>
    <row r="1" spans="1:40" x14ac:dyDescent="0.25">
      <c r="A1" s="119" t="s">
        <v>41</v>
      </c>
      <c r="B1" s="119"/>
      <c r="C1" s="135" t="s">
        <v>160</v>
      </c>
      <c r="D1" s="136"/>
      <c r="E1" s="93" t="s">
        <v>45</v>
      </c>
      <c r="F1" s="96">
        <v>49.9</v>
      </c>
      <c r="G1" s="120" t="s">
        <v>43</v>
      </c>
      <c r="H1" s="121"/>
      <c r="I1" s="96">
        <v>5.84</v>
      </c>
      <c r="J1" s="119" t="s">
        <v>153</v>
      </c>
      <c r="K1" s="119"/>
      <c r="L1" s="96">
        <v>173</v>
      </c>
      <c r="AB1" s="18"/>
      <c r="AC1" s="18"/>
      <c r="AD1" s="30" t="s">
        <v>126</v>
      </c>
      <c r="AE1" s="17"/>
      <c r="AF1" s="17"/>
      <c r="AG1" s="18"/>
      <c r="AH1" s="18"/>
      <c r="AI1" s="40" t="s">
        <v>79</v>
      </c>
      <c r="AJ1" s="41" t="s">
        <v>94</v>
      </c>
      <c r="AK1" s="42" t="s">
        <v>95</v>
      </c>
      <c r="AL1" s="43" t="s">
        <v>125</v>
      </c>
      <c r="AM1" s="43" t="s">
        <v>131</v>
      </c>
      <c r="AN1" s="43" t="s">
        <v>111</v>
      </c>
    </row>
    <row r="2" spans="1:40" x14ac:dyDescent="0.25">
      <c r="A2" s="119" t="s">
        <v>87</v>
      </c>
      <c r="B2" s="119"/>
      <c r="C2" s="133" t="s">
        <v>161</v>
      </c>
      <c r="D2" s="134"/>
      <c r="E2" s="93" t="s">
        <v>109</v>
      </c>
      <c r="F2" s="96" t="s">
        <v>165</v>
      </c>
      <c r="G2" s="138" t="s">
        <v>110</v>
      </c>
      <c r="H2" s="139"/>
      <c r="I2" s="96">
        <v>3322</v>
      </c>
      <c r="J2" s="119" t="s">
        <v>158</v>
      </c>
      <c r="K2" s="119"/>
      <c r="L2" s="96">
        <v>0.11</v>
      </c>
      <c r="AB2" s="30" t="s">
        <v>56</v>
      </c>
      <c r="AC2" s="17"/>
      <c r="AD2" s="30" t="s">
        <v>70</v>
      </c>
      <c r="AE2" s="17"/>
      <c r="AF2" s="17"/>
      <c r="AG2" s="44" t="s">
        <v>76</v>
      </c>
      <c r="AH2" s="18"/>
      <c r="AI2" s="45" t="s">
        <v>126</v>
      </c>
      <c r="AJ2" s="46">
        <v>0</v>
      </c>
      <c r="AK2" s="47">
        <v>0</v>
      </c>
      <c r="AL2" s="10">
        <v>0</v>
      </c>
      <c r="AM2" s="11">
        <v>0</v>
      </c>
      <c r="AN2" s="11">
        <v>0</v>
      </c>
    </row>
    <row r="3" spans="1:40" x14ac:dyDescent="0.25">
      <c r="A3" s="120" t="s">
        <v>42</v>
      </c>
      <c r="B3" s="121"/>
      <c r="C3" s="133" t="s">
        <v>162</v>
      </c>
      <c r="D3" s="134"/>
      <c r="E3" s="93" t="s">
        <v>108</v>
      </c>
      <c r="F3" s="31" t="s">
        <v>78</v>
      </c>
      <c r="G3" s="119" t="s">
        <v>159</v>
      </c>
      <c r="H3" s="119"/>
      <c r="I3" s="96">
        <v>680</v>
      </c>
      <c r="J3" s="120" t="s">
        <v>154</v>
      </c>
      <c r="K3" s="121"/>
      <c r="L3" s="96">
        <f>(L1/(L2*10000))*100</f>
        <v>15.727272727272728</v>
      </c>
      <c r="AB3" s="30" t="s">
        <v>57</v>
      </c>
      <c r="AC3" s="17"/>
      <c r="AD3" s="30" t="s">
        <v>71</v>
      </c>
      <c r="AE3" s="17"/>
      <c r="AF3" s="17"/>
      <c r="AG3" s="44" t="s">
        <v>77</v>
      </c>
      <c r="AH3" s="18"/>
      <c r="AI3" s="48" t="s">
        <v>113</v>
      </c>
      <c r="AJ3" s="49">
        <v>1.7</v>
      </c>
      <c r="AK3" s="50">
        <v>6</v>
      </c>
      <c r="AL3" s="51">
        <v>1</v>
      </c>
      <c r="AM3" s="11">
        <v>6.2</v>
      </c>
      <c r="AN3" s="11" t="s">
        <v>112</v>
      </c>
    </row>
    <row r="4" spans="1:40" x14ac:dyDescent="0.25">
      <c r="A4" s="119" t="s">
        <v>0</v>
      </c>
      <c r="B4" s="119"/>
      <c r="C4" s="147" t="s">
        <v>163</v>
      </c>
      <c r="D4" s="136"/>
      <c r="E4" s="94" t="s">
        <v>1</v>
      </c>
      <c r="F4" s="95" t="s">
        <v>177</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26.4" x14ac:dyDescent="0.25">
      <c r="A8" s="119" t="s">
        <v>2</v>
      </c>
      <c r="B8" s="119"/>
      <c r="C8" s="148" t="s">
        <v>166</v>
      </c>
      <c r="D8" s="148" t="s">
        <v>167</v>
      </c>
      <c r="E8" s="148" t="s">
        <v>168</v>
      </c>
      <c r="F8" s="148" t="s">
        <v>169</v>
      </c>
      <c r="G8" s="148" t="s">
        <v>170</v>
      </c>
      <c r="H8" s="148" t="s">
        <v>171</v>
      </c>
      <c r="I8" s="148" t="s">
        <v>172</v>
      </c>
      <c r="J8" s="148" t="s">
        <v>173</v>
      </c>
      <c r="K8" s="148" t="s">
        <v>174</v>
      </c>
      <c r="L8" s="15">
        <v>3234</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19" t="s">
        <v>3</v>
      </c>
      <c r="B9" s="119"/>
      <c r="C9" s="15" t="s">
        <v>175</v>
      </c>
      <c r="D9" s="15" t="s">
        <v>175</v>
      </c>
      <c r="E9" s="15" t="s">
        <v>175</v>
      </c>
      <c r="F9" s="15" t="s">
        <v>175</v>
      </c>
      <c r="G9" s="15">
        <v>1</v>
      </c>
      <c r="H9" s="15">
        <v>1</v>
      </c>
      <c r="I9" s="15">
        <v>1</v>
      </c>
      <c r="J9" s="15">
        <v>1</v>
      </c>
      <c r="K9" s="15">
        <v>1</v>
      </c>
      <c r="L9" s="15" t="s">
        <v>176</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19" t="s">
        <v>4</v>
      </c>
      <c r="B10" s="119"/>
      <c r="C10" s="15">
        <v>6.2</v>
      </c>
      <c r="D10" s="15">
        <v>6.1</v>
      </c>
      <c r="E10" s="15">
        <v>6</v>
      </c>
      <c r="F10" s="15">
        <v>6.4</v>
      </c>
      <c r="G10" s="15">
        <v>6.4</v>
      </c>
      <c r="H10" s="15">
        <v>6.1</v>
      </c>
      <c r="I10" s="15">
        <v>6.3</v>
      </c>
      <c r="J10" s="15">
        <v>5.9</v>
      </c>
      <c r="K10" s="15">
        <v>6</v>
      </c>
      <c r="L10" s="15">
        <v>6.1</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19" t="s">
        <v>5</v>
      </c>
      <c r="B11" s="119"/>
      <c r="C11" s="15">
        <v>3</v>
      </c>
      <c r="D11" s="15">
        <v>3</v>
      </c>
      <c r="E11" s="15">
        <v>3</v>
      </c>
      <c r="F11" s="15">
        <v>1</v>
      </c>
      <c r="G11" s="15">
        <v>2</v>
      </c>
      <c r="H11" s="15">
        <v>2</v>
      </c>
      <c r="I11" s="15">
        <v>3</v>
      </c>
      <c r="J11" s="15">
        <v>2</v>
      </c>
      <c r="K11" s="15">
        <v>2</v>
      </c>
      <c r="L11" s="15">
        <v>1</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19" t="s">
        <v>6</v>
      </c>
      <c r="B12" s="119"/>
      <c r="C12" s="15">
        <v>3</v>
      </c>
      <c r="D12" s="15">
        <v>3</v>
      </c>
      <c r="E12" s="15">
        <v>2</v>
      </c>
      <c r="F12" s="15">
        <v>2</v>
      </c>
      <c r="G12" s="15">
        <v>2</v>
      </c>
      <c r="H12" s="15">
        <v>1</v>
      </c>
      <c r="I12" s="15">
        <v>3</v>
      </c>
      <c r="J12" s="15">
        <v>2</v>
      </c>
      <c r="K12" s="15">
        <v>2</v>
      </c>
      <c r="L12" s="15">
        <v>2</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19" t="s">
        <v>7</v>
      </c>
      <c r="B13" s="119"/>
      <c r="C13" s="15">
        <v>3</v>
      </c>
      <c r="D13" s="15">
        <v>3</v>
      </c>
      <c r="E13" s="15">
        <v>3</v>
      </c>
      <c r="F13" s="15">
        <v>3</v>
      </c>
      <c r="G13" s="15">
        <v>2</v>
      </c>
      <c r="H13" s="15">
        <v>2</v>
      </c>
      <c r="I13" s="15">
        <v>2</v>
      </c>
      <c r="J13" s="15">
        <v>3</v>
      </c>
      <c r="K13" s="15">
        <v>5</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1" t="s">
        <v>8</v>
      </c>
      <c r="B14" s="131"/>
      <c r="C14" s="100" t="s">
        <v>113</v>
      </c>
      <c r="D14" s="100" t="s">
        <v>113</v>
      </c>
      <c r="E14" s="100" t="s">
        <v>113</v>
      </c>
      <c r="F14" s="100" t="s">
        <v>113</v>
      </c>
      <c r="G14" s="100" t="s">
        <v>105</v>
      </c>
      <c r="H14" s="100" t="s">
        <v>105</v>
      </c>
      <c r="I14" s="100" t="s">
        <v>68</v>
      </c>
      <c r="J14" s="100" t="s">
        <v>105</v>
      </c>
      <c r="K14" s="100" t="s">
        <v>105</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0" t="s">
        <v>9</v>
      </c>
      <c r="B15" s="130"/>
      <c r="C15" s="15">
        <v>47</v>
      </c>
      <c r="D15" s="15">
        <v>47</v>
      </c>
      <c r="E15" s="15">
        <v>47</v>
      </c>
      <c r="F15" s="15">
        <v>47</v>
      </c>
      <c r="G15" s="15">
        <v>45</v>
      </c>
      <c r="H15" s="15">
        <v>45</v>
      </c>
      <c r="I15" s="15">
        <v>30</v>
      </c>
      <c r="J15" s="15">
        <v>45</v>
      </c>
      <c r="K15" s="15">
        <v>45</v>
      </c>
      <c r="L15" s="15">
        <v>47</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(VLOOKUP(D$14,$AI2:$AK26,2,FALSE))*D$15</f>
        <v>79.899999999999991</v>
      </c>
      <c r="E17" s="28">
        <f>(VLOOKUP(E$14,$AI2:$AK26,2,FALSE))*E$15</f>
        <v>79.899999999999991</v>
      </c>
      <c r="F17" s="28">
        <f>(VLOOKUP(F$14,$AI2:$AK26,2,FALSE))*F$15</f>
        <v>79.899999999999991</v>
      </c>
      <c r="G17" s="28">
        <f t="shared" ref="G17:V17" si="0">(VLOOKUP(G$14,$AI2:$AK26,2,FALSE))*G$15</f>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78.269723999999997</v>
      </c>
      <c r="D18" s="16">
        <f>$D32</f>
        <v>78.269723999999997</v>
      </c>
      <c r="E18" s="16">
        <f>$D33</f>
        <v>78.269723999999997</v>
      </c>
      <c r="F18" s="16">
        <f>$D34</f>
        <v>182.62935599999997</v>
      </c>
      <c r="G18" s="16">
        <f>$D35</f>
        <v>62.214395999999994</v>
      </c>
      <c r="H18" s="16">
        <f>$D36</f>
        <v>62.214395999999994</v>
      </c>
      <c r="I18" s="16">
        <f>$D37</f>
        <v>52.179815999999995</v>
      </c>
      <c r="J18" s="16">
        <f>$D38</f>
        <v>62.214395999999994</v>
      </c>
      <c r="K18" s="16">
        <f>$D39</f>
        <v>62.214395999999994</v>
      </c>
      <c r="L18" s="16">
        <f>$D40</f>
        <v>182.62935599999997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-1.630275999999995</v>
      </c>
      <c r="D19" s="16">
        <f t="shared" ref="D19:V19" si="1">D18-D17</f>
        <v>-1.630275999999995</v>
      </c>
      <c r="E19" s="16">
        <f t="shared" si="1"/>
        <v>-1.630275999999995</v>
      </c>
      <c r="F19" s="16">
        <f t="shared" si="1"/>
        <v>102.72935599999998</v>
      </c>
      <c r="G19" s="16">
        <f t="shared" si="1"/>
        <v>-0.7856039999999993</v>
      </c>
      <c r="H19" s="16">
        <f t="shared" si="1"/>
        <v>-0.7856039999999993</v>
      </c>
      <c r="I19" s="16">
        <f t="shared" si="1"/>
        <v>-202.82018400000001</v>
      </c>
      <c r="J19" s="16">
        <f t="shared" si="1"/>
        <v>-0.7856039999999993</v>
      </c>
      <c r="K19" s="16">
        <f t="shared" si="1"/>
        <v>-0.7856039999999993</v>
      </c>
      <c r="L19" s="16">
        <f t="shared" si="1"/>
        <v>102.72935599999998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(VLOOKUP(D$14,$AI2:$AK26,3,FALSE))*D$15</f>
        <v>282</v>
      </c>
      <c r="E21" s="28">
        <f>(VLOOKUP(E$14,$AI2:$AK26,3,FALSE))*E$15</f>
        <v>282</v>
      </c>
      <c r="F21" s="28">
        <f>(VLOOKUP(F$14,$AI2:$AK26,3,FALSE))*F$15</f>
        <v>282</v>
      </c>
      <c r="G21" s="28">
        <f t="shared" ref="G21:V21" si="2">(VLOOKUP(G$14,$AI2:$AK26,3,FALSE))*G$15</f>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22.698585000000001</v>
      </c>
      <c r="D22" s="16">
        <f>$E32</f>
        <v>22.698585000000001</v>
      </c>
      <c r="E22" s="16">
        <f>$E33</f>
        <v>22.698585000000001</v>
      </c>
      <c r="F22" s="16">
        <f>$E34</f>
        <v>52.963364999999996</v>
      </c>
      <c r="G22" s="16">
        <f>$E35</f>
        <v>18.042465</v>
      </c>
      <c r="H22" s="16">
        <f>$E36</f>
        <v>18.042465</v>
      </c>
      <c r="I22" s="16">
        <f>$E37</f>
        <v>15.132390000000001</v>
      </c>
      <c r="J22" s="16">
        <f>$E38</f>
        <v>18.042465</v>
      </c>
      <c r="K22" s="16">
        <f>$E39</f>
        <v>18.042465</v>
      </c>
      <c r="L22" s="16">
        <f>$E40</f>
        <v>52.963364999999996</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-259.30141500000002</v>
      </c>
      <c r="D23" s="16">
        <f t="shared" ref="D23:V23" si="3">D22-D21</f>
        <v>-259.30141500000002</v>
      </c>
      <c r="E23" s="16">
        <f t="shared" si="3"/>
        <v>-259.30141500000002</v>
      </c>
      <c r="F23" s="16">
        <f t="shared" si="3"/>
        <v>-229.03663499999999</v>
      </c>
      <c r="G23" s="16">
        <f t="shared" si="3"/>
        <v>-179.95753500000004</v>
      </c>
      <c r="H23" s="16">
        <f t="shared" si="3"/>
        <v>-179.95753500000004</v>
      </c>
      <c r="I23" s="16">
        <f t="shared" si="3"/>
        <v>-344.86761000000001</v>
      </c>
      <c r="J23" s="16">
        <f t="shared" si="3"/>
        <v>-179.95753500000004</v>
      </c>
      <c r="K23" s="16">
        <f t="shared" si="3"/>
        <v>-179.95753500000004</v>
      </c>
      <c r="L23" s="16">
        <f t="shared" si="3"/>
        <v>-229.03663499999999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39</v>
      </c>
      <c r="C31" s="77">
        <f>IF(C$27="%w/w SAR",((C$28*10)*$B31),IF(C$27="%w/w DM",(((C$28*10)*($B$28/100))*$B31),IF(C$27="kg/t SAR",(C$28*$B31),IF(C$27="kg/t DM",((C$28*($B$28/100))*$B31),IF(C$27="mg/kg SAR",((C$28*0.001)*$B31),IF(C$27="mg/kg DM",(((C$28*0.001)*($B$28/100))*$B31),0))))))</f>
        <v>42.900000000000006</v>
      </c>
      <c r="D31" s="77">
        <f>(IF(D$27="%w/w SAR",((D$28*10)*$B31),IF(D$27="%w/w DM",(((D$28*10)*($B$28/100))*$B31),IF(D$27="kg/t SAR",(D$28*$B31),IF(D$27="kg/t DM",((D$28*($B$28/100))*$B31),IF(D$27="mg/kg SAR",((D$28*0.001)*$B31),IF(D$27="mg/kg DM",(((D$28*0.001)*($B$28/100))*$B31),"0")))))))*2.291</f>
        <v>78.269723999999997</v>
      </c>
      <c r="E31" s="77">
        <f>(IF(E$27="%w/w SAR",((E$28*10)*$B31),IF(E$27="%w/w DM",(((E$28*10)*($B$28/100))*$B31),IF(E$27="kg/t SAR",(E$28*$B31),IF(E$27="kg/t DM",((E$28*($B$28/100))*$B31),IF(E$27="mg/kg SAR",((E$28*0.001)*$B31),IF(E$27="mg/kg DM",(((E$28*0.001)*($B$28/100))*$B31),"0")))))))*1.205</f>
        <v>22.698585000000001</v>
      </c>
      <c r="F31" s="77">
        <f>(IF(F$27="%w/w SAR",((F$28*10)*$B31),IF(F$27="%w/w DM",(((F$28*10)*($B$28/100))*$B31),IF(F$27="kg/t SAR",(F$28*$B31),IF(F$27="kg/t DM",((F$28*($B$28/100))*$B31),IF(F$27="mg/kg SAR",((F$28*0.001)*$B31),IF(F$27="mg/kg DM",(((F$28*0.001)*($B$28/100))*$B31),"0")))))))*1.658</f>
        <v>3.7633283999999998</v>
      </c>
      <c r="G31" s="77">
        <f t="shared" ref="G31:P31" si="5">IF(G$27="%w/w SAR",((G$28*10)*$B31),IF(G$27="%w/w DM",(((G$28*10)*($B$28/100))*$B31),IF(G$27="kg/t SAR",(G$28*$B31),IF(G$27="kg/t DM",((G$28*($B$28/100))*$B31),IF(G$27="mg/kg SAR",((G$28*0.001)*$B31),IF(G$27="mg/kg DM",(((G$28*0.001)*($B$28/100))*$B31),0))))))</f>
        <v>7.8000000000000005E-3</v>
      </c>
      <c r="H31" s="77">
        <f t="shared" si="5"/>
        <v>8.6580000000000004E-2</v>
      </c>
      <c r="I31" s="77">
        <f t="shared" si="5"/>
        <v>1.95E-2</v>
      </c>
      <c r="J31" s="77">
        <f t="shared" si="5"/>
        <v>3.9000000000000005E-4</v>
      </c>
      <c r="K31" s="77">
        <f t="shared" si="5"/>
        <v>1.9500000000000001E-3</v>
      </c>
      <c r="L31" s="77">
        <f t="shared" si="5"/>
        <v>7.8000000000000005E-3</v>
      </c>
      <c r="M31" s="77">
        <f t="shared" si="5"/>
        <v>9.3600000000000003E-3</v>
      </c>
      <c r="N31" s="77">
        <f t="shared" si="5"/>
        <v>0</v>
      </c>
      <c r="O31" s="77">
        <f t="shared" si="5"/>
        <v>0</v>
      </c>
      <c r="P31" s="77">
        <f t="shared" si="5"/>
        <v>10.023</v>
      </c>
      <c r="Q31" s="77">
        <f>(IF(Q$27="%w/w SAR",((Q$28*10)*$B31),IF(Q$27="%w/w DM",(((Q$28*10)*($B$28/100))*$B31),IF(Q$27="kg/t SAR",(Q$28*$B31),IF(Q$27="kg/t DM",((Q$28*($B$28/100))*$B31),IF(Q$27="mg/kg SAR",((Q$28*0.001)*$B31),IF(Q$27="mg/kg DM",(((Q$28*0.001)*($B$28/100))*$B31),0)))))))*2.5</f>
        <v>10.627500000000001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39</v>
      </c>
      <c r="C32" s="77">
        <f t="shared" ref="C32:C50" si="6">IF(C$27="%w/w SAR",((C$28*10)*$B32),IF(C$27="%w/w DM",(((C$28*10)*($B$28/100))*$B32),IF(C$27="kg/t SAR",(C$28*$B32),IF(C$27="kg/t DM",((C$28*($B$28/100))*$B32),IF(C$27="mg/kg SAR",((C$28*0.001)*$B32),IF(C$27="mg/kg DM",(((C$28*0.001)*($B$28/100))*$B32),0))))))</f>
        <v>42.900000000000006</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ref="G32:P50" si="10">IF(G$27="%w/w SAR",((G$28*10)*$B32),IF(G$27="%w/w DM",(((G$28*10)*($B$28/100))*$B32),IF(G$27="kg/t SAR",(G$28*$B32),IF(G$27="kg/t DM",((G$28*($B$28/100))*$B32),IF(G$27="mg/kg SAR",((G$28*0.001)*$B32),IF(G$27="mg/kg DM",(((G$28*0.001)*($B$28/100))*$B32),0))))))</f>
        <v>7.8000000000000005E-3</v>
      </c>
      <c r="H32" s="77">
        <f t="shared" si="10"/>
        <v>8.6580000000000004E-2</v>
      </c>
      <c r="I32" s="77">
        <f t="shared" si="10"/>
        <v>1.95E-2</v>
      </c>
      <c r="J32" s="77">
        <f t="shared" si="10"/>
        <v>3.9000000000000005E-4</v>
      </c>
      <c r="K32" s="77">
        <f t="shared" si="10"/>
        <v>1.9500000000000001E-3</v>
      </c>
      <c r="L32" s="77">
        <f t="shared" si="10"/>
        <v>7.8000000000000005E-3</v>
      </c>
      <c r="M32" s="77">
        <f t="shared" si="10"/>
        <v>9.3600000000000003E-3</v>
      </c>
      <c r="N32" s="77">
        <f t="shared" si="10"/>
        <v>0</v>
      </c>
      <c r="O32" s="77">
        <f t="shared" si="10"/>
        <v>0</v>
      </c>
      <c r="P32" s="77">
        <f t="shared" si="10"/>
        <v>10.023</v>
      </c>
      <c r="Q32" s="77">
        <f t="shared" ref="Q32:Q50" si="11">(IF(Q$27="%w/w SAR",((Q$28*10)*$B32),IF(Q$27="%w/w DM",(((Q$28*10)*($B$28/100))*$B32),IF(Q$27="kg/t SAR",(Q$28*$B32),IF(Q$27="kg/t DM",((Q$28*($B$28/100))*$B32),IF(Q$27="mg/kg SAR",((Q$28*0.001)*$B32),IF(Q$27="mg/kg DM",(((Q$28*0.001)*($B$28/100))*$B32),0)))))))*2.5</f>
        <v>10.627500000000001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t="str">
        <f>E8</f>
        <v xml:space="preserve">  2056
</v>
      </c>
      <c r="B33" s="15">
        <v>39</v>
      </c>
      <c r="C33" s="77">
        <f t="shared" si="6"/>
        <v>42.900000000000006</v>
      </c>
      <c r="D33" s="77">
        <f t="shared" si="7"/>
        <v>78.269723999999997</v>
      </c>
      <c r="E33" s="77">
        <f t="shared" si="8"/>
        <v>22.698585000000001</v>
      </c>
      <c r="F33" s="77">
        <f t="shared" si="9"/>
        <v>3.7633283999999998</v>
      </c>
      <c r="G33" s="77">
        <f t="shared" si="10"/>
        <v>7.8000000000000005E-3</v>
      </c>
      <c r="H33" s="77">
        <f t="shared" si="10"/>
        <v>8.6580000000000004E-2</v>
      </c>
      <c r="I33" s="77">
        <f t="shared" si="10"/>
        <v>1.95E-2</v>
      </c>
      <c r="J33" s="77">
        <f t="shared" si="10"/>
        <v>3.9000000000000005E-4</v>
      </c>
      <c r="K33" s="77">
        <f t="shared" si="10"/>
        <v>1.9500000000000001E-3</v>
      </c>
      <c r="L33" s="77">
        <f t="shared" si="10"/>
        <v>7.8000000000000005E-3</v>
      </c>
      <c r="M33" s="77">
        <f t="shared" si="10"/>
        <v>9.3600000000000003E-3</v>
      </c>
      <c r="N33" s="77">
        <f t="shared" si="10"/>
        <v>0</v>
      </c>
      <c r="O33" s="77">
        <f t="shared" si="10"/>
        <v>0</v>
      </c>
      <c r="P33" s="77">
        <f t="shared" si="10"/>
        <v>10.023</v>
      </c>
      <c r="Q33" s="77">
        <f t="shared" si="11"/>
        <v>10.627500000000001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t="str">
        <f>F8</f>
        <v xml:space="preserve">0834
</v>
      </c>
      <c r="B34" s="15">
        <v>91</v>
      </c>
      <c r="C34" s="77">
        <f t="shared" si="6"/>
        <v>100.10000000000001</v>
      </c>
      <c r="D34" s="77">
        <f t="shared" si="7"/>
        <v>182.62935599999997</v>
      </c>
      <c r="E34" s="77">
        <f t="shared" si="8"/>
        <v>52.963364999999996</v>
      </c>
      <c r="F34" s="77">
        <f t="shared" si="9"/>
        <v>8.7810995999999992</v>
      </c>
      <c r="G34" s="77">
        <f t="shared" si="10"/>
        <v>1.8200000000000001E-2</v>
      </c>
      <c r="H34" s="77">
        <f t="shared" si="10"/>
        <v>0.20202000000000001</v>
      </c>
      <c r="I34" s="77">
        <f t="shared" si="10"/>
        <v>4.5499999999999999E-2</v>
      </c>
      <c r="J34" s="77">
        <f t="shared" si="10"/>
        <v>9.1000000000000011E-4</v>
      </c>
      <c r="K34" s="77">
        <f t="shared" si="10"/>
        <v>4.5500000000000002E-3</v>
      </c>
      <c r="L34" s="77">
        <f t="shared" si="10"/>
        <v>1.8200000000000001E-2</v>
      </c>
      <c r="M34" s="77">
        <f t="shared" si="10"/>
        <v>2.1840000000000002E-2</v>
      </c>
      <c r="N34" s="77">
        <f t="shared" si="10"/>
        <v>0</v>
      </c>
      <c r="O34" s="77">
        <f t="shared" si="10"/>
        <v>0</v>
      </c>
      <c r="P34" s="77">
        <f t="shared" si="10"/>
        <v>23.387</v>
      </c>
      <c r="Q34" s="77">
        <f t="shared" si="11"/>
        <v>24.797499999999999</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t="str">
        <f>G8</f>
        <v xml:space="preserve">5928
</v>
      </c>
      <c r="B35" s="15">
        <v>31</v>
      </c>
      <c r="C35" s="77">
        <f t="shared" si="6"/>
        <v>34.1</v>
      </c>
      <c r="D35" s="77">
        <f t="shared" si="7"/>
        <v>62.214395999999994</v>
      </c>
      <c r="E35" s="77">
        <f t="shared" si="8"/>
        <v>18.042465</v>
      </c>
      <c r="F35" s="77">
        <f t="shared" si="9"/>
        <v>2.9913635999999997</v>
      </c>
      <c r="G35" s="77">
        <f t="shared" si="10"/>
        <v>6.2000000000000006E-3</v>
      </c>
      <c r="H35" s="77">
        <f t="shared" si="10"/>
        <v>6.8820000000000006E-2</v>
      </c>
      <c r="I35" s="77">
        <f t="shared" si="10"/>
        <v>1.55E-2</v>
      </c>
      <c r="J35" s="77">
        <f t="shared" si="10"/>
        <v>3.1E-4</v>
      </c>
      <c r="K35" s="77">
        <f t="shared" si="10"/>
        <v>1.5500000000000002E-3</v>
      </c>
      <c r="L35" s="77">
        <f t="shared" si="10"/>
        <v>6.2000000000000006E-3</v>
      </c>
      <c r="M35" s="77">
        <f t="shared" si="10"/>
        <v>7.4400000000000004E-3</v>
      </c>
      <c r="N35" s="77">
        <f t="shared" si="10"/>
        <v>0</v>
      </c>
      <c r="O35" s="77">
        <f t="shared" si="10"/>
        <v>0</v>
      </c>
      <c r="P35" s="77">
        <f t="shared" si="10"/>
        <v>7.9670000000000005</v>
      </c>
      <c r="Q35" s="77">
        <f t="shared" si="11"/>
        <v>8.4474999999999998</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t="str">
        <f>H8</f>
        <v xml:space="preserve"> 3370
</v>
      </c>
      <c r="B36" s="15">
        <v>31</v>
      </c>
      <c r="C36" s="77">
        <f t="shared" si="6"/>
        <v>34.1</v>
      </c>
      <c r="D36" s="77">
        <f t="shared" si="7"/>
        <v>62.214395999999994</v>
      </c>
      <c r="E36" s="77">
        <f t="shared" si="8"/>
        <v>18.042465</v>
      </c>
      <c r="F36" s="77">
        <f t="shared" si="9"/>
        <v>2.9913635999999997</v>
      </c>
      <c r="G36" s="77">
        <f t="shared" si="10"/>
        <v>6.2000000000000006E-3</v>
      </c>
      <c r="H36" s="77">
        <f t="shared" si="10"/>
        <v>6.8820000000000006E-2</v>
      </c>
      <c r="I36" s="77">
        <f t="shared" si="10"/>
        <v>1.55E-2</v>
      </c>
      <c r="J36" s="77">
        <f t="shared" si="10"/>
        <v>3.1E-4</v>
      </c>
      <c r="K36" s="77">
        <f t="shared" si="10"/>
        <v>1.5500000000000002E-3</v>
      </c>
      <c r="L36" s="77">
        <f t="shared" si="10"/>
        <v>6.2000000000000006E-3</v>
      </c>
      <c r="M36" s="77">
        <f t="shared" si="10"/>
        <v>7.4400000000000004E-3</v>
      </c>
      <c r="N36" s="77">
        <f t="shared" si="10"/>
        <v>0</v>
      </c>
      <c r="O36" s="77">
        <f t="shared" si="10"/>
        <v>0</v>
      </c>
      <c r="P36" s="77">
        <f t="shared" si="10"/>
        <v>7.9670000000000005</v>
      </c>
      <c r="Q36" s="77">
        <f t="shared" si="11"/>
        <v>8.4474999999999998</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t="str">
        <f>I8</f>
        <v xml:space="preserve"> Dun 2
 </v>
      </c>
      <c r="B37" s="15">
        <v>26</v>
      </c>
      <c r="C37" s="77">
        <f t="shared" si="6"/>
        <v>28.6</v>
      </c>
      <c r="D37" s="77">
        <f t="shared" si="7"/>
        <v>52.179815999999995</v>
      </c>
      <c r="E37" s="77">
        <f t="shared" si="8"/>
        <v>15.132390000000001</v>
      </c>
      <c r="F37" s="77">
        <f t="shared" si="9"/>
        <v>2.5088856000000002</v>
      </c>
      <c r="G37" s="77">
        <f t="shared" si="10"/>
        <v>5.2000000000000006E-3</v>
      </c>
      <c r="H37" s="77">
        <f t="shared" si="10"/>
        <v>5.7720000000000007E-2</v>
      </c>
      <c r="I37" s="77">
        <f t="shared" si="10"/>
        <v>1.3000000000000001E-2</v>
      </c>
      <c r="J37" s="77">
        <f t="shared" si="10"/>
        <v>2.6000000000000003E-4</v>
      </c>
      <c r="K37" s="77">
        <f t="shared" si="10"/>
        <v>1.3000000000000002E-3</v>
      </c>
      <c r="L37" s="77">
        <f t="shared" si="10"/>
        <v>5.2000000000000006E-3</v>
      </c>
      <c r="M37" s="77">
        <f t="shared" si="10"/>
        <v>6.2399999999999999E-3</v>
      </c>
      <c r="N37" s="77">
        <f t="shared" si="10"/>
        <v>0</v>
      </c>
      <c r="O37" s="77">
        <f t="shared" si="10"/>
        <v>0</v>
      </c>
      <c r="P37" s="77">
        <f t="shared" si="10"/>
        <v>6.6820000000000004</v>
      </c>
      <c r="Q37" s="77">
        <f t="shared" si="11"/>
        <v>7.085</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t="str">
        <f>J8</f>
        <v xml:space="preserve">9155
</v>
      </c>
      <c r="B38" s="15">
        <v>31</v>
      </c>
      <c r="C38" s="77">
        <f t="shared" si="6"/>
        <v>34.1</v>
      </c>
      <c r="D38" s="77">
        <f t="shared" si="7"/>
        <v>62.214395999999994</v>
      </c>
      <c r="E38" s="77">
        <f t="shared" si="8"/>
        <v>18.042465</v>
      </c>
      <c r="F38" s="77">
        <f t="shared" si="9"/>
        <v>2.9913635999999997</v>
      </c>
      <c r="G38" s="77">
        <f t="shared" si="10"/>
        <v>6.2000000000000006E-3</v>
      </c>
      <c r="H38" s="77">
        <f t="shared" si="10"/>
        <v>6.8820000000000006E-2</v>
      </c>
      <c r="I38" s="77">
        <f t="shared" si="10"/>
        <v>1.55E-2</v>
      </c>
      <c r="J38" s="77">
        <f t="shared" si="10"/>
        <v>3.1E-4</v>
      </c>
      <c r="K38" s="77">
        <f t="shared" si="10"/>
        <v>1.5500000000000002E-3</v>
      </c>
      <c r="L38" s="77">
        <f t="shared" si="10"/>
        <v>6.2000000000000006E-3</v>
      </c>
      <c r="M38" s="77">
        <f t="shared" si="10"/>
        <v>7.4400000000000004E-3</v>
      </c>
      <c r="N38" s="77">
        <f t="shared" si="10"/>
        <v>0</v>
      </c>
      <c r="O38" s="77">
        <f t="shared" si="10"/>
        <v>0</v>
      </c>
      <c r="P38" s="77">
        <f t="shared" si="10"/>
        <v>7.9670000000000005</v>
      </c>
      <c r="Q38" s="77">
        <f t="shared" si="11"/>
        <v>8.4474999999999998</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t="str">
        <f>K8</f>
        <v xml:space="preserve"> 2062
</v>
      </c>
      <c r="B39" s="15">
        <v>31</v>
      </c>
      <c r="C39" s="77">
        <f t="shared" si="6"/>
        <v>34.1</v>
      </c>
      <c r="D39" s="77">
        <f t="shared" si="7"/>
        <v>62.214395999999994</v>
      </c>
      <c r="E39" s="77">
        <f t="shared" si="8"/>
        <v>18.042465</v>
      </c>
      <c r="F39" s="77">
        <f t="shared" si="9"/>
        <v>2.9913635999999997</v>
      </c>
      <c r="G39" s="77">
        <f t="shared" si="10"/>
        <v>6.2000000000000006E-3</v>
      </c>
      <c r="H39" s="77">
        <f t="shared" si="10"/>
        <v>6.8820000000000006E-2</v>
      </c>
      <c r="I39" s="77">
        <f t="shared" si="10"/>
        <v>1.55E-2</v>
      </c>
      <c r="J39" s="77">
        <f t="shared" si="10"/>
        <v>3.1E-4</v>
      </c>
      <c r="K39" s="77">
        <f t="shared" si="10"/>
        <v>1.5500000000000002E-3</v>
      </c>
      <c r="L39" s="77">
        <f t="shared" si="10"/>
        <v>6.2000000000000006E-3</v>
      </c>
      <c r="M39" s="77">
        <f t="shared" si="10"/>
        <v>7.4400000000000004E-3</v>
      </c>
      <c r="N39" s="77">
        <f t="shared" si="10"/>
        <v>0</v>
      </c>
      <c r="O39" s="77">
        <f t="shared" si="10"/>
        <v>0</v>
      </c>
      <c r="P39" s="77">
        <f t="shared" si="10"/>
        <v>7.9670000000000005</v>
      </c>
      <c r="Q39" s="77">
        <f t="shared" si="11"/>
        <v>8.4474999999999998</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3234</v>
      </c>
      <c r="B40" s="15">
        <v>91</v>
      </c>
      <c r="C40" s="77">
        <f t="shared" si="6"/>
        <v>100.10000000000001</v>
      </c>
      <c r="D40" s="77">
        <f t="shared" si="7"/>
        <v>182.62935599999997</v>
      </c>
      <c r="E40" s="77">
        <f t="shared" si="8"/>
        <v>52.963364999999996</v>
      </c>
      <c r="F40" s="77">
        <f t="shared" si="9"/>
        <v>8.7810995999999992</v>
      </c>
      <c r="G40" s="77">
        <f t="shared" si="10"/>
        <v>1.8200000000000001E-2</v>
      </c>
      <c r="H40" s="77">
        <f t="shared" si="10"/>
        <v>0.20202000000000001</v>
      </c>
      <c r="I40" s="77">
        <f t="shared" si="10"/>
        <v>4.5499999999999999E-2</v>
      </c>
      <c r="J40" s="77">
        <f t="shared" si="10"/>
        <v>9.1000000000000011E-4</v>
      </c>
      <c r="K40" s="77">
        <f t="shared" si="10"/>
        <v>4.5500000000000002E-3</v>
      </c>
      <c r="L40" s="77">
        <f t="shared" si="10"/>
        <v>1.8200000000000001E-2</v>
      </c>
      <c r="M40" s="77">
        <f t="shared" si="10"/>
        <v>2.1840000000000002E-2</v>
      </c>
      <c r="N40" s="77">
        <f t="shared" si="10"/>
        <v>0</v>
      </c>
      <c r="O40" s="77">
        <f t="shared" si="10"/>
        <v>0</v>
      </c>
      <c r="P40" s="77">
        <f t="shared" si="10"/>
        <v>23.387</v>
      </c>
      <c r="Q40" s="77">
        <f t="shared" si="11"/>
        <v>24.797499999999999</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Arable</v>
      </c>
      <c r="H58" s="13" t="str">
        <f>I16&amp;" I "&amp;(VLOOKUP(I14,Table24[],6,FALSE))</f>
        <v>Medium/Clay I Arable</v>
      </c>
      <c r="I58" s="13" t="str">
        <f>J16&amp;" I "&amp;(VLOOKUP(J14,Table24[],6,FALSE))</f>
        <v>Medium/Clay I Arable</v>
      </c>
      <c r="J58" s="13" t="str">
        <f>K16&amp;" I "&amp;(VLOOKUP(K14,Table24[],6,FALSE))</f>
        <v>Medium/Clay I Arable</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6.7</v>
      </c>
      <c r="G59" s="76">
        <f>VLOOKUP(H$14,Table24[],5,FALSE)</f>
        <v>6.7</v>
      </c>
      <c r="H59" s="76">
        <f>VLOOKUP(I$14,Table24[],5,FALSE)</f>
        <v>6.7</v>
      </c>
      <c r="I59" s="76">
        <f>VLOOKUP(J$14,Table24[],5,FALSE)</f>
        <v>6.7</v>
      </c>
      <c r="J59" s="76">
        <f>VLOOKUP(K$14,Table24[],5,FALSE)</f>
        <v>6.7</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39</v>
      </c>
      <c r="C62" s="77">
        <f>B32</f>
        <v>39</v>
      </c>
      <c r="D62" s="77">
        <f>B33</f>
        <v>39</v>
      </c>
      <c r="E62" s="77">
        <f>B34</f>
        <v>91</v>
      </c>
      <c r="F62" s="77">
        <f>B35</f>
        <v>31</v>
      </c>
      <c r="G62" s="77">
        <f>B36</f>
        <v>31</v>
      </c>
      <c r="H62" s="77">
        <f>B37</f>
        <v>26</v>
      </c>
      <c r="I62" s="77">
        <f>B38</f>
        <v>31</v>
      </c>
      <c r="J62" s="77">
        <f>B39</f>
        <v>31</v>
      </c>
      <c r="K62" s="77">
        <f>B40</f>
        <v>91</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09" priority="43" operator="equal">
      <formula>"DECREASE"</formula>
    </cfRule>
    <cfRule type="cellIs" dxfId="308" priority="44" operator="equal">
      <formula>"INCREASE"</formula>
    </cfRule>
  </conditionalFormatting>
  <conditionalFormatting sqref="B31:B50 B62:U66">
    <cfRule type="cellIs" dxfId="307" priority="42" operator="greaterThan">
      <formula>$B$51</formula>
    </cfRule>
  </conditionalFormatting>
  <conditionalFormatting sqref="C31:C50">
    <cfRule type="cellIs" dxfId="306" priority="41" operator="greaterThan">
      <formula>$C$51</formula>
    </cfRule>
  </conditionalFormatting>
  <conditionalFormatting sqref="C18:V18">
    <cfRule type="cellIs" dxfId="305" priority="37" operator="equal">
      <formula>0</formula>
    </cfRule>
  </conditionalFormatting>
  <conditionalFormatting sqref="C17:V17">
    <cfRule type="cellIs" dxfId="304" priority="35" operator="equal">
      <formula>0</formula>
    </cfRule>
  </conditionalFormatting>
  <conditionalFormatting sqref="C19:V19">
    <cfRule type="cellIs" dxfId="303" priority="34" operator="equal">
      <formula>0</formula>
    </cfRule>
  </conditionalFormatting>
  <conditionalFormatting sqref="G31:G50">
    <cfRule type="cellIs" dxfId="302" priority="31" operator="greaterThan">
      <formula>$G$51</formula>
    </cfRule>
  </conditionalFormatting>
  <conditionalFormatting sqref="H31:H50">
    <cfRule type="cellIs" dxfId="301" priority="30" operator="greaterThan">
      <formula>$H$51</formula>
    </cfRule>
  </conditionalFormatting>
  <conditionalFormatting sqref="I31:I50">
    <cfRule type="cellIs" dxfId="300" priority="29" operator="greaterThan">
      <formula>$I$51</formula>
    </cfRule>
  </conditionalFormatting>
  <conditionalFormatting sqref="K31:K50">
    <cfRule type="cellIs" dxfId="299" priority="27" operator="greaterThan">
      <formula>$K$51</formula>
    </cfRule>
  </conditionalFormatting>
  <conditionalFormatting sqref="L31:L50">
    <cfRule type="cellIs" dxfId="298" priority="26" operator="greaterThan">
      <formula>$L$51</formula>
    </cfRule>
  </conditionalFormatting>
  <conditionalFormatting sqref="M31:M50">
    <cfRule type="cellIs" dxfId="297" priority="25" operator="greaterThan">
      <formula>$M$51</formula>
    </cfRule>
  </conditionalFormatting>
  <conditionalFormatting sqref="P31:P50">
    <cfRule type="cellIs" dxfId="296" priority="24" operator="greaterThan">
      <formula>$P$51</formula>
    </cfRule>
  </conditionalFormatting>
  <conditionalFormatting sqref="R31:R50">
    <cfRule type="cellIs" dxfId="295" priority="23" operator="greaterThan">
      <formula>$R$51</formula>
    </cfRule>
  </conditionalFormatting>
  <conditionalFormatting sqref="S31:S50">
    <cfRule type="cellIs" dxfId="294" priority="22" operator="greaterThan">
      <formula>$S$51</formula>
    </cfRule>
  </conditionalFormatting>
  <conditionalFormatting sqref="T31:T50">
    <cfRule type="cellIs" dxfId="293" priority="21" operator="greaterThan">
      <formula>$T$51</formula>
    </cfRule>
  </conditionalFormatting>
  <conditionalFormatting sqref="U31:U50">
    <cfRule type="cellIs" dxfId="292" priority="20" operator="greaterThan">
      <formula>$U$51</formula>
    </cfRule>
  </conditionalFormatting>
  <conditionalFormatting sqref="C22:V22">
    <cfRule type="cellIs" dxfId="291" priority="18" operator="equal">
      <formula>0</formula>
    </cfRule>
  </conditionalFormatting>
  <conditionalFormatting sqref="C24:V24">
    <cfRule type="cellIs" dxfId="290" priority="16" operator="equal">
      <formula>"DECREASE"</formula>
    </cfRule>
    <cfRule type="cellIs" dxfId="289" priority="17" operator="equal">
      <formula>"INCREASE"</formula>
    </cfRule>
  </conditionalFormatting>
  <conditionalFormatting sqref="C23:V23">
    <cfRule type="cellIs" dxfId="288" priority="15" operator="equal">
      <formula>0</formula>
    </cfRule>
  </conditionalFormatting>
  <conditionalFormatting sqref="I1">
    <cfRule type="cellIs" dxfId="287" priority="11" operator="between">
      <formula>0.1</formula>
      <formula>5</formula>
    </cfRule>
  </conditionalFormatting>
  <conditionalFormatting sqref="I2">
    <cfRule type="cellIs" dxfId="286" priority="10" operator="greaterThan">
      <formula>5000.1</formula>
    </cfRule>
  </conditionalFormatting>
  <conditionalFormatting sqref="I3">
    <cfRule type="cellIs" dxfId="285" priority="9" operator="greaterThan">
      <formula>40000.01</formula>
    </cfRule>
  </conditionalFormatting>
  <conditionalFormatting sqref="C21:V21">
    <cfRule type="cellIs" dxfId="284" priority="8" operator="equal">
      <formula>0</formula>
    </cfRule>
  </conditionalFormatting>
  <conditionalFormatting sqref="B66:U66">
    <cfRule type="cellIs" dxfId="283" priority="4" operator="equal">
      <formula>"UNDER"</formula>
    </cfRule>
    <cfRule type="cellIs" dxfId="282" priority="5" operator="equal">
      <formula>"OVER"</formula>
    </cfRule>
  </conditionalFormatting>
  <conditionalFormatting sqref="J31:J50">
    <cfRule type="cellIs" dxfId="281" priority="3" operator="greaterThan">
      <formula>$J$51</formula>
    </cfRule>
  </conditionalFormatting>
  <conditionalFormatting sqref="L3">
    <cfRule type="cellIs" dxfId="280" priority="1" operator="lessThan">
      <formula>30</formula>
    </cfRule>
    <cfRule type="cellIs" dxfId="27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H1" zoomScale="90" zoomScaleNormal="90" workbookViewId="0">
      <selection activeCell="Q27" sqref="Q27"/>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4.0599999999999996</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187</v>
      </c>
      <c r="G2" s="138" t="s">
        <v>110</v>
      </c>
      <c r="H2" s="139"/>
      <c r="I2" s="118">
        <v>737</v>
      </c>
      <c r="J2" s="119" t="s">
        <v>158</v>
      </c>
      <c r="K2" s="119"/>
      <c r="L2" s="97">
        <v>0.1</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77</v>
      </c>
      <c r="G3" s="119" t="s">
        <v>159</v>
      </c>
      <c r="H3" s="119"/>
      <c r="I3" s="118"/>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178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79.410641999999996</v>
      </c>
      <c r="D18" s="16">
        <f>$D32</f>
        <v>79.410641999999996</v>
      </c>
      <c r="E18" s="16">
        <f>$D33</f>
        <v>79.410641999999996</v>
      </c>
      <c r="F18" s="16">
        <f>$D34</f>
        <v>112.37355000000001</v>
      </c>
      <c r="G18" s="16">
        <f>$D35</f>
        <v>62.929187999999996</v>
      </c>
      <c r="H18" s="16">
        <f>$D36</f>
        <v>62.929187999999996</v>
      </c>
      <c r="I18" s="16">
        <f>$D37</f>
        <v>53.939304</v>
      </c>
      <c r="J18" s="16">
        <f>$D38</f>
        <v>62.929187999999996</v>
      </c>
      <c r="K18" s="16">
        <f>$D39</f>
        <v>62.929187999999996</v>
      </c>
      <c r="L18" s="16">
        <f>$D40</f>
        <v>112.37355000000001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-0.48935799999999574</v>
      </c>
      <c r="D19" s="16">
        <f t="shared" ref="D19:V19" si="1">D18-D17</f>
        <v>-0.48935799999999574</v>
      </c>
      <c r="E19" s="16">
        <f t="shared" si="1"/>
        <v>-0.48935799999999574</v>
      </c>
      <c r="F19" s="16">
        <f t="shared" si="1"/>
        <v>32.473550000000017</v>
      </c>
      <c r="G19" s="16">
        <f t="shared" si="1"/>
        <v>-7.0811999999996544E-2</v>
      </c>
      <c r="H19" s="16">
        <f t="shared" si="1"/>
        <v>-7.0811999999996544E-2</v>
      </c>
      <c r="I19" s="16">
        <f t="shared" si="1"/>
        <v>-201.06069600000001</v>
      </c>
      <c r="J19" s="16">
        <f t="shared" si="1"/>
        <v>-7.0811999999996544E-2</v>
      </c>
      <c r="K19" s="16">
        <f t="shared" si="1"/>
        <v>-7.0811999999996544E-2</v>
      </c>
      <c r="L19" s="16">
        <f t="shared" si="1"/>
        <v>32.473550000000017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91.71014000000001</v>
      </c>
      <c r="D22" s="16">
        <f>$E32</f>
        <v>91.71014000000001</v>
      </c>
      <c r="E22" s="16">
        <f>$E33</f>
        <v>91.71014000000001</v>
      </c>
      <c r="F22" s="16">
        <f>$E34</f>
        <v>129.77849999999998</v>
      </c>
      <c r="G22" s="16">
        <f>$E35</f>
        <v>72.675960000000003</v>
      </c>
      <c r="H22" s="16">
        <f>$E36</f>
        <v>72.675960000000003</v>
      </c>
      <c r="I22" s="16">
        <f>$E37</f>
        <v>62.293680000000002</v>
      </c>
      <c r="J22" s="16">
        <f>$E38</f>
        <v>72.675960000000003</v>
      </c>
      <c r="K22" s="16">
        <f>$E39</f>
        <v>72.675960000000003</v>
      </c>
      <c r="L22" s="16">
        <f>$E40</f>
        <v>129.77849999999998</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-190.28985999999998</v>
      </c>
      <c r="D23" s="16">
        <f t="shared" ref="D23:V23" si="3">D22-D21</f>
        <v>-190.28985999999998</v>
      </c>
      <c r="E23" s="16">
        <f t="shared" si="3"/>
        <v>-190.28985999999998</v>
      </c>
      <c r="F23" s="16">
        <f t="shared" si="3"/>
        <v>-152.22150000000002</v>
      </c>
      <c r="G23" s="16">
        <f t="shared" si="3"/>
        <v>-125.32404000000002</v>
      </c>
      <c r="H23" s="16">
        <f t="shared" si="3"/>
        <v>-125.32404000000002</v>
      </c>
      <c r="I23" s="16">
        <f t="shared" si="3"/>
        <v>-297.70632000000001</v>
      </c>
      <c r="J23" s="16">
        <f t="shared" si="3"/>
        <v>-125.32404000000002</v>
      </c>
      <c r="K23" s="16">
        <f t="shared" si="3"/>
        <v>-125.32404000000002</v>
      </c>
      <c r="L23" s="16">
        <f t="shared" si="3"/>
        <v>-152.22150000000002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2.95</v>
      </c>
      <c r="C28" s="15">
        <v>0.1</v>
      </c>
      <c r="D28" s="15">
        <v>327</v>
      </c>
      <c r="E28" s="15">
        <v>718</v>
      </c>
      <c r="F28" s="15">
        <v>128</v>
      </c>
      <c r="G28" s="15">
        <v>0.5</v>
      </c>
      <c r="H28" s="15">
        <v>1</v>
      </c>
      <c r="I28" s="15">
        <v>0.5</v>
      </c>
      <c r="J28" s="15">
        <v>0.01</v>
      </c>
      <c r="K28" s="23">
        <v>0.05</v>
      </c>
      <c r="L28" s="15">
        <v>0.2</v>
      </c>
      <c r="M28" s="15">
        <v>0.2</v>
      </c>
      <c r="N28" s="15"/>
      <c r="O28" s="15"/>
      <c r="P28" s="15">
        <v>308</v>
      </c>
      <c r="Q28" s="15">
        <v>114</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106</v>
      </c>
      <c r="C31" s="77">
        <f>IF(C$27="%w/w SAR",((C$28*10)*$B31),IF(C$27="%w/w DM",(((C$28*10)*($B$28/100))*$B31),IF(C$27="kg/t SAR",(C$28*$B31),IF(C$27="kg/t DM",((C$28*($B$28/100))*$B31),IF(C$27="mg/kg SAR",((C$28*0.001)*$B31),IF(C$27="mg/kg DM",(((C$28*0.001)*($B$28/100))*$B31),0))))))</f>
        <v>106</v>
      </c>
      <c r="D31" s="77">
        <f>(IF(D$27="%w/w SAR",((D$28*10)*$B31),IF(D$27="%w/w DM",(((D$28*10)*($B$28/100))*$B31),IF(D$27="kg/t SAR",(D$28*$B31),IF(D$27="kg/t DM",((D$28*($B$28/100))*$B31),IF(D$27="mg/kg SAR",((D$28*0.001)*$B31),IF(D$27="mg/kg DM",(((D$28*0.001)*($B$28/100))*$B31),"0")))))))*2.291</f>
        <v>79.410641999999996</v>
      </c>
      <c r="E31" s="77">
        <f>(IF(E$27="%w/w SAR",((E$28*10)*$B31),IF(E$27="%w/w DM",(((E$28*10)*($B$28/100))*$B31),IF(E$27="kg/t SAR",(E$28*$B31),IF(E$27="kg/t DM",((E$28*($B$28/100))*$B31),IF(E$27="mg/kg SAR",((E$28*0.001)*$B31),IF(E$27="mg/kg DM",(((E$28*0.001)*($B$28/100))*$B31),"0")))))))*1.205</f>
        <v>91.71014000000001</v>
      </c>
      <c r="F31" s="77">
        <f>(IF(F$27="%w/w SAR",((F$28*10)*$B31),IF(F$27="%w/w DM",(((F$28*10)*($B$28/100))*$B31),IF(F$27="kg/t SAR",(F$28*$B31),IF(F$27="kg/t DM",((F$28*($B$28/100))*$B31),IF(F$27="mg/kg SAR",((F$28*0.001)*$B31),IF(F$27="mg/kg DM",(((F$28*0.001)*($B$28/100))*$B31),"0")))))))*1.658</f>
        <v>22.495743999999998</v>
      </c>
      <c r="G31" s="77">
        <f t="shared" ref="G31:P46" si="5">IF(G$27="%w/w SAR",((G$28*10)*$B31),IF(G$27="%w/w DM",(((G$28*10)*($B$28/100))*$B31),IF(G$27="kg/t SAR",(G$28*$B31),IF(G$27="kg/t DM",((G$28*($B$28/100))*$B31),IF(G$27="mg/kg SAR",((G$28*0.001)*$B31),IF(G$27="mg/kg DM",(((G$28*0.001)*($B$28/100))*$B31),0))))))</f>
        <v>5.2999999999999999E-2</v>
      </c>
      <c r="H31" s="77">
        <f t="shared" si="5"/>
        <v>0.106</v>
      </c>
      <c r="I31" s="77">
        <f t="shared" si="5"/>
        <v>5.2999999999999999E-2</v>
      </c>
      <c r="J31" s="77">
        <f t="shared" si="5"/>
        <v>1.0600000000000002E-3</v>
      </c>
      <c r="K31" s="77">
        <f t="shared" si="5"/>
        <v>5.3E-3</v>
      </c>
      <c r="L31" s="77">
        <f t="shared" si="5"/>
        <v>2.12E-2</v>
      </c>
      <c r="M31" s="77">
        <f t="shared" si="5"/>
        <v>2.12E-2</v>
      </c>
      <c r="N31" s="77">
        <f t="shared" si="5"/>
        <v>0</v>
      </c>
      <c r="O31" s="77">
        <f t="shared" si="5"/>
        <v>0</v>
      </c>
      <c r="P31" s="77">
        <f t="shared" si="5"/>
        <v>32.647999999999996</v>
      </c>
      <c r="Q31" s="77">
        <f>(IF(Q$27="%w/w SAR",((Q$28*10)*$B31),IF(Q$27="%w/w DM",(((Q$28*10)*($B$28/100))*$B31),IF(Q$27="kg/t SAR",(Q$28*$B31),IF(Q$27="kg/t DM",((Q$28*($B$28/100))*$B31),IF(Q$27="mg/kg SAR",((Q$28*0.001)*$B31),IF(Q$27="mg/kg DM",(((Q$28*0.001)*($B$28/100))*$B31),0)))))))*2.5</f>
        <v>30.21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106</v>
      </c>
      <c r="C32" s="77">
        <f t="shared" ref="C32:C50" si="6">IF(C$27="%w/w SAR",((C$28*10)*$B32),IF(C$27="%w/w DM",(((C$28*10)*($B$28/100))*$B32),IF(C$27="kg/t SAR",(C$28*$B32),IF(C$27="kg/t DM",((C$28*($B$28/100))*$B32),IF(C$27="mg/kg SAR",((C$28*0.001)*$B32),IF(C$27="mg/kg DM",(((C$28*0.001)*($B$28/100))*$B32),0))))))</f>
        <v>106</v>
      </c>
      <c r="D32" s="77">
        <f t="shared" ref="D32:D50" si="7">(IF(D$27="%w/w SAR",((D$28*10)*$B32),IF(D$27="%w/w DM",(((D$28*10)*($B$28/100))*$B32),IF(D$27="kg/t SAR",(D$28*$B32),IF(D$27="kg/t DM",((D$28*($B$28/100))*$B32),IF(D$27="mg/kg SAR",((D$28*0.001)*$B32),IF(D$27="mg/kg DM",(((D$28*0.001)*($B$28/100))*$B32),"0")))))))*2.291</f>
        <v>79.410641999999996</v>
      </c>
      <c r="E32" s="77">
        <f t="shared" ref="E32:E50" si="8">(IF(E$27="%w/w SAR",((E$28*10)*$B32),IF(E$27="%w/w DM",(((E$28*10)*($B$28/100))*$B32),IF(E$27="kg/t SAR",(E$28*$B32),IF(E$27="kg/t DM",((E$28*($B$28/100))*$B32),IF(E$27="mg/kg SAR",((E$28*0.001)*$B32),IF(E$27="mg/kg DM",(((E$28*0.001)*($B$28/100))*$B32),"0")))))))*1.205</f>
        <v>91.71014000000001</v>
      </c>
      <c r="F32" s="77">
        <f t="shared" ref="F32:F50" si="9">(IF(F$27="%w/w SAR",((F$28*10)*$B32),IF(F$27="%w/w DM",(((F$28*10)*($B$28/100))*$B32),IF(F$27="kg/t SAR",(F$28*$B32),IF(F$27="kg/t DM",((F$28*($B$28/100))*$B32),IF(F$27="mg/kg SAR",((F$28*0.001)*$B32),IF(F$27="mg/kg DM",(((F$28*0.001)*($B$28/100))*$B32),"0")))))))*1.658</f>
        <v>22.495743999999998</v>
      </c>
      <c r="G32" s="77">
        <f t="shared" si="5"/>
        <v>5.2999999999999999E-2</v>
      </c>
      <c r="H32" s="77">
        <f t="shared" si="5"/>
        <v>0.106</v>
      </c>
      <c r="I32" s="77">
        <f t="shared" si="5"/>
        <v>5.2999999999999999E-2</v>
      </c>
      <c r="J32" s="77">
        <f t="shared" si="5"/>
        <v>1.0600000000000002E-3</v>
      </c>
      <c r="K32" s="77">
        <f t="shared" si="5"/>
        <v>5.3E-3</v>
      </c>
      <c r="L32" s="77">
        <f t="shared" si="5"/>
        <v>2.12E-2</v>
      </c>
      <c r="M32" s="77">
        <f t="shared" si="5"/>
        <v>2.12E-2</v>
      </c>
      <c r="N32" s="77">
        <f t="shared" si="5"/>
        <v>0</v>
      </c>
      <c r="O32" s="77">
        <f t="shared" si="5"/>
        <v>0</v>
      </c>
      <c r="P32" s="77">
        <f t="shared" si="5"/>
        <v>32.647999999999996</v>
      </c>
      <c r="Q32" s="77">
        <f t="shared" ref="Q32:Q50" si="10">(IF(Q$27="%w/w SAR",((Q$28*10)*$B32),IF(Q$27="%w/w DM",(((Q$28*10)*($B$28/100))*$B32),IF(Q$27="kg/t SAR",(Q$28*$B32),IF(Q$27="kg/t DM",((Q$28*($B$28/100))*$B32),IF(Q$27="mg/kg SAR",((Q$28*0.001)*$B32),IF(Q$27="mg/kg DM",(((Q$28*0.001)*($B$28/100))*$B32),0)))))))*2.5</f>
        <v>30.21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106</v>
      </c>
      <c r="C33" s="77">
        <f t="shared" si="6"/>
        <v>106</v>
      </c>
      <c r="D33" s="77">
        <f t="shared" si="7"/>
        <v>79.410641999999996</v>
      </c>
      <c r="E33" s="77">
        <f t="shared" si="8"/>
        <v>91.71014000000001</v>
      </c>
      <c r="F33" s="77">
        <f t="shared" si="9"/>
        <v>22.495743999999998</v>
      </c>
      <c r="G33" s="77">
        <f t="shared" si="5"/>
        <v>5.2999999999999999E-2</v>
      </c>
      <c r="H33" s="77">
        <f t="shared" si="5"/>
        <v>0.106</v>
      </c>
      <c r="I33" s="77">
        <f t="shared" si="5"/>
        <v>5.2999999999999999E-2</v>
      </c>
      <c r="J33" s="77">
        <f t="shared" si="5"/>
        <v>1.0600000000000002E-3</v>
      </c>
      <c r="K33" s="77">
        <f t="shared" si="5"/>
        <v>5.3E-3</v>
      </c>
      <c r="L33" s="77">
        <f t="shared" si="5"/>
        <v>2.12E-2</v>
      </c>
      <c r="M33" s="77">
        <f t="shared" si="5"/>
        <v>2.12E-2</v>
      </c>
      <c r="N33" s="77">
        <f t="shared" si="5"/>
        <v>0</v>
      </c>
      <c r="O33" s="77">
        <f t="shared" si="5"/>
        <v>0</v>
      </c>
      <c r="P33" s="77">
        <f t="shared" si="5"/>
        <v>32.647999999999996</v>
      </c>
      <c r="Q33" s="77">
        <f t="shared" si="10"/>
        <v>30.21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150</v>
      </c>
      <c r="C34" s="77">
        <f t="shared" si="6"/>
        <v>150</v>
      </c>
      <c r="D34" s="77">
        <f t="shared" si="7"/>
        <v>112.37355000000001</v>
      </c>
      <c r="E34" s="77">
        <f t="shared" si="8"/>
        <v>129.77849999999998</v>
      </c>
      <c r="F34" s="77">
        <f t="shared" si="9"/>
        <v>31.833599999999997</v>
      </c>
      <c r="G34" s="77">
        <f t="shared" si="5"/>
        <v>7.4999999999999997E-2</v>
      </c>
      <c r="H34" s="77">
        <f t="shared" si="5"/>
        <v>0.15</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46.2</v>
      </c>
      <c r="Q34" s="77">
        <f t="shared" si="10"/>
        <v>42.75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84</v>
      </c>
      <c r="C35" s="77">
        <f t="shared" si="6"/>
        <v>84</v>
      </c>
      <c r="D35" s="77">
        <f t="shared" si="7"/>
        <v>62.929187999999996</v>
      </c>
      <c r="E35" s="77">
        <f t="shared" si="8"/>
        <v>72.675960000000003</v>
      </c>
      <c r="F35" s="77">
        <f t="shared" si="9"/>
        <v>17.826816000000001</v>
      </c>
      <c r="G35" s="77">
        <f t="shared" si="5"/>
        <v>4.2000000000000003E-2</v>
      </c>
      <c r="H35" s="77">
        <f t="shared" si="5"/>
        <v>8.4000000000000005E-2</v>
      </c>
      <c r="I35" s="77">
        <f t="shared" si="5"/>
        <v>4.2000000000000003E-2</v>
      </c>
      <c r="J35" s="77">
        <f t="shared" si="5"/>
        <v>8.4000000000000003E-4</v>
      </c>
      <c r="K35" s="77">
        <f t="shared" si="5"/>
        <v>4.2000000000000006E-3</v>
      </c>
      <c r="L35" s="77">
        <f t="shared" si="5"/>
        <v>1.6800000000000002E-2</v>
      </c>
      <c r="M35" s="77">
        <f t="shared" si="5"/>
        <v>1.6800000000000002E-2</v>
      </c>
      <c r="N35" s="77">
        <f t="shared" si="5"/>
        <v>0</v>
      </c>
      <c r="O35" s="77">
        <f t="shared" si="5"/>
        <v>0</v>
      </c>
      <c r="P35" s="77">
        <f t="shared" si="5"/>
        <v>25.872</v>
      </c>
      <c r="Q35" s="77">
        <f t="shared" si="10"/>
        <v>23.94</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84</v>
      </c>
      <c r="C36" s="77">
        <f t="shared" si="6"/>
        <v>84</v>
      </c>
      <c r="D36" s="77">
        <f t="shared" si="7"/>
        <v>62.929187999999996</v>
      </c>
      <c r="E36" s="77">
        <f t="shared" si="8"/>
        <v>72.675960000000003</v>
      </c>
      <c r="F36" s="77">
        <f t="shared" si="9"/>
        <v>17.826816000000001</v>
      </c>
      <c r="G36" s="77">
        <f t="shared" si="5"/>
        <v>4.2000000000000003E-2</v>
      </c>
      <c r="H36" s="77">
        <f t="shared" si="5"/>
        <v>8.4000000000000005E-2</v>
      </c>
      <c r="I36" s="77">
        <f t="shared" si="5"/>
        <v>4.2000000000000003E-2</v>
      </c>
      <c r="J36" s="77">
        <f t="shared" si="5"/>
        <v>8.4000000000000003E-4</v>
      </c>
      <c r="K36" s="77">
        <f t="shared" si="5"/>
        <v>4.2000000000000006E-3</v>
      </c>
      <c r="L36" s="77">
        <f t="shared" si="5"/>
        <v>1.6800000000000002E-2</v>
      </c>
      <c r="M36" s="77">
        <f t="shared" si="5"/>
        <v>1.6800000000000002E-2</v>
      </c>
      <c r="N36" s="77">
        <f t="shared" si="5"/>
        <v>0</v>
      </c>
      <c r="O36" s="77">
        <f t="shared" si="5"/>
        <v>0</v>
      </c>
      <c r="P36" s="77">
        <f t="shared" si="5"/>
        <v>25.872</v>
      </c>
      <c r="Q36" s="77">
        <f t="shared" si="10"/>
        <v>23.94</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72</v>
      </c>
      <c r="C37" s="77">
        <f t="shared" si="6"/>
        <v>72</v>
      </c>
      <c r="D37" s="77">
        <f t="shared" si="7"/>
        <v>53.939304</v>
      </c>
      <c r="E37" s="77">
        <f t="shared" si="8"/>
        <v>62.293680000000002</v>
      </c>
      <c r="F37" s="77">
        <f t="shared" si="9"/>
        <v>15.280128000000001</v>
      </c>
      <c r="G37" s="77">
        <f t="shared" si="5"/>
        <v>3.6000000000000004E-2</v>
      </c>
      <c r="H37" s="77">
        <f t="shared" si="5"/>
        <v>7.2000000000000008E-2</v>
      </c>
      <c r="I37" s="77">
        <f t="shared" si="5"/>
        <v>3.6000000000000004E-2</v>
      </c>
      <c r="J37" s="77">
        <f t="shared" si="5"/>
        <v>7.2000000000000005E-4</v>
      </c>
      <c r="K37" s="77">
        <f t="shared" si="5"/>
        <v>3.6000000000000003E-3</v>
      </c>
      <c r="L37" s="77">
        <f t="shared" si="5"/>
        <v>1.4400000000000001E-2</v>
      </c>
      <c r="M37" s="77">
        <f t="shared" si="5"/>
        <v>1.4400000000000001E-2</v>
      </c>
      <c r="N37" s="77">
        <f t="shared" si="5"/>
        <v>0</v>
      </c>
      <c r="O37" s="77">
        <f t="shared" si="5"/>
        <v>0</v>
      </c>
      <c r="P37" s="77">
        <f t="shared" si="5"/>
        <v>22.175999999999998</v>
      </c>
      <c r="Q37" s="77">
        <f t="shared" si="10"/>
        <v>20.52</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84</v>
      </c>
      <c r="C38" s="77">
        <f t="shared" si="6"/>
        <v>84</v>
      </c>
      <c r="D38" s="77">
        <f t="shared" si="7"/>
        <v>62.929187999999996</v>
      </c>
      <c r="E38" s="77">
        <f t="shared" si="8"/>
        <v>72.675960000000003</v>
      </c>
      <c r="F38" s="77">
        <f t="shared" si="9"/>
        <v>17.826816000000001</v>
      </c>
      <c r="G38" s="77">
        <f t="shared" si="5"/>
        <v>4.2000000000000003E-2</v>
      </c>
      <c r="H38" s="77">
        <f t="shared" si="5"/>
        <v>8.4000000000000005E-2</v>
      </c>
      <c r="I38" s="77">
        <f t="shared" si="5"/>
        <v>4.2000000000000003E-2</v>
      </c>
      <c r="J38" s="77">
        <f t="shared" si="5"/>
        <v>8.4000000000000003E-4</v>
      </c>
      <c r="K38" s="77">
        <f t="shared" si="5"/>
        <v>4.2000000000000006E-3</v>
      </c>
      <c r="L38" s="77">
        <f t="shared" si="5"/>
        <v>1.6800000000000002E-2</v>
      </c>
      <c r="M38" s="77">
        <f t="shared" si="5"/>
        <v>1.6800000000000002E-2</v>
      </c>
      <c r="N38" s="77">
        <f t="shared" si="5"/>
        <v>0</v>
      </c>
      <c r="O38" s="77">
        <f t="shared" si="5"/>
        <v>0</v>
      </c>
      <c r="P38" s="77">
        <f t="shared" si="5"/>
        <v>25.872</v>
      </c>
      <c r="Q38" s="77">
        <f t="shared" si="10"/>
        <v>23.94</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84</v>
      </c>
      <c r="C39" s="77">
        <f t="shared" si="6"/>
        <v>84</v>
      </c>
      <c r="D39" s="77">
        <f t="shared" si="7"/>
        <v>62.929187999999996</v>
      </c>
      <c r="E39" s="77">
        <f t="shared" si="8"/>
        <v>72.675960000000003</v>
      </c>
      <c r="F39" s="77">
        <f t="shared" si="9"/>
        <v>17.826816000000001</v>
      </c>
      <c r="G39" s="77">
        <f t="shared" si="5"/>
        <v>4.2000000000000003E-2</v>
      </c>
      <c r="H39" s="77">
        <f t="shared" si="5"/>
        <v>8.4000000000000005E-2</v>
      </c>
      <c r="I39" s="77">
        <f t="shared" si="5"/>
        <v>4.2000000000000003E-2</v>
      </c>
      <c r="J39" s="77">
        <f t="shared" si="5"/>
        <v>8.4000000000000003E-4</v>
      </c>
      <c r="K39" s="77">
        <f t="shared" si="5"/>
        <v>4.2000000000000006E-3</v>
      </c>
      <c r="L39" s="77">
        <f t="shared" si="5"/>
        <v>1.6800000000000002E-2</v>
      </c>
      <c r="M39" s="77">
        <f t="shared" si="5"/>
        <v>1.6800000000000002E-2</v>
      </c>
      <c r="N39" s="77">
        <f t="shared" si="5"/>
        <v>0</v>
      </c>
      <c r="O39" s="77">
        <f t="shared" si="5"/>
        <v>0</v>
      </c>
      <c r="P39" s="77">
        <f t="shared" si="5"/>
        <v>25.872</v>
      </c>
      <c r="Q39" s="77">
        <f t="shared" si="10"/>
        <v>23.94</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3234</v>
      </c>
      <c r="B40" s="15">
        <v>150</v>
      </c>
      <c r="C40" s="77">
        <f t="shared" si="6"/>
        <v>150</v>
      </c>
      <c r="D40" s="77">
        <f t="shared" si="7"/>
        <v>112.37355000000001</v>
      </c>
      <c r="E40" s="77">
        <f t="shared" si="8"/>
        <v>129.77849999999998</v>
      </c>
      <c r="F40" s="77">
        <f t="shared" si="9"/>
        <v>31.833599999999997</v>
      </c>
      <c r="G40" s="77">
        <f t="shared" si="5"/>
        <v>7.4999999999999997E-2</v>
      </c>
      <c r="H40" s="77">
        <f t="shared" si="5"/>
        <v>0.15</v>
      </c>
      <c r="I40" s="77">
        <f t="shared" si="5"/>
        <v>7.4999999999999997E-2</v>
      </c>
      <c r="J40" s="77">
        <f t="shared" si="5"/>
        <v>1.5E-3</v>
      </c>
      <c r="K40" s="77">
        <f t="shared" si="5"/>
        <v>7.5000000000000006E-3</v>
      </c>
      <c r="L40" s="77">
        <f t="shared" si="5"/>
        <v>3.0000000000000002E-2</v>
      </c>
      <c r="M40" s="77">
        <f t="shared" si="5"/>
        <v>3.0000000000000002E-2</v>
      </c>
      <c r="N40" s="77">
        <f t="shared" si="5"/>
        <v>0</v>
      </c>
      <c r="O40" s="77">
        <f t="shared" si="5"/>
        <v>0</v>
      </c>
      <c r="P40" s="77">
        <f t="shared" si="5"/>
        <v>46.2</v>
      </c>
      <c r="Q40" s="77">
        <f t="shared" si="10"/>
        <v>42.75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Arable</v>
      </c>
      <c r="H58" s="13" t="str">
        <f>I16&amp;" I "&amp;(VLOOKUP(I14,Table245[],6,FALSE))</f>
        <v>Medium/Clay I Arable</v>
      </c>
      <c r="I58" s="13" t="str">
        <f>J16&amp;" I "&amp;(VLOOKUP(J14,Table245[],6,FALSE))</f>
        <v>Medium/Clay I Arable</v>
      </c>
      <c r="J58" s="13" t="str">
        <f>K16&amp;" I "&amp;(VLOOKUP(K14,Table245[],6,FALSE))</f>
        <v>Medium/Clay I Arable</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6.7</v>
      </c>
      <c r="G59" s="76">
        <f>VLOOKUP(H$14,Table245[],5,FALSE)</f>
        <v>6.7</v>
      </c>
      <c r="H59" s="76">
        <f>VLOOKUP(I$14,Table245[],5,FALSE)</f>
        <v>6.7</v>
      </c>
      <c r="I59" s="76">
        <f>VLOOKUP(J$14,Table245[],5,FALSE)</f>
        <v>6.7</v>
      </c>
      <c r="J59" s="76">
        <f>VLOOKUP(K$14,Table245[],5,FALSE)</f>
        <v>6.7</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106</v>
      </c>
      <c r="C62" s="77">
        <f>B32</f>
        <v>106</v>
      </c>
      <c r="D62" s="77">
        <f>B33</f>
        <v>106</v>
      </c>
      <c r="E62" s="77">
        <f>B34</f>
        <v>150</v>
      </c>
      <c r="F62" s="77">
        <f>B35</f>
        <v>84</v>
      </c>
      <c r="G62" s="77">
        <f>B36</f>
        <v>84</v>
      </c>
      <c r="H62" s="77">
        <f>B37</f>
        <v>72</v>
      </c>
      <c r="I62" s="77">
        <f>B38</f>
        <v>84</v>
      </c>
      <c r="J62" s="77">
        <f>B39</f>
        <v>84</v>
      </c>
      <c r="K62" s="77">
        <f>B40</f>
        <v>150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78" priority="37" operator="equal">
      <formula>"DECREASE"</formula>
    </cfRule>
    <cfRule type="cellIs" dxfId="277" priority="38" operator="equal">
      <formula>"INCREASE"</formula>
    </cfRule>
  </conditionalFormatting>
  <conditionalFormatting sqref="B31:B50 B62:U66">
    <cfRule type="cellIs" dxfId="276" priority="36" operator="greaterThan">
      <formula>$B$51</formula>
    </cfRule>
  </conditionalFormatting>
  <conditionalFormatting sqref="C31:C50">
    <cfRule type="cellIs" dxfId="275" priority="35" operator="greaterThan">
      <formula>$C$51</formula>
    </cfRule>
  </conditionalFormatting>
  <conditionalFormatting sqref="C18:V18">
    <cfRule type="cellIs" dxfId="274" priority="34" operator="equal">
      <formula>0</formula>
    </cfRule>
  </conditionalFormatting>
  <conditionalFormatting sqref="C17:V17">
    <cfRule type="cellIs" dxfId="273" priority="33" operator="equal">
      <formula>0</formula>
    </cfRule>
  </conditionalFormatting>
  <conditionalFormatting sqref="C19:V19">
    <cfRule type="cellIs" dxfId="272" priority="32" operator="equal">
      <formula>0</formula>
    </cfRule>
  </conditionalFormatting>
  <conditionalFormatting sqref="G31:G50">
    <cfRule type="cellIs" dxfId="271" priority="31" operator="greaterThan">
      <formula>$G$51</formula>
    </cfRule>
  </conditionalFormatting>
  <conditionalFormatting sqref="H31:H50">
    <cfRule type="cellIs" dxfId="270" priority="30" operator="greaterThan">
      <formula>$H$51</formula>
    </cfRule>
  </conditionalFormatting>
  <conditionalFormatting sqref="I31:I50">
    <cfRule type="cellIs" dxfId="269" priority="29" operator="greaterThan">
      <formula>$I$51</formula>
    </cfRule>
  </conditionalFormatting>
  <conditionalFormatting sqref="K31:K50">
    <cfRule type="cellIs" dxfId="268" priority="28" operator="greaterThan">
      <formula>$K$51</formula>
    </cfRule>
  </conditionalFormatting>
  <conditionalFormatting sqref="L31:L50">
    <cfRule type="cellIs" dxfId="267" priority="27" operator="greaterThan">
      <formula>$L$51</formula>
    </cfRule>
  </conditionalFormatting>
  <conditionalFormatting sqref="M31:M50">
    <cfRule type="cellIs" dxfId="266" priority="26" operator="greaterThan">
      <formula>$M$51</formula>
    </cfRule>
  </conditionalFormatting>
  <conditionalFormatting sqref="P31:P50">
    <cfRule type="cellIs" dxfId="265" priority="25" operator="greaterThan">
      <formula>$P$51</formula>
    </cfRule>
  </conditionalFormatting>
  <conditionalFormatting sqref="R31:R50">
    <cfRule type="cellIs" dxfId="264" priority="24" operator="greaterThan">
      <formula>$R$51</formula>
    </cfRule>
  </conditionalFormatting>
  <conditionalFormatting sqref="S31:S50">
    <cfRule type="cellIs" dxfId="263" priority="23" operator="greaterThan">
      <formula>$S$51</formula>
    </cfRule>
  </conditionalFormatting>
  <conditionalFormatting sqref="T31:T50">
    <cfRule type="cellIs" dxfId="262" priority="22" operator="greaterThan">
      <formula>$T$51</formula>
    </cfRule>
  </conditionalFormatting>
  <conditionalFormatting sqref="U31:U50">
    <cfRule type="cellIs" dxfId="261" priority="21" operator="greaterThan">
      <formula>$U$51</formula>
    </cfRule>
  </conditionalFormatting>
  <conditionalFormatting sqref="C22:V22">
    <cfRule type="cellIs" dxfId="260" priority="20" operator="equal">
      <formula>0</formula>
    </cfRule>
  </conditionalFormatting>
  <conditionalFormatting sqref="C24:V24">
    <cfRule type="cellIs" dxfId="259" priority="18" operator="equal">
      <formula>"DECREASE"</formula>
    </cfRule>
    <cfRule type="cellIs" dxfId="258" priority="19" operator="equal">
      <formula>"INCREASE"</formula>
    </cfRule>
  </conditionalFormatting>
  <conditionalFormatting sqref="C23:V23">
    <cfRule type="cellIs" dxfId="257" priority="17" operator="equal">
      <formula>0</formula>
    </cfRule>
  </conditionalFormatting>
  <conditionalFormatting sqref="C21:V21">
    <cfRule type="cellIs" dxfId="256" priority="13" operator="equal">
      <formula>0</formula>
    </cfRule>
  </conditionalFormatting>
  <conditionalFormatting sqref="B66:U66">
    <cfRule type="cellIs" dxfId="255" priority="11" operator="equal">
      <formula>"UNDER"</formula>
    </cfRule>
    <cfRule type="cellIs" dxfId="254" priority="12" operator="equal">
      <formula>"OVER"</formula>
    </cfRule>
  </conditionalFormatting>
  <conditionalFormatting sqref="J31:J50">
    <cfRule type="cellIs" dxfId="253" priority="8" operator="greaterThan">
      <formula>$J$51</formula>
    </cfRule>
  </conditionalFormatting>
  <conditionalFormatting sqref="L3">
    <cfRule type="cellIs" dxfId="252" priority="4" operator="lessThan">
      <formula>30</formula>
    </cfRule>
    <cfRule type="cellIs" dxfId="251" priority="5" operator="greaterThanOrEqual">
      <formula>30</formula>
    </cfRule>
  </conditionalFormatting>
  <conditionalFormatting sqref="I1">
    <cfRule type="cellIs" dxfId="250" priority="3" operator="between">
      <formula>0.1</formula>
      <formula>5</formula>
    </cfRule>
  </conditionalFormatting>
  <conditionalFormatting sqref="I2">
    <cfRule type="cellIs" dxfId="249" priority="2" operator="greaterThan">
      <formula>5000.1</formula>
    </cfRule>
  </conditionalFormatting>
  <conditionalFormatting sqref="I3">
    <cfRule type="cellIs" dxfId="248"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O34" sqref="O34"/>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3.5</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187</v>
      </c>
      <c r="G2" s="138" t="s">
        <v>110</v>
      </c>
      <c r="H2" s="139"/>
      <c r="I2" s="118">
        <v>601</v>
      </c>
      <c r="J2" s="119" t="s">
        <v>158</v>
      </c>
      <c r="K2" s="119"/>
      <c r="L2" s="97">
        <v>0.08</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77</v>
      </c>
      <c r="G3" s="119" t="s">
        <v>159</v>
      </c>
      <c r="H3" s="119"/>
      <c r="I3" s="118"/>
      <c r="J3" s="120" t="s">
        <v>154</v>
      </c>
      <c r="K3" s="121"/>
      <c r="L3" s="97">
        <f>(L1/(L2*10000))*100</f>
        <v>3.125</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179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79.747419000000008</v>
      </c>
      <c r="D18" s="16">
        <f>$D32</f>
        <v>79.747419000000008</v>
      </c>
      <c r="E18" s="16">
        <f>$D33</f>
        <v>79.747419000000008</v>
      </c>
      <c r="F18" s="16">
        <f>$D34</f>
        <v>97.252949999999998</v>
      </c>
      <c r="G18" s="16">
        <f>$D35</f>
        <v>62.89024100000001</v>
      </c>
      <c r="H18" s="16">
        <f>$D36</f>
        <v>62.89024100000001</v>
      </c>
      <c r="I18" s="16">
        <f>$D37</f>
        <v>53.813299000000001</v>
      </c>
      <c r="J18" s="16">
        <f>$D38</f>
        <v>62.89024100000001</v>
      </c>
      <c r="K18" s="16">
        <f>$D39</f>
        <v>62.89024100000001</v>
      </c>
      <c r="L18" s="16">
        <f>$D40</f>
        <v>97.252949999999998</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-0.15258099999998365</v>
      </c>
      <c r="D19" s="16">
        <f t="shared" ref="D19:V19" si="1">D18-D17</f>
        <v>-0.15258099999998365</v>
      </c>
      <c r="E19" s="16">
        <f t="shared" si="1"/>
        <v>-0.15258099999998365</v>
      </c>
      <c r="F19" s="16">
        <f t="shared" si="1"/>
        <v>17.352950000000007</v>
      </c>
      <c r="G19" s="16">
        <f t="shared" si="1"/>
        <v>-0.10975899999998262</v>
      </c>
      <c r="H19" s="16">
        <f t="shared" si="1"/>
        <v>-0.10975899999998262</v>
      </c>
      <c r="I19" s="16">
        <f t="shared" si="1"/>
        <v>-201.186701</v>
      </c>
      <c r="J19" s="16">
        <f t="shared" si="1"/>
        <v>-0.10975899999998262</v>
      </c>
      <c r="K19" s="16">
        <f t="shared" si="1"/>
        <v>-0.10975899999998262</v>
      </c>
      <c r="L19" s="16">
        <f t="shared" si="1"/>
        <v>17.352950000000007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(VLOOKUP(D$14,$AI2:$AK24,3,FALSE))*D$15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104.491575</v>
      </c>
      <c r="D22" s="16">
        <f>$E32</f>
        <v>104.491575</v>
      </c>
      <c r="E22" s="16">
        <f>$E33</f>
        <v>104.491575</v>
      </c>
      <c r="F22" s="16">
        <f>$E34</f>
        <v>127.42875000000001</v>
      </c>
      <c r="G22" s="16">
        <f>$E35</f>
        <v>82.403925000000001</v>
      </c>
      <c r="H22" s="16">
        <f>$E36</f>
        <v>82.403925000000001</v>
      </c>
      <c r="I22" s="16">
        <f>$E37</f>
        <v>70.510575000000003</v>
      </c>
      <c r="J22" s="16">
        <f>$E38</f>
        <v>82.403925000000001</v>
      </c>
      <c r="K22" s="16">
        <f>$E39</f>
        <v>82.403925000000001</v>
      </c>
      <c r="L22" s="16">
        <f>$E40</f>
        <v>127.42875000000001</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-177.50842499999999</v>
      </c>
      <c r="D23" s="16">
        <f t="shared" ref="D23:V23" si="3">D22-D21</f>
        <v>-177.50842499999999</v>
      </c>
      <c r="E23" s="16">
        <f t="shared" si="3"/>
        <v>-177.50842499999999</v>
      </c>
      <c r="F23" s="16">
        <f t="shared" si="3"/>
        <v>-154.57124999999999</v>
      </c>
      <c r="G23" s="16">
        <f t="shared" si="3"/>
        <v>-115.59607500000003</v>
      </c>
      <c r="H23" s="16">
        <f t="shared" si="3"/>
        <v>-115.59607500000003</v>
      </c>
      <c r="I23" s="16">
        <f t="shared" si="3"/>
        <v>-289.48942499999998</v>
      </c>
      <c r="J23" s="16">
        <f t="shared" si="3"/>
        <v>-115.59607500000003</v>
      </c>
      <c r="K23" s="16">
        <f t="shared" si="3"/>
        <v>-115.59607500000003</v>
      </c>
      <c r="L23" s="16">
        <f t="shared" si="3"/>
        <v>-154.57124999999999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3.28</v>
      </c>
      <c r="C28" s="15">
        <v>0.08</v>
      </c>
      <c r="D28" s="15">
        <v>283</v>
      </c>
      <c r="E28" s="15">
        <v>705</v>
      </c>
      <c r="F28" s="15">
        <v>96.5</v>
      </c>
      <c r="G28" s="15">
        <v>4.8099999999999996</v>
      </c>
      <c r="H28" s="15">
        <v>1.01</v>
      </c>
      <c r="I28" s="15">
        <v>0.5</v>
      </c>
      <c r="J28" s="15">
        <v>0.01</v>
      </c>
      <c r="K28" s="23">
        <v>0.05</v>
      </c>
      <c r="L28" s="15">
        <v>0.23</v>
      </c>
      <c r="M28" s="15">
        <v>0.2</v>
      </c>
      <c r="N28" s="15"/>
      <c r="O28" s="15"/>
      <c r="P28" s="15">
        <v>15.9</v>
      </c>
      <c r="Q28" s="15">
        <v>101</v>
      </c>
      <c r="R28" s="15"/>
      <c r="S28" s="15"/>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123</v>
      </c>
      <c r="C31" s="77">
        <f>IF(C$27="%w/w SAR",((C$28*10)*$B31),IF(C$27="%w/w DM",(((C$28*10)*($B$28/100))*$B31),IF(C$27="kg/t SAR",(C$28*$B31),IF(C$27="kg/t DM",((C$28*($B$28/100))*$B31),IF(C$27="mg/kg SAR",((C$28*0.001)*$B31),IF(C$27="mg/kg DM",(((C$28*0.001)*($B$28/100))*$B31),0))))))</f>
        <v>98.4</v>
      </c>
      <c r="D31" s="77">
        <f>(IF(D$27="%w/w SAR",((D$28*10)*$B31),IF(D$27="%w/w DM",(((D$28*10)*($B$28/100))*$B31),IF(D$27="kg/t SAR",(D$28*$B31),IF(D$27="kg/t DM",((D$28*($B$28/100))*$B31),IF(D$27="mg/kg SAR",((D$28*0.001)*$B31),IF(D$27="mg/kg DM",(((D$28*0.001)*($B$28/100))*$B31),"0")))))))*2.291</f>
        <v>79.747419000000008</v>
      </c>
      <c r="E31" s="77">
        <f>(IF(E$27="%w/w SAR",((E$28*10)*$B31),IF(E$27="%w/w DM",(((E$28*10)*($B$28/100))*$B31),IF(E$27="kg/t SAR",(E$28*$B31),IF(E$27="kg/t DM",((E$28*($B$28/100))*$B31),IF(E$27="mg/kg SAR",((E$28*0.001)*$B31),IF(E$27="mg/kg DM",(((E$28*0.001)*($B$28/100))*$B31),"0")))))))*1.205</f>
        <v>104.491575</v>
      </c>
      <c r="F31" s="77">
        <f>(IF(F$27="%w/w SAR",((F$28*10)*$B31),IF(F$27="%w/w DM",(((F$28*10)*($B$28/100))*$B31),IF(F$27="kg/t SAR",(F$28*$B31),IF(F$27="kg/t DM",((F$28*($B$28/100))*$B31),IF(F$27="mg/kg SAR",((F$28*0.001)*$B31),IF(F$27="mg/kg DM",(((F$28*0.001)*($B$28/100))*$B31),"0")))))))*1.658</f>
        <v>19.679631000000001</v>
      </c>
      <c r="G31" s="77">
        <f t="shared" ref="G31:P46" si="5">IF(G$27="%w/w SAR",((G$28*10)*$B31),IF(G$27="%w/w DM",(((G$28*10)*($B$28/100))*$B31),IF(G$27="kg/t SAR",(G$28*$B31),IF(G$27="kg/t DM",((G$28*($B$28/100))*$B31),IF(G$27="mg/kg SAR",((G$28*0.001)*$B31),IF(G$27="mg/kg DM",(((G$28*0.001)*($B$28/100))*$B31),0))))))</f>
        <v>0.59162999999999999</v>
      </c>
      <c r="H31" s="77">
        <f t="shared" si="5"/>
        <v>0.12423000000000001</v>
      </c>
      <c r="I31" s="77">
        <f t="shared" si="5"/>
        <v>6.1499999999999999E-2</v>
      </c>
      <c r="J31" s="77">
        <f t="shared" si="5"/>
        <v>1.2300000000000002E-3</v>
      </c>
      <c r="K31" s="77">
        <f t="shared" si="5"/>
        <v>6.1500000000000001E-3</v>
      </c>
      <c r="L31" s="77">
        <f t="shared" si="5"/>
        <v>2.8289999999999999E-2</v>
      </c>
      <c r="M31" s="77">
        <f t="shared" si="5"/>
        <v>2.46E-2</v>
      </c>
      <c r="N31" s="77">
        <f t="shared" si="5"/>
        <v>0</v>
      </c>
      <c r="O31" s="77">
        <f t="shared" si="5"/>
        <v>0</v>
      </c>
      <c r="P31" s="77">
        <f t="shared" si="5"/>
        <v>1.9557000000000002</v>
      </c>
      <c r="Q31" s="77">
        <f>(IF(Q$27="%w/w SAR",((Q$28*10)*$B31),IF(Q$27="%w/w DM",(((Q$28*10)*($B$28/100))*$B31),IF(Q$27="kg/t SAR",(Q$28*$B31),IF(Q$27="kg/t DM",((Q$28*($B$28/100))*$B31),IF(Q$27="mg/kg SAR",((Q$28*0.001)*$B31),IF(Q$27="mg/kg DM",(((Q$28*0.001)*($B$28/100))*$B31),0)))))))*2.5</f>
        <v>31.057500000000001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123</v>
      </c>
      <c r="C32" s="77">
        <f t="shared" ref="C32:C50" si="6">IF(C$27="%w/w SAR",((C$28*10)*$B32),IF(C$27="%w/w DM",(((C$28*10)*($B$28/100))*$B32),IF(C$27="kg/t SAR",(C$28*$B32),IF(C$27="kg/t DM",((C$28*($B$28/100))*$B32),IF(C$27="mg/kg SAR",((C$28*0.001)*$B32),IF(C$27="mg/kg DM",(((C$28*0.001)*($B$28/100))*$B32),0))))))</f>
        <v>98.4</v>
      </c>
      <c r="D32" s="77">
        <f t="shared" ref="D32:D50" si="7">(IF(D$27="%w/w SAR",((D$28*10)*$B32),IF(D$27="%w/w DM",(((D$28*10)*($B$28/100))*$B32),IF(D$27="kg/t SAR",(D$28*$B32),IF(D$27="kg/t DM",((D$28*($B$28/100))*$B32),IF(D$27="mg/kg SAR",((D$28*0.001)*$B32),IF(D$27="mg/kg DM",(((D$28*0.001)*($B$28/100))*$B32),"0")))))))*2.291</f>
        <v>79.747419000000008</v>
      </c>
      <c r="E32" s="77">
        <f t="shared" ref="E32:E50" si="8">(IF(E$27="%w/w SAR",((E$28*10)*$B32),IF(E$27="%w/w DM",(((E$28*10)*($B$28/100))*$B32),IF(E$27="kg/t SAR",(E$28*$B32),IF(E$27="kg/t DM",((E$28*($B$28/100))*$B32),IF(E$27="mg/kg SAR",((E$28*0.001)*$B32),IF(E$27="mg/kg DM",(((E$28*0.001)*($B$28/100))*$B32),"0")))))))*1.205</f>
        <v>104.491575</v>
      </c>
      <c r="F32" s="77">
        <f t="shared" ref="F32:F50" si="9">(IF(F$27="%w/w SAR",((F$28*10)*$B32),IF(F$27="%w/w DM",(((F$28*10)*($B$28/100))*$B32),IF(F$27="kg/t SAR",(F$28*$B32),IF(F$27="kg/t DM",((F$28*($B$28/100))*$B32),IF(F$27="mg/kg SAR",((F$28*0.001)*$B32),IF(F$27="mg/kg DM",(((F$28*0.001)*($B$28/100))*$B32),"0")))))))*1.658</f>
        <v>19.679631000000001</v>
      </c>
      <c r="G32" s="77">
        <f t="shared" si="5"/>
        <v>0.59162999999999999</v>
      </c>
      <c r="H32" s="77">
        <f t="shared" si="5"/>
        <v>0.12423000000000001</v>
      </c>
      <c r="I32" s="77">
        <f t="shared" si="5"/>
        <v>6.1499999999999999E-2</v>
      </c>
      <c r="J32" s="77">
        <f t="shared" si="5"/>
        <v>1.2300000000000002E-3</v>
      </c>
      <c r="K32" s="77">
        <f t="shared" si="5"/>
        <v>6.1500000000000001E-3</v>
      </c>
      <c r="L32" s="77">
        <f t="shared" si="5"/>
        <v>2.8289999999999999E-2</v>
      </c>
      <c r="M32" s="77">
        <f t="shared" si="5"/>
        <v>2.46E-2</v>
      </c>
      <c r="N32" s="77">
        <f t="shared" si="5"/>
        <v>0</v>
      </c>
      <c r="O32" s="77">
        <f t="shared" si="5"/>
        <v>0</v>
      </c>
      <c r="P32" s="77">
        <f t="shared" si="5"/>
        <v>1.9557000000000002</v>
      </c>
      <c r="Q32" s="77">
        <f t="shared" ref="Q32:Q50" si="10">(IF(Q$27="%w/w SAR",((Q$28*10)*$B32),IF(Q$27="%w/w DM",(((Q$28*10)*($B$28/100))*$B32),IF(Q$27="kg/t SAR",(Q$28*$B32),IF(Q$27="kg/t DM",((Q$28*($B$28/100))*$B32),IF(Q$27="mg/kg SAR",((Q$28*0.001)*$B32),IF(Q$27="mg/kg DM",(((Q$28*0.001)*($B$28/100))*$B32),0)))))))*2.5</f>
        <v>31.057500000000001</v>
      </c>
      <c r="R32" s="77">
        <f t="shared" ref="R32:T50" si="11">IF(R$27="%w/w SAR",((R$28*10)*$B32),IF(R$27="%w/w DM",(((R$28*10)*($B$28/100))*$B32),IF(R$27="kg/t SAR",(R$28*$B32),IF(R$27="kg/t DM",((R$28*($B$28/100))*$B32),IF(R$27="mg/kg SAR",((R$28*0.001)*$B32),IF(R$27="mg/kg DM",(((R$28*0.001)*($B$28/100))*$B32),0))))))</f>
        <v>0</v>
      </c>
      <c r="S32" s="77">
        <f>IF(S$27="%w/w SAR",((S$28*10)*$B32),IF(S$27="%w/w DM",(((S$28*10)*($B$28/100))*$B32),IF(S$27="kg/t SAR",(S$28*$B32),IF(S$27="kg/t DM",((S$28*($B$28/100))*$B32),IF(S$27="mg/kg SAR",((S$28*0.001)*$B32),IF(S$27="mg/kg DM",(((S$28*0.001)*($B$28/100))*$B32),0))))))</f>
        <v>0</v>
      </c>
      <c r="T32" s="77">
        <f t="shared" si="11"/>
        <v>0</v>
      </c>
      <c r="U32" s="77">
        <f>IF(U$27="%w/w SAR",((U$28*10)*$B32),IF(U$27="%w/w DM",(((U$28*10)*($B$28/100))*$B32),IF(U$27="kg/t SAR",(U$28*$B32),IF(U$27="kg/t DM",((U$28*($B$28/100))*$B32),IF(U$27="mg/kg SAR",((U$28*0.001)*$B32),IF(U$27="mg/kg DM",(((U$28*0.001)*($B$28/100))*$B32),0))))))</f>
        <v>0</v>
      </c>
      <c r="AB32" s="59"/>
      <c r="AC32" s="59"/>
      <c r="AD32" s="59"/>
      <c r="AE32" s="59"/>
      <c r="AF32" s="59"/>
      <c r="AG32" s="59"/>
      <c r="AH32" s="59"/>
      <c r="AI32" s="59"/>
    </row>
    <row r="33" spans="1:35" s="72" customFormat="1" x14ac:dyDescent="0.3">
      <c r="A33" s="13" t="str">
        <f>E8</f>
        <v xml:space="preserve">  2056
</v>
      </c>
      <c r="B33" s="15">
        <v>123</v>
      </c>
      <c r="C33" s="77">
        <f t="shared" si="6"/>
        <v>98.4</v>
      </c>
      <c r="D33" s="77">
        <f t="shared" si="7"/>
        <v>79.747419000000008</v>
      </c>
      <c r="E33" s="77">
        <f t="shared" si="8"/>
        <v>104.491575</v>
      </c>
      <c r="F33" s="77">
        <f t="shared" si="9"/>
        <v>19.679631000000001</v>
      </c>
      <c r="G33" s="77">
        <f t="shared" si="5"/>
        <v>0.59162999999999999</v>
      </c>
      <c r="H33" s="77">
        <f t="shared" si="5"/>
        <v>0.12423000000000001</v>
      </c>
      <c r="I33" s="77">
        <f t="shared" si="5"/>
        <v>6.1499999999999999E-2</v>
      </c>
      <c r="J33" s="77">
        <f t="shared" si="5"/>
        <v>1.2300000000000002E-3</v>
      </c>
      <c r="K33" s="77">
        <f t="shared" si="5"/>
        <v>6.1500000000000001E-3</v>
      </c>
      <c r="L33" s="77">
        <f t="shared" si="5"/>
        <v>2.8289999999999999E-2</v>
      </c>
      <c r="M33" s="77">
        <f t="shared" si="5"/>
        <v>2.46E-2</v>
      </c>
      <c r="N33" s="77">
        <f t="shared" si="5"/>
        <v>0</v>
      </c>
      <c r="O33" s="77">
        <f t="shared" si="5"/>
        <v>0</v>
      </c>
      <c r="P33" s="77">
        <f t="shared" si="5"/>
        <v>1.9557000000000002</v>
      </c>
      <c r="Q33" s="77">
        <f t="shared" si="10"/>
        <v>31.057500000000001</v>
      </c>
      <c r="R33" s="77">
        <f t="shared" si="11"/>
        <v>0</v>
      </c>
      <c r="S33" s="77">
        <f>IF(S$27="%w/w SAR",((S$28*10)*$B33),IF(S$27="%w/w DM",(((S$28*10)*($B$28/100))*$B33),IF(S$27="kg/t SAR",(S$28*$B33),IF(S$27="kg/t DM",((S$28*($B$28/100))*$B33),IF(S$27="mg/kg SAR",((S$28*0.001)*$B33),IF(S$27="mg/kg DM",(((S$28*0.001)*($B$28/100))*$B33),0))))))</f>
        <v>0</v>
      </c>
      <c r="T33" s="77">
        <f t="shared" si="11"/>
        <v>0</v>
      </c>
      <c r="U33" s="77">
        <f>IF(U$27="%w/w SAR",((U$28*10)*$B33),IF(U$27="%w/w DM",(((U$28*10)*($B$28/100))*$B33),IF(U$27="kg/t SAR",(U$28*$B33),IF(U$27="kg/t DM",((U$28*($B$28/100))*$B33),IF(U$27="mg/kg SAR",((U$28*0.001)*$B33),IF(U$27="mg/kg DM",(((U$28*0.001)*($B$28/100))*$B33),0))))))</f>
        <v>0</v>
      </c>
      <c r="AB33" s="59"/>
      <c r="AC33" s="59"/>
      <c r="AD33" s="59"/>
      <c r="AE33" s="59"/>
      <c r="AF33" s="59"/>
      <c r="AG33" s="59"/>
      <c r="AH33" s="59"/>
      <c r="AI33" s="59"/>
    </row>
    <row r="34" spans="1:35" s="72" customFormat="1" x14ac:dyDescent="0.3">
      <c r="A34" s="13" t="str">
        <f>F8</f>
        <v xml:space="preserve">0834
</v>
      </c>
      <c r="B34" s="15">
        <v>150</v>
      </c>
      <c r="C34" s="77">
        <f t="shared" si="6"/>
        <v>120</v>
      </c>
      <c r="D34" s="77">
        <f t="shared" si="7"/>
        <v>97.252949999999998</v>
      </c>
      <c r="E34" s="77">
        <f t="shared" si="8"/>
        <v>127.42875000000001</v>
      </c>
      <c r="F34" s="77">
        <f t="shared" si="9"/>
        <v>23.999549999999999</v>
      </c>
      <c r="G34" s="77">
        <f t="shared" si="5"/>
        <v>0.72150000000000003</v>
      </c>
      <c r="H34" s="77">
        <f t="shared" si="5"/>
        <v>0.1515</v>
      </c>
      <c r="I34" s="77">
        <f t="shared" si="5"/>
        <v>7.4999999999999997E-2</v>
      </c>
      <c r="J34" s="77">
        <f t="shared" si="5"/>
        <v>1.5E-3</v>
      </c>
      <c r="K34" s="77">
        <f t="shared" si="5"/>
        <v>7.5000000000000006E-3</v>
      </c>
      <c r="L34" s="77">
        <f t="shared" si="5"/>
        <v>3.4500000000000003E-2</v>
      </c>
      <c r="M34" s="77">
        <f t="shared" si="5"/>
        <v>3.0000000000000002E-2</v>
      </c>
      <c r="N34" s="77">
        <f t="shared" si="5"/>
        <v>0</v>
      </c>
      <c r="O34" s="77">
        <f t="shared" si="5"/>
        <v>0</v>
      </c>
      <c r="P34" s="77">
        <f t="shared" si="5"/>
        <v>2.3850000000000002</v>
      </c>
      <c r="Q34" s="77">
        <f t="shared" si="10"/>
        <v>37.875</v>
      </c>
      <c r="R34" s="77">
        <f t="shared" si="11"/>
        <v>0</v>
      </c>
      <c r="S34" s="77">
        <f>IF(S$27="%w/w SAR",((S$28*10)*$B34),IF(S$27="%w/w DM",(((S$28*10)*($B$28/100))*$B34),IF(S$27="kg/t SAR",(S$28*$B34),IF(S$27="kg/t DM",((S$28*($B$28/100))*$B34),IF(S$27="mg/kg SAR",((S$28*0.001)*$B34),IF(S$27="mg/kg DM",(((S$28*0.001)*($B$28/100))*$B34),0))))))</f>
        <v>0</v>
      </c>
      <c r="T34" s="77">
        <f t="shared" si="11"/>
        <v>0</v>
      </c>
      <c r="U34" s="77">
        <f>IF(U$27="%w/w SAR",((U$28*10)*$B34),IF(U$27="%w/w DM",(((U$28*10)*($B$28/100))*$B34),IF(U$27="kg/t SAR",(U$28*$B34),IF(U$27="kg/t DM",((U$28*($B$28/100))*$B34),IF(U$27="mg/kg SAR",((U$28*0.001)*$B34),IF(U$27="mg/kg DM",(((U$28*0.001)*($B$28/100))*$B34),0))))))</f>
        <v>0</v>
      </c>
      <c r="AB34" s="59"/>
      <c r="AC34" s="59"/>
      <c r="AD34" s="59"/>
      <c r="AE34" s="59"/>
      <c r="AF34" s="59"/>
      <c r="AG34" s="59"/>
      <c r="AH34" s="59"/>
      <c r="AI34" s="59"/>
    </row>
    <row r="35" spans="1:35" s="72" customFormat="1" x14ac:dyDescent="0.3">
      <c r="A35" s="13" t="str">
        <f>G8</f>
        <v xml:space="preserve">5928
</v>
      </c>
      <c r="B35" s="15">
        <v>97</v>
      </c>
      <c r="C35" s="77">
        <f t="shared" si="6"/>
        <v>77.600000000000009</v>
      </c>
      <c r="D35" s="77">
        <f t="shared" si="7"/>
        <v>62.89024100000001</v>
      </c>
      <c r="E35" s="77">
        <f t="shared" si="8"/>
        <v>82.403925000000001</v>
      </c>
      <c r="F35" s="77">
        <f t="shared" si="9"/>
        <v>15.519708999999999</v>
      </c>
      <c r="G35" s="77">
        <f t="shared" si="5"/>
        <v>0.46656999999999998</v>
      </c>
      <c r="H35" s="77">
        <f t="shared" si="5"/>
        <v>9.7970000000000002E-2</v>
      </c>
      <c r="I35" s="77">
        <f t="shared" si="5"/>
        <v>4.8500000000000001E-2</v>
      </c>
      <c r="J35" s="77">
        <f t="shared" si="5"/>
        <v>9.7000000000000005E-4</v>
      </c>
      <c r="K35" s="77">
        <f t="shared" si="5"/>
        <v>4.8500000000000001E-3</v>
      </c>
      <c r="L35" s="77">
        <f t="shared" si="5"/>
        <v>2.231E-2</v>
      </c>
      <c r="M35" s="77">
        <f t="shared" si="5"/>
        <v>1.9400000000000001E-2</v>
      </c>
      <c r="N35" s="77">
        <f t="shared" si="5"/>
        <v>0</v>
      </c>
      <c r="O35" s="77">
        <f t="shared" si="5"/>
        <v>0</v>
      </c>
      <c r="P35" s="77">
        <f t="shared" si="5"/>
        <v>1.5423</v>
      </c>
      <c r="Q35" s="77">
        <f t="shared" si="10"/>
        <v>24.4925</v>
      </c>
      <c r="R35" s="77">
        <f t="shared" si="11"/>
        <v>0</v>
      </c>
      <c r="S35" s="77">
        <f>IF(S$27="%w/w SAR",((S$28*10)*$B35),IF(S$27="%w/w DM",(((S$28*10)*($B$28/100))*$B35),IF(S$27="kg/t SAR",(S$28*$B35),IF(S$27="kg/t DM",((S$28*($B$28/100))*$B35),IF(S$27="mg/kg SAR",((S$28*0.001)*$B35),IF(S$27="mg/kg DM",(((S$28*0.001)*($B$28/100))*$B35),0))))))</f>
        <v>0</v>
      </c>
      <c r="T35" s="77">
        <f t="shared" si="11"/>
        <v>0</v>
      </c>
      <c r="U35" s="77">
        <f>IF(U$27="%w/w SAR",((U$28*10)*$B35),IF(U$27="%w/w DM",(((U$28*10)*($B$28/100))*$B35),IF(U$27="kg/t SAR",(U$28*$B35),IF(U$27="kg/t DM",((U$28*($B$28/100))*$B35),IF(U$27="mg/kg SAR",((U$28*0.001)*$B35),IF(U$27="mg/kg DM",(((U$28*0.001)*($B$28/100))*$B35),0))))))</f>
        <v>0</v>
      </c>
      <c r="AB35" s="59"/>
      <c r="AC35" s="59"/>
      <c r="AD35" s="59"/>
      <c r="AE35" s="59"/>
      <c r="AF35" s="59"/>
      <c r="AG35" s="59"/>
      <c r="AH35" s="59"/>
      <c r="AI35" s="59"/>
    </row>
    <row r="36" spans="1:35" s="72" customFormat="1" x14ac:dyDescent="0.3">
      <c r="A36" s="13" t="str">
        <f>H8</f>
        <v xml:space="preserve"> 3370
</v>
      </c>
      <c r="B36" s="15">
        <v>97</v>
      </c>
      <c r="C36" s="77">
        <f t="shared" si="6"/>
        <v>77.600000000000009</v>
      </c>
      <c r="D36" s="77">
        <f t="shared" si="7"/>
        <v>62.89024100000001</v>
      </c>
      <c r="E36" s="77">
        <f t="shared" si="8"/>
        <v>82.403925000000001</v>
      </c>
      <c r="F36" s="77">
        <f t="shared" si="9"/>
        <v>15.519708999999999</v>
      </c>
      <c r="G36" s="77">
        <f t="shared" si="5"/>
        <v>0.46656999999999998</v>
      </c>
      <c r="H36" s="77">
        <f t="shared" si="5"/>
        <v>9.7970000000000002E-2</v>
      </c>
      <c r="I36" s="77">
        <f t="shared" si="5"/>
        <v>4.8500000000000001E-2</v>
      </c>
      <c r="J36" s="77">
        <f t="shared" si="5"/>
        <v>9.7000000000000005E-4</v>
      </c>
      <c r="K36" s="77">
        <f t="shared" si="5"/>
        <v>4.8500000000000001E-3</v>
      </c>
      <c r="L36" s="77">
        <f t="shared" si="5"/>
        <v>2.231E-2</v>
      </c>
      <c r="M36" s="77">
        <f t="shared" si="5"/>
        <v>1.9400000000000001E-2</v>
      </c>
      <c r="N36" s="77">
        <f t="shared" si="5"/>
        <v>0</v>
      </c>
      <c r="O36" s="77">
        <f t="shared" si="5"/>
        <v>0</v>
      </c>
      <c r="P36" s="77">
        <f t="shared" si="5"/>
        <v>1.5423</v>
      </c>
      <c r="Q36" s="77">
        <f t="shared" si="10"/>
        <v>24.4925</v>
      </c>
      <c r="R36" s="77">
        <f t="shared" si="11"/>
        <v>0</v>
      </c>
      <c r="S36" s="77">
        <f>IF(S$27="%w/w SAR",((S$28*10)*$B36),IF(S$27="%w/w DM",(((S$28*10)*($B$28/100))*$B36),IF(S$27="kg/t SAR",(S$28*$B36),IF(S$27="kg/t DM",((S$28*($B$28/100))*$B36),IF(S$27="mg/kg SAR",((S$28*0.001)*$B36),IF(S$27="mg/kg DM",(((S$28*0.001)*($B$28/100))*$B36),0))))))</f>
        <v>0</v>
      </c>
      <c r="T36" s="77">
        <f t="shared" si="11"/>
        <v>0</v>
      </c>
      <c r="U36" s="77">
        <f>IF(U$27="%w/w SAR",((U$28*10)*$B36),IF(U$27="%w/w DM",(((U$28*10)*($B$28/100))*$B36),IF(U$27="kg/t SAR",(U$28*$B36),IF(U$27="kg/t DM",((U$28*($B$28/100))*$B36),IF(U$27="mg/kg SAR",((U$28*0.001)*$B36),IF(U$27="mg/kg DM",(((U$28*0.001)*($B$28/100))*$B36),0))))))</f>
        <v>0</v>
      </c>
      <c r="AB36" s="59"/>
      <c r="AC36" s="59"/>
      <c r="AD36" s="59"/>
      <c r="AE36" s="59"/>
      <c r="AF36" s="59"/>
      <c r="AG36" s="59"/>
      <c r="AH36" s="59"/>
      <c r="AI36" s="59"/>
    </row>
    <row r="37" spans="1:35" s="72" customFormat="1" x14ac:dyDescent="0.3">
      <c r="A37" s="13" t="str">
        <f>I8</f>
        <v xml:space="preserve"> Dun 2
 </v>
      </c>
      <c r="B37" s="15">
        <v>83</v>
      </c>
      <c r="C37" s="77">
        <f t="shared" si="6"/>
        <v>66.400000000000006</v>
      </c>
      <c r="D37" s="77">
        <f t="shared" si="7"/>
        <v>53.813299000000001</v>
      </c>
      <c r="E37" s="77">
        <f t="shared" si="8"/>
        <v>70.510575000000003</v>
      </c>
      <c r="F37" s="77">
        <f t="shared" si="9"/>
        <v>13.279751000000001</v>
      </c>
      <c r="G37" s="77">
        <f t="shared" si="5"/>
        <v>0.39923000000000003</v>
      </c>
      <c r="H37" s="77">
        <f t="shared" si="5"/>
        <v>8.3830000000000002E-2</v>
      </c>
      <c r="I37" s="77">
        <f t="shared" si="5"/>
        <v>4.1500000000000002E-2</v>
      </c>
      <c r="J37" s="77">
        <f t="shared" si="5"/>
        <v>8.3000000000000012E-4</v>
      </c>
      <c r="K37" s="77">
        <f t="shared" si="5"/>
        <v>4.15E-3</v>
      </c>
      <c r="L37" s="77">
        <f t="shared" si="5"/>
        <v>1.9089999999999999E-2</v>
      </c>
      <c r="M37" s="77">
        <f t="shared" si="5"/>
        <v>1.66E-2</v>
      </c>
      <c r="N37" s="77">
        <f t="shared" si="5"/>
        <v>0</v>
      </c>
      <c r="O37" s="77">
        <f t="shared" si="5"/>
        <v>0</v>
      </c>
      <c r="P37" s="77">
        <f t="shared" si="5"/>
        <v>1.3197000000000001</v>
      </c>
      <c r="Q37" s="77">
        <f t="shared" si="10"/>
        <v>20.957500000000003</v>
      </c>
      <c r="R37" s="77">
        <f t="shared" si="11"/>
        <v>0</v>
      </c>
      <c r="S37" s="77">
        <f>IF(S$27="%w/w SAR",((S$28*10)*$B37),IF(S$27="%w/w DM",(((S$28*10)*($B$28/100))*$B37),IF(S$27="kg/t SAR",(S$28*$B37),IF(S$27="kg/t DM",((S$28*($B$28/100))*$B37),IF(S$27="mg/kg SAR",((S$28*0.001)*$B37),IF(S$27="mg/kg DM",(((S$28*0.001)*($B$28/100))*$B37),0))))))</f>
        <v>0</v>
      </c>
      <c r="T37" s="77">
        <f t="shared" si="11"/>
        <v>0</v>
      </c>
      <c r="U37" s="77">
        <f>IF(U$27="%w/w SAR",((U$28*10)*$B37),IF(U$27="%w/w DM",(((U$28*10)*($B$28/100))*$B37),IF(U$27="kg/t SAR",(U$28*$B37),IF(U$27="kg/t DM",((U$28*($B$28/100))*$B37),IF(U$27="mg/kg SAR",((U$28*0.001)*$B37),IF(U$27="mg/kg DM",(((U$28*0.001)*($B$28/100))*$B37),0))))))</f>
        <v>0</v>
      </c>
      <c r="AB37" s="59"/>
      <c r="AC37" s="59"/>
      <c r="AD37" s="59"/>
      <c r="AE37" s="59"/>
      <c r="AF37" s="59"/>
      <c r="AG37" s="59"/>
      <c r="AH37" s="59"/>
      <c r="AI37" s="59"/>
    </row>
    <row r="38" spans="1:35" s="72" customFormat="1" x14ac:dyDescent="0.3">
      <c r="A38" s="13" t="str">
        <f>J8</f>
        <v xml:space="preserve">9155
</v>
      </c>
      <c r="B38" s="15">
        <v>97</v>
      </c>
      <c r="C38" s="77">
        <f t="shared" si="6"/>
        <v>77.600000000000009</v>
      </c>
      <c r="D38" s="77">
        <f t="shared" si="7"/>
        <v>62.89024100000001</v>
      </c>
      <c r="E38" s="77">
        <f t="shared" si="8"/>
        <v>82.403925000000001</v>
      </c>
      <c r="F38" s="77">
        <f t="shared" si="9"/>
        <v>15.519708999999999</v>
      </c>
      <c r="G38" s="77">
        <f t="shared" si="5"/>
        <v>0.46656999999999998</v>
      </c>
      <c r="H38" s="77">
        <f t="shared" si="5"/>
        <v>9.7970000000000002E-2</v>
      </c>
      <c r="I38" s="77">
        <f t="shared" si="5"/>
        <v>4.8500000000000001E-2</v>
      </c>
      <c r="J38" s="77">
        <f t="shared" si="5"/>
        <v>9.7000000000000005E-4</v>
      </c>
      <c r="K38" s="77">
        <f t="shared" si="5"/>
        <v>4.8500000000000001E-3</v>
      </c>
      <c r="L38" s="77">
        <f t="shared" si="5"/>
        <v>2.231E-2</v>
      </c>
      <c r="M38" s="77">
        <f t="shared" si="5"/>
        <v>1.9400000000000001E-2</v>
      </c>
      <c r="N38" s="77">
        <f t="shared" si="5"/>
        <v>0</v>
      </c>
      <c r="O38" s="77">
        <f t="shared" si="5"/>
        <v>0</v>
      </c>
      <c r="P38" s="77">
        <f t="shared" si="5"/>
        <v>1.5423</v>
      </c>
      <c r="Q38" s="77">
        <f t="shared" si="10"/>
        <v>24.4925</v>
      </c>
      <c r="R38" s="77">
        <f t="shared" si="11"/>
        <v>0</v>
      </c>
      <c r="S38" s="77">
        <f>IF(S$27="%w/w SAR",((S$28*10)*$B38),IF(S$27="%w/w DM",(((S$28*10)*($B$28/100))*$B38),IF(S$27="kg/t SAR",(S$28*$B38),IF(S$27="kg/t DM",((S$28*($B$28/100))*$B38),IF(S$27="mg/kg SAR",((S$28*0.001)*$B38),IF(S$27="mg/kg DM",(((S$28*0.001)*($B$28/100))*$B38),0))))))</f>
        <v>0</v>
      </c>
      <c r="T38" s="77">
        <f t="shared" si="11"/>
        <v>0</v>
      </c>
      <c r="U38" s="77">
        <f>IF(U$27="%w/w SAR",((U$28*10)*$B38),IF(U$27="%w/w DM",(((U$28*10)*($B$28/100))*$B38),IF(U$27="kg/t SAR",(U$28*$B38),IF(U$27="kg/t DM",((U$28*($B$28/100))*$B38),IF(U$27="mg/kg SAR",((U$28*0.001)*$B38),IF(U$27="mg/kg DM",(((U$28*0.001)*($B$28/100))*$B38),0))))))</f>
        <v>0</v>
      </c>
      <c r="AB38" s="59"/>
      <c r="AC38" s="59"/>
      <c r="AD38" s="59"/>
      <c r="AE38" s="59"/>
      <c r="AF38" s="59"/>
      <c r="AG38" s="59"/>
      <c r="AH38" s="59"/>
      <c r="AI38" s="59"/>
    </row>
    <row r="39" spans="1:35" s="72" customFormat="1" x14ac:dyDescent="0.3">
      <c r="A39" s="13" t="str">
        <f>K8</f>
        <v xml:space="preserve"> 2062
</v>
      </c>
      <c r="B39" s="15">
        <v>97</v>
      </c>
      <c r="C39" s="77">
        <f t="shared" si="6"/>
        <v>77.600000000000009</v>
      </c>
      <c r="D39" s="77">
        <f t="shared" si="7"/>
        <v>62.89024100000001</v>
      </c>
      <c r="E39" s="77">
        <f t="shared" si="8"/>
        <v>82.403925000000001</v>
      </c>
      <c r="F39" s="77">
        <f t="shared" si="9"/>
        <v>15.519708999999999</v>
      </c>
      <c r="G39" s="77">
        <f t="shared" si="5"/>
        <v>0.46656999999999998</v>
      </c>
      <c r="H39" s="77">
        <f t="shared" si="5"/>
        <v>9.7970000000000002E-2</v>
      </c>
      <c r="I39" s="77">
        <f t="shared" si="5"/>
        <v>4.8500000000000001E-2</v>
      </c>
      <c r="J39" s="77">
        <f t="shared" si="5"/>
        <v>9.7000000000000005E-4</v>
      </c>
      <c r="K39" s="77">
        <f t="shared" si="5"/>
        <v>4.8500000000000001E-3</v>
      </c>
      <c r="L39" s="77">
        <f t="shared" si="5"/>
        <v>2.231E-2</v>
      </c>
      <c r="M39" s="77">
        <f t="shared" si="5"/>
        <v>1.9400000000000001E-2</v>
      </c>
      <c r="N39" s="77">
        <f t="shared" si="5"/>
        <v>0</v>
      </c>
      <c r="O39" s="77">
        <f t="shared" si="5"/>
        <v>0</v>
      </c>
      <c r="P39" s="77">
        <f t="shared" si="5"/>
        <v>1.5423</v>
      </c>
      <c r="Q39" s="77">
        <f t="shared" si="10"/>
        <v>24.4925</v>
      </c>
      <c r="R39" s="77">
        <f t="shared" si="11"/>
        <v>0</v>
      </c>
      <c r="S39" s="77">
        <f>IF(S$27="%w/w SAR",((S$28*10)*$B39),IF(S$27="%w/w DM",(((S$28*10)*($B$28/100))*$B39),IF(S$27="kg/t SAR",(S$28*$B39),IF(S$27="kg/t DM",((S$28*($B$28/100))*$B39),IF(S$27="mg/kg SAR",((S$28*0.001)*$B39),IF(S$27="mg/kg DM",(((S$28*0.001)*($B$28/100))*$B39),0))))))</f>
        <v>0</v>
      </c>
      <c r="T39" s="77">
        <f t="shared" si="11"/>
        <v>0</v>
      </c>
      <c r="U39" s="77">
        <f>IF(U$27="%w/w SAR",((U$28*10)*$B39),IF(U$27="%w/w DM",(((U$28*10)*($B$28/100))*$B39),IF(U$27="kg/t SAR",(U$28*$B39),IF(U$27="kg/t DM",((U$28*($B$28/100))*$B39),IF(U$27="mg/kg SAR",((U$28*0.001)*$B39),IF(U$27="mg/kg DM",(((U$28*0.001)*($B$28/100))*$B39),0))))))</f>
        <v>0</v>
      </c>
      <c r="AB39" s="59"/>
      <c r="AC39" s="59"/>
      <c r="AD39" s="59"/>
      <c r="AE39" s="59"/>
      <c r="AF39" s="59"/>
      <c r="AG39" s="59"/>
      <c r="AH39" s="59"/>
      <c r="AI39" s="59"/>
    </row>
    <row r="40" spans="1:35" s="72" customFormat="1" x14ac:dyDescent="0.3">
      <c r="A40" s="13">
        <f>L8</f>
        <v>3234</v>
      </c>
      <c r="B40" s="15">
        <v>150</v>
      </c>
      <c r="C40" s="77">
        <f t="shared" si="6"/>
        <v>120</v>
      </c>
      <c r="D40" s="77">
        <f t="shared" si="7"/>
        <v>97.252949999999998</v>
      </c>
      <c r="E40" s="77">
        <f t="shared" si="8"/>
        <v>127.42875000000001</v>
      </c>
      <c r="F40" s="77">
        <f t="shared" si="9"/>
        <v>23.999549999999999</v>
      </c>
      <c r="G40" s="77">
        <f t="shared" si="5"/>
        <v>0.72150000000000003</v>
      </c>
      <c r="H40" s="77">
        <f t="shared" si="5"/>
        <v>0.1515</v>
      </c>
      <c r="I40" s="77">
        <f t="shared" si="5"/>
        <v>7.4999999999999997E-2</v>
      </c>
      <c r="J40" s="77">
        <f t="shared" si="5"/>
        <v>1.5E-3</v>
      </c>
      <c r="K40" s="77">
        <f t="shared" si="5"/>
        <v>7.5000000000000006E-3</v>
      </c>
      <c r="L40" s="77">
        <f t="shared" si="5"/>
        <v>3.4500000000000003E-2</v>
      </c>
      <c r="M40" s="77">
        <f t="shared" si="5"/>
        <v>3.0000000000000002E-2</v>
      </c>
      <c r="N40" s="77">
        <f t="shared" si="5"/>
        <v>0</v>
      </c>
      <c r="O40" s="77">
        <f t="shared" si="5"/>
        <v>0</v>
      </c>
      <c r="P40" s="77">
        <f t="shared" si="5"/>
        <v>2.3850000000000002</v>
      </c>
      <c r="Q40" s="77">
        <f t="shared" si="10"/>
        <v>37.875</v>
      </c>
      <c r="R40" s="77">
        <f t="shared" si="11"/>
        <v>0</v>
      </c>
      <c r="S40" s="77">
        <f>IF(S$27="%w/w SAR",((S$28*10)*$B40),IF(S$27="%w/w DM",(((S$28*10)*($B$28/100))*$B40),IF(S$27="kg/t SAR",(S$28*$B40),IF(S$27="kg/t DM",((S$28*($B$28/100))*$B40),IF(S$27="mg/kg SAR",((S$28*0.001)*$B40),IF(S$27="mg/kg DM",(((S$28*0.001)*($B$28/100))*$B40),0))))))</f>
        <v>0</v>
      </c>
      <c r="T40" s="77">
        <f t="shared" si="11"/>
        <v>0</v>
      </c>
      <c r="U40" s="77">
        <f>IF(U$27="%w/w SAR",((U$28*10)*$B40),IF(U$27="%w/w DM",(((U$28*10)*($B$28/100))*$B40),IF(U$27="kg/t SAR",(U$28*$B40),IF(U$27="kg/t DM",((U$28*($B$28/100))*$B40),IF(U$27="mg/kg SAR",((U$28*0.001)*$B40),IF(U$27="mg/kg DM",(((U$28*0.001)*($B$28/100))*$B40),0))))))</f>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IF(S$27="%w/w SAR",((S$28*10)*$B41),IF(S$27="%w/w DM",(((S$28*10)*($B$28/100))*$B41),IF(S$27="kg/t SAR",(S$28*$B41),IF(S$27="kg/t DM",((S$28*($B$28/100))*$B41),IF(S$27="mg/kg SAR",((S$28*0.001)*$B41),IF(S$27="mg/kg DM",(((S$28*0.001)*($B$28/100))*$B41),0))))))</f>
        <v>0</v>
      </c>
      <c r="T41" s="77">
        <f t="shared" si="11"/>
        <v>0</v>
      </c>
      <c r="U41" s="77">
        <f>IF(U$27="%w/w SAR",((U$28*10)*$B41),IF(U$27="%w/w DM",(((U$28*10)*($B$28/100))*$B41),IF(U$27="kg/t SAR",(U$28*$B41),IF(U$27="kg/t DM",((U$28*($B$28/100))*$B41),IF(U$27="mg/kg SAR",((U$28*0.001)*$B41),IF(U$27="mg/kg DM",(((U$28*0.001)*($B$28/100))*$B41),0))))))</f>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IF(S$27="%w/w SAR",((S$28*10)*$B42),IF(S$27="%w/w DM",(((S$28*10)*($B$28/100))*$B42),IF(S$27="kg/t SAR",(S$28*$B42),IF(S$27="kg/t DM",((S$28*($B$28/100))*$B42),IF(S$27="mg/kg SAR",((S$28*0.001)*$B42),IF(S$27="mg/kg DM",(((S$28*0.001)*($B$28/100))*$B42),0))))))</f>
        <v>0</v>
      </c>
      <c r="T42" s="77">
        <f t="shared" si="11"/>
        <v>0</v>
      </c>
      <c r="U42" s="77">
        <f>IF(U$27="%w/w SAR",((U$28*10)*$B42),IF(U$27="%w/w DM",(((U$28*10)*($B$28/100))*$B42),IF(U$27="kg/t SAR",(U$28*$B42),IF(U$27="kg/t DM",((U$28*($B$28/100))*$B42),IF(U$27="mg/kg SAR",((U$28*0.001)*$B42),IF(U$27="mg/kg DM",(((U$28*0.001)*($B$28/100))*$B42),0))))))</f>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IF(S$27="%w/w SAR",((S$28*10)*$B43),IF(S$27="%w/w DM",(((S$28*10)*($B$28/100))*$B43),IF(S$27="kg/t SAR",(S$28*$B43),IF(S$27="kg/t DM",((S$28*($B$28/100))*$B43),IF(S$27="mg/kg SAR",((S$28*0.001)*$B43),IF(S$27="mg/kg DM",(((S$28*0.001)*($B$28/100))*$B43),0))))))</f>
        <v>0</v>
      </c>
      <c r="T43" s="77">
        <f t="shared" si="11"/>
        <v>0</v>
      </c>
      <c r="U43" s="77">
        <f>IF(U$27="%w/w SAR",((U$28*10)*$B43),IF(U$27="%w/w DM",(((U$28*10)*($B$28/100))*$B43),IF(U$27="kg/t SAR",(U$28*$B43),IF(U$27="kg/t DM",((U$28*($B$28/100))*$B43),IF(U$27="mg/kg SAR",((U$28*0.001)*$B43),IF(U$27="mg/kg DM",(((U$28*0.001)*($B$28/100))*$B43),0))))))</f>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IF(S$27="%w/w SAR",((S$28*10)*$B44),IF(S$27="%w/w DM",(((S$28*10)*($B$28/100))*$B44),IF(S$27="kg/t SAR",(S$28*$B44),IF(S$27="kg/t DM",((S$28*($B$28/100))*$B44),IF(S$27="mg/kg SAR",((S$28*0.001)*$B44),IF(S$27="mg/kg DM",(((S$28*0.001)*($B$28/100))*$B44),0))))))</f>
        <v>0</v>
      </c>
      <c r="T44" s="77">
        <f t="shared" si="11"/>
        <v>0</v>
      </c>
      <c r="U44" s="77">
        <f>IF(U$27="%w/w SAR",((U$28*10)*$B44),IF(U$27="%w/w DM",(((U$28*10)*($B$28/100))*$B44),IF(U$27="kg/t SAR",(U$28*$B44),IF(U$27="kg/t DM",((U$28*($B$28/100))*$B44),IF(U$27="mg/kg SAR",((U$28*0.001)*$B44),IF(U$27="mg/kg DM",(((U$28*0.001)*($B$28/100))*$B44),0))))))</f>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IF(S$27="%w/w SAR",((S$28*10)*$B45),IF(S$27="%w/w DM",(((S$28*10)*($B$28/100))*$B45),IF(S$27="kg/t SAR",(S$28*$B45),IF(S$27="kg/t DM",((S$28*($B$28/100))*$B45),IF(S$27="mg/kg SAR",((S$28*0.001)*$B45),IF(S$27="mg/kg DM",(((S$28*0.001)*($B$28/100))*$B45),0))))))</f>
        <v>0</v>
      </c>
      <c r="T45" s="77">
        <f t="shared" si="11"/>
        <v>0</v>
      </c>
      <c r="U45" s="77">
        <f>IF(U$27="%w/w SAR",((U$28*10)*$B45),IF(U$27="%w/w DM",(((U$28*10)*($B$28/100))*$B45),IF(U$27="kg/t SAR",(U$28*$B45),IF(U$27="kg/t DM",((U$28*($B$28/100))*$B45),IF(U$27="mg/kg SAR",((U$28*0.001)*$B45),IF(U$27="mg/kg DM",(((U$28*0.001)*($B$28/100))*$B45),0))))))</f>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IF(S$27="%w/w SAR",((S$28*10)*$B46),IF(S$27="%w/w DM",(((S$28*10)*($B$28/100))*$B46),IF(S$27="kg/t SAR",(S$28*$B46),IF(S$27="kg/t DM",((S$28*($B$28/100))*$B46),IF(S$27="mg/kg SAR",((S$28*0.001)*$B46),IF(S$27="mg/kg DM",(((S$28*0.001)*($B$28/100))*$B46),0))))))</f>
        <v>0</v>
      </c>
      <c r="T46" s="77">
        <f t="shared" si="11"/>
        <v>0</v>
      </c>
      <c r="U46" s="77">
        <f>IF(U$27="%w/w SAR",((U$28*10)*$B46),IF(U$27="%w/w DM",(((U$28*10)*($B$28/100))*$B46),IF(U$27="kg/t SAR",(U$28*$B46),IF(U$27="kg/t DM",((U$28*($B$28/100))*$B46),IF(U$27="mg/kg SAR",((U$28*0.001)*$B46),IF(U$27="mg/kg DM",(((U$28*0.001)*($B$28/100))*$B46),0))))))</f>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IF(S$27="%w/w SAR",((S$28*10)*$B47),IF(S$27="%w/w DM",(((S$28*10)*($B$28/100))*$B47),IF(S$27="kg/t SAR",(S$28*$B47),IF(S$27="kg/t DM",((S$28*($B$28/100))*$B47),IF(S$27="mg/kg SAR",((S$28*0.001)*$B47),IF(S$27="mg/kg DM",(((S$28*0.001)*($B$28/100))*$B47),0))))))</f>
        <v>0</v>
      </c>
      <c r="T47" s="77">
        <f t="shared" si="11"/>
        <v>0</v>
      </c>
      <c r="U47" s="77">
        <f>IF(U$27="%w/w SAR",((U$28*10)*$B47),IF(U$27="%w/w DM",(((U$28*10)*($B$28/100))*$B47),IF(U$27="kg/t SAR",(U$28*$B47),IF(U$27="kg/t DM",((U$28*($B$28/100))*$B47),IF(U$27="mg/kg SAR",((U$28*0.001)*$B47),IF(U$27="mg/kg DM",(((U$28*0.001)*($B$28/100))*$B47),0))))))</f>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IF(S$27="%w/w SAR",((S$28*10)*$B48),IF(S$27="%w/w DM",(((S$28*10)*($B$28/100))*$B48),IF(S$27="kg/t SAR",(S$28*$B48),IF(S$27="kg/t DM",((S$28*($B$28/100))*$B48),IF(S$27="mg/kg SAR",((S$28*0.001)*$B48),IF(S$27="mg/kg DM",(((S$28*0.001)*($B$28/100))*$B48),0))))))</f>
        <v>0</v>
      </c>
      <c r="T48" s="77">
        <f t="shared" si="11"/>
        <v>0</v>
      </c>
      <c r="U48" s="77">
        <f>IF(U$27="%w/w SAR",((U$28*10)*$B48),IF(U$27="%w/w DM",(((U$28*10)*($B$28/100))*$B48),IF(U$27="kg/t SAR",(U$28*$B48),IF(U$27="kg/t DM",((U$28*($B$28/100))*$B48),IF(U$27="mg/kg SAR",((U$28*0.001)*$B48),IF(U$27="mg/kg DM",(((U$28*0.001)*($B$28/100))*$B48),0))))))</f>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IF(S$27="%w/w SAR",((S$28*10)*$B49),IF(S$27="%w/w DM",(((S$28*10)*($B$28/100))*$B49),IF(S$27="kg/t SAR",(S$28*$B49),IF(S$27="kg/t DM",((S$28*($B$28/100))*$B49),IF(S$27="mg/kg SAR",((S$28*0.001)*$B49),IF(S$27="mg/kg DM",(((S$28*0.001)*($B$28/100))*$B49),0))))))</f>
        <v>0</v>
      </c>
      <c r="T49" s="77">
        <f t="shared" si="11"/>
        <v>0</v>
      </c>
      <c r="U49" s="77">
        <f>IF(U$27="%w/w SAR",((U$28*10)*$B49),IF(U$27="%w/w DM",(((U$28*10)*($B$28/100))*$B49),IF(U$27="kg/t SAR",(U$28*$B49),IF(U$27="kg/t DM",((U$28*($B$28/100))*$B49),IF(U$27="mg/kg SAR",((U$28*0.001)*$B49),IF(U$27="mg/kg DM",(((U$28*0.001)*($B$28/100))*$B49),0))))))</f>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IF(S$27="%w/w SAR",((S$28*10)*$B50),IF(S$27="%w/w DM",(((S$28*10)*($B$28/100))*$B50),IF(S$27="kg/t SAR",(S$28*$B50),IF(S$27="kg/t DM",((S$28*($B$28/100))*$B50),IF(S$27="mg/kg SAR",((S$28*0.001)*$B50),IF(S$27="mg/kg DM",(((S$28*0.001)*($B$28/100))*$B50),0))))))</f>
        <v>0</v>
      </c>
      <c r="T50" s="98">
        <f t="shared" si="11"/>
        <v>0</v>
      </c>
      <c r="U50" s="98">
        <f>IF(U$27="%w/w SAR",((U$28*10)*$B50),IF(U$27="%w/w DM",(((U$28*10)*($B$28/100))*$B50),IF(U$27="kg/t SAR",(U$28*$B50),IF(U$27="kg/t DM",((U$28*($B$28/100))*$B50),IF(U$27="mg/kg SAR",((U$28*0.001)*$B50),IF(U$27="mg/kg DM",(((U$28*0.001)*($B$28/100))*$B50),0))))))</f>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Arable</v>
      </c>
      <c r="H58" s="13" t="str">
        <f>I16&amp;" I "&amp;(VLOOKUP(I14,Table245811[],6,FALSE))</f>
        <v>Medium/Clay I Arable</v>
      </c>
      <c r="I58" s="13" t="str">
        <f>J16&amp;" I "&amp;(VLOOKUP(J14,Table245811[],6,FALSE))</f>
        <v>Medium/Clay I Arable</v>
      </c>
      <c r="J58" s="13" t="str">
        <f>K16&amp;" I "&amp;(VLOOKUP(K14,Table245811[],6,FALSE))</f>
        <v>Medium/Clay I Arable</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6.7</v>
      </c>
      <c r="G59" s="76">
        <f>VLOOKUP(H$14,Table245811[],5,FALSE)</f>
        <v>6.7</v>
      </c>
      <c r="H59" s="76">
        <f>VLOOKUP(I$14,Table245811[],5,FALSE)</f>
        <v>6.7</v>
      </c>
      <c r="I59" s="76">
        <f>VLOOKUP(J$14,Table245811[],5,FALSE)</f>
        <v>6.7</v>
      </c>
      <c r="J59" s="76">
        <f>VLOOKUP(K$14,Table245811[],5,FALSE)</f>
        <v>6.7</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123</v>
      </c>
      <c r="C62" s="77">
        <f>B32</f>
        <v>123</v>
      </c>
      <c r="D62" s="77">
        <f>B33</f>
        <v>123</v>
      </c>
      <c r="E62" s="77">
        <f>B34</f>
        <v>150</v>
      </c>
      <c r="F62" s="77">
        <f>B35</f>
        <v>97</v>
      </c>
      <c r="G62" s="77">
        <f>B36</f>
        <v>97</v>
      </c>
      <c r="H62" s="77">
        <f>B37</f>
        <v>83</v>
      </c>
      <c r="I62" s="77">
        <f>B38</f>
        <v>97</v>
      </c>
      <c r="J62" s="77">
        <f>B39</f>
        <v>97</v>
      </c>
      <c r="K62" s="77">
        <f>B40</f>
        <v>150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47" priority="37" operator="equal">
      <formula>"DECREASE"</formula>
    </cfRule>
    <cfRule type="cellIs" dxfId="246" priority="38" operator="equal">
      <formula>"INCREASE"</formula>
    </cfRule>
  </conditionalFormatting>
  <conditionalFormatting sqref="B31:B50 B62:U66">
    <cfRule type="cellIs" dxfId="245" priority="36" operator="greaterThan">
      <formula>$B$51</formula>
    </cfRule>
  </conditionalFormatting>
  <conditionalFormatting sqref="C31:C50">
    <cfRule type="cellIs" dxfId="244" priority="35" operator="greaterThan">
      <formula>$C$51</formula>
    </cfRule>
  </conditionalFormatting>
  <conditionalFormatting sqref="C18:V18">
    <cfRule type="cellIs" dxfId="243" priority="34" operator="equal">
      <formula>0</formula>
    </cfRule>
  </conditionalFormatting>
  <conditionalFormatting sqref="C17:V17">
    <cfRule type="cellIs" dxfId="242" priority="33" operator="equal">
      <formula>0</formula>
    </cfRule>
  </conditionalFormatting>
  <conditionalFormatting sqref="C19:V19">
    <cfRule type="cellIs" dxfId="241" priority="32" operator="equal">
      <formula>0</formula>
    </cfRule>
  </conditionalFormatting>
  <conditionalFormatting sqref="G31:G50">
    <cfRule type="cellIs" dxfId="240" priority="31" operator="greaterThan">
      <formula>$G$51</formula>
    </cfRule>
  </conditionalFormatting>
  <conditionalFormatting sqref="H31:H50">
    <cfRule type="cellIs" dxfId="239" priority="30" operator="greaterThan">
      <formula>$H$51</formula>
    </cfRule>
  </conditionalFormatting>
  <conditionalFormatting sqref="I31:I50">
    <cfRule type="cellIs" dxfId="238" priority="29" operator="greaterThan">
      <formula>$I$51</formula>
    </cfRule>
  </conditionalFormatting>
  <conditionalFormatting sqref="K31:K50">
    <cfRule type="cellIs" dxfId="237" priority="28" operator="greaterThan">
      <formula>$K$51</formula>
    </cfRule>
  </conditionalFormatting>
  <conditionalFormatting sqref="L31:L50">
    <cfRule type="cellIs" dxfId="236" priority="27" operator="greaterThan">
      <formula>$L$51</formula>
    </cfRule>
  </conditionalFormatting>
  <conditionalFormatting sqref="M31:M50">
    <cfRule type="cellIs" dxfId="235" priority="26" operator="greaterThan">
      <formula>$M$51</formula>
    </cfRule>
  </conditionalFormatting>
  <conditionalFormatting sqref="P31:P50">
    <cfRule type="cellIs" dxfId="234" priority="25" operator="greaterThan">
      <formula>$P$51</formula>
    </cfRule>
  </conditionalFormatting>
  <conditionalFormatting sqref="R31:R50">
    <cfRule type="cellIs" dxfId="233" priority="24" operator="greaterThan">
      <formula>$R$51</formula>
    </cfRule>
  </conditionalFormatting>
  <conditionalFormatting sqref="S31:S50">
    <cfRule type="cellIs" dxfId="232" priority="23" operator="greaterThan">
      <formula>$S$51</formula>
    </cfRule>
  </conditionalFormatting>
  <conditionalFormatting sqref="T31:T50">
    <cfRule type="cellIs" dxfId="231" priority="22" operator="greaterThan">
      <formula>$T$51</formula>
    </cfRule>
  </conditionalFormatting>
  <conditionalFormatting sqref="U31:U50">
    <cfRule type="cellIs" dxfId="230" priority="21" operator="greaterThan">
      <formula>$U$51</formula>
    </cfRule>
  </conditionalFormatting>
  <conditionalFormatting sqref="C22:V22">
    <cfRule type="cellIs" dxfId="229" priority="20" operator="equal">
      <formula>0</formula>
    </cfRule>
  </conditionalFormatting>
  <conditionalFormatting sqref="C24:V24">
    <cfRule type="cellIs" dxfId="228" priority="18" operator="equal">
      <formula>"DECREASE"</formula>
    </cfRule>
    <cfRule type="cellIs" dxfId="227" priority="19" operator="equal">
      <formula>"INCREASE"</formula>
    </cfRule>
  </conditionalFormatting>
  <conditionalFormatting sqref="C23:V23">
    <cfRule type="cellIs" dxfId="226" priority="17" operator="equal">
      <formula>0</formula>
    </cfRule>
  </conditionalFormatting>
  <conditionalFormatting sqref="C21:V21">
    <cfRule type="cellIs" dxfId="225" priority="13" operator="equal">
      <formula>0</formula>
    </cfRule>
  </conditionalFormatting>
  <conditionalFormatting sqref="B66:U66">
    <cfRule type="cellIs" dxfId="224" priority="11" operator="equal">
      <formula>"UNDER"</formula>
    </cfRule>
    <cfRule type="cellIs" dxfId="223" priority="12" operator="equal">
      <formula>"OVER"</formula>
    </cfRule>
  </conditionalFormatting>
  <conditionalFormatting sqref="J31:J50">
    <cfRule type="cellIs" dxfId="222" priority="8" operator="greaterThan">
      <formula>$J$51</formula>
    </cfRule>
  </conditionalFormatting>
  <conditionalFormatting sqref="L3">
    <cfRule type="cellIs" dxfId="221" priority="4" operator="lessThan">
      <formula>30</formula>
    </cfRule>
    <cfRule type="cellIs" dxfId="220" priority="5" operator="greaterThanOrEqual">
      <formula>30</formula>
    </cfRule>
  </conditionalFormatting>
  <conditionalFormatting sqref="I1">
    <cfRule type="cellIs" dxfId="219" priority="3" operator="between">
      <formula>0.1</formula>
      <formula>5</formula>
    </cfRule>
  </conditionalFormatting>
  <conditionalFormatting sqref="I2">
    <cfRule type="cellIs" dxfId="218" priority="2" operator="greaterThan">
      <formula>5000.1</formula>
    </cfRule>
  </conditionalFormatting>
  <conditionalFormatting sqref="I3">
    <cfRule type="cellIs" dxfId="217"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49" sqref="E49"/>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6.3</v>
      </c>
      <c r="J1" s="119" t="s">
        <v>153</v>
      </c>
      <c r="K1" s="119"/>
      <c r="L1" s="97">
        <v>364</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0.96099999999999997</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3.787721123829344</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4.2818789999999991</v>
      </c>
      <c r="D18" s="16">
        <f>$D32</f>
        <v>4.2818789999999991</v>
      </c>
      <c r="E18" s="16">
        <f>$D33</f>
        <v>4.2818789999999991</v>
      </c>
      <c r="F18" s="16">
        <f>$D34</f>
        <v>4.2818789999999991</v>
      </c>
      <c r="G18" s="16">
        <f>$D35</f>
        <v>2.5691273999999997</v>
      </c>
      <c r="H18" s="16">
        <f>$D36</f>
        <v>2.5691273999999997</v>
      </c>
      <c r="I18" s="16">
        <f>$D37</f>
        <v>2.5691273999999997</v>
      </c>
      <c r="J18" s="16">
        <f>$D38</f>
        <v>0</v>
      </c>
      <c r="K18" s="16">
        <f>$D39</f>
        <v>2.5691273999999997</v>
      </c>
      <c r="L18" s="16">
        <f>$D40</f>
        <v>4.2818789999999991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-75.618120999999988</v>
      </c>
      <c r="D19" s="16">
        <f t="shared" ref="D19:V19" si="1">D18-D17</f>
        <v>-75.618120999999988</v>
      </c>
      <c r="E19" s="16">
        <f t="shared" si="1"/>
        <v>-75.618120999999988</v>
      </c>
      <c r="F19" s="16">
        <f t="shared" si="1"/>
        <v>-75.618120999999988</v>
      </c>
      <c r="G19" s="16">
        <f t="shared" si="1"/>
        <v>-60.430872599999994</v>
      </c>
      <c r="H19" s="16">
        <f t="shared" si="1"/>
        <v>-60.430872599999994</v>
      </c>
      <c r="I19" s="16">
        <f t="shared" si="1"/>
        <v>-252.43087259999999</v>
      </c>
      <c r="J19" s="16">
        <f t="shared" si="1"/>
        <v>-62.999999999999993</v>
      </c>
      <c r="K19" s="16">
        <f t="shared" si="1"/>
        <v>-60.430872599999994</v>
      </c>
      <c r="L19" s="16">
        <f t="shared" si="1"/>
        <v>-75.618120999999988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0.44030699999999995</v>
      </c>
      <c r="D22" s="16">
        <f>$E32</f>
        <v>0.44030699999999995</v>
      </c>
      <c r="E22" s="16">
        <f>$E33</f>
        <v>0.44030699999999995</v>
      </c>
      <c r="F22" s="16">
        <f>$E34</f>
        <v>0.44030699999999995</v>
      </c>
      <c r="G22" s="16">
        <f>$E35</f>
        <v>0.26418419999999998</v>
      </c>
      <c r="H22" s="16">
        <f>$E36</f>
        <v>0.26418419999999998</v>
      </c>
      <c r="I22" s="16">
        <f>$E37</f>
        <v>0.26418419999999998</v>
      </c>
      <c r="J22" s="16">
        <f>$E38</f>
        <v>0</v>
      </c>
      <c r="K22" s="16">
        <f>$E39</f>
        <v>0.26418419999999998</v>
      </c>
      <c r="L22" s="16">
        <f>$E40</f>
        <v>0.44030699999999995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-281.55969299999998</v>
      </c>
      <c r="D23" s="16">
        <f t="shared" ref="D23:V23" si="3">D22-D21</f>
        <v>-281.55969299999998</v>
      </c>
      <c r="E23" s="16">
        <f t="shared" si="3"/>
        <v>-281.55969299999998</v>
      </c>
      <c r="F23" s="16">
        <f t="shared" si="3"/>
        <v>-281.55969299999998</v>
      </c>
      <c r="G23" s="16">
        <f t="shared" si="3"/>
        <v>-197.73581580000004</v>
      </c>
      <c r="H23" s="16">
        <f t="shared" si="3"/>
        <v>-197.73581580000004</v>
      </c>
      <c r="I23" s="16">
        <f t="shared" si="3"/>
        <v>-359.73581580000001</v>
      </c>
      <c r="J23" s="16">
        <f t="shared" si="3"/>
        <v>-198.00000000000003</v>
      </c>
      <c r="K23" s="16">
        <f t="shared" si="3"/>
        <v>-197.73581580000004</v>
      </c>
      <c r="L23" s="16">
        <f t="shared" si="3"/>
        <v>-281.55969299999998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250</v>
      </c>
      <c r="C31" s="77">
        <f>IF(C$27="%w/w SAR",((C$28*10)*$B31),IF(C$27="%w/w DM",(((C$28*10)*($B$28/100))*$B31),IF(C$27="kg/t SAR",(C$28*$B31),IF(C$27="kg/t DM",((C$28*($B$28/100))*$B31),IF(C$27="mg/kg SAR",((C$28*0.001)*$B31),IF(C$27="mg/kg DM",(((C$28*0.001)*($B$28/100))*$B31),0))))))</f>
        <v>40.361999999999995</v>
      </c>
      <c r="D31" s="77">
        <f>(IF(D$27="%w/w SAR",((D$28*10)*$B31),IF(D$27="%w/w DM",(((D$28*10)*($B$28/100))*$B31),IF(D$27="kg/t SAR",(D$28*$B31),IF(D$27="kg/t DM",((D$28*($B$28/100))*$B31),IF(D$27="mg/kg SAR",((D$28*0.001)*$B31),IF(D$27="mg/kg DM",(((D$28*0.001)*($B$28/100))*$B31),"0")))))))*2.291</f>
        <v>4.2818789999999991</v>
      </c>
      <c r="E31" s="77">
        <f>(IF(E$27="%w/w SAR",((E$28*10)*$B31),IF(E$27="%w/w DM",(((E$28*10)*($B$28/100))*$B31),IF(E$27="kg/t SAR",(E$28*$B31),IF(E$27="kg/t DM",((E$28*($B$28/100))*$B31),IF(E$27="mg/kg SAR",((E$28*0.001)*$B31),IF(E$27="mg/kg DM",(((E$28*0.001)*($B$28/100))*$B31),"0")))))))*1.205</f>
        <v>0.44030699999999995</v>
      </c>
      <c r="F31" s="77">
        <f>(IF(F$27="%w/w SAR",((F$28*10)*$B31),IF(F$27="%w/w DM",(((F$28*10)*($B$28/100))*$B31),IF(F$27="kg/t SAR",(F$28*$B31),IF(F$27="kg/t DM",((F$28*($B$28/100))*$B31),IF(F$27="mg/kg SAR",((F$28*0.001)*$B31),IF(F$27="mg/kg DM",(((F$28*0.001)*($B$28/100))*$B31),"0")))))))*1.658</f>
        <v>1.5319919999999998</v>
      </c>
      <c r="G31" s="77">
        <f t="shared" ref="G31:P46" si="5">IF(G$27="%w/w SAR",((G$28*10)*$B31),IF(G$27="%w/w DM",(((G$28*10)*($B$28/100))*$B31),IF(G$27="kg/t SAR",(G$28*$B31),IF(G$27="kg/t DM",((G$28*($B$28/100))*$B31),IF(G$27="mg/kg SAR",((G$28*0.001)*$B31),IF(G$27="mg/kg DM",(((G$28*0.001)*($B$28/100))*$B31),0))))))</f>
        <v>0.18984000000000001</v>
      </c>
      <c r="H31" s="77">
        <f t="shared" si="5"/>
        <v>0.44519999999999998</v>
      </c>
      <c r="I31" s="77">
        <f t="shared" si="5"/>
        <v>3.2214E-2</v>
      </c>
      <c r="J31" s="77">
        <f t="shared" si="5"/>
        <v>2.8140000000000001E-3</v>
      </c>
      <c r="K31" s="77">
        <f t="shared" si="5"/>
        <v>4.9559999999999995E-3</v>
      </c>
      <c r="L31" s="77">
        <f t="shared" si="5"/>
        <v>2.1294000000000004E-2</v>
      </c>
      <c r="M31" s="77">
        <f t="shared" si="5"/>
        <v>1.6841999999999999E-2</v>
      </c>
      <c r="N31" s="77">
        <f t="shared" si="5"/>
        <v>768.59999999999991</v>
      </c>
      <c r="O31" s="77">
        <f t="shared" si="5"/>
        <v>21.084000000000003</v>
      </c>
      <c r="P31" s="77">
        <f t="shared" si="5"/>
        <v>0</v>
      </c>
      <c r="Q31" s="77">
        <f>(IF(Q$27="%w/w SAR",((Q$28*10)*$B31),IF(Q$27="%w/w DM",(((Q$28*10)*($B$28/100))*$B31),IF(Q$27="kg/t SAR",(Q$28*$B31),IF(Q$27="kg/t DM",((Q$28*($B$28/100))*$B31),IF(Q$27="mg/kg SAR",((Q$28*0.001)*$B31),IF(Q$27="mg/kg DM",(((Q$28*0.001)*($B$28/100))*$B31),0)))))))*2.5</f>
        <v>94.39500000000001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0.16968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250</v>
      </c>
      <c r="C32" s="77">
        <f t="shared" ref="C32:C50" si="6">IF(C$27="%w/w SAR",((C$28*10)*$B32),IF(C$27="%w/w DM",(((C$28*10)*($B$28/100))*$B32),IF(C$27="kg/t SAR",(C$28*$B32),IF(C$27="kg/t DM",((C$28*($B$28/100))*$B32),IF(C$27="mg/kg SAR",((C$28*0.001)*$B32),IF(C$27="mg/kg DM",(((C$28*0.001)*($B$28/100))*$B32),0))))))</f>
        <v>40.361999999999995</v>
      </c>
      <c r="D32" s="77">
        <f t="shared" ref="D32:D50" si="7">(IF(D$27="%w/w SAR",((D$28*10)*$B32),IF(D$27="%w/w DM",(((D$28*10)*($B$28/100))*$B32),IF(D$27="kg/t SAR",(D$28*$B32),IF(D$27="kg/t DM",((D$28*($B$28/100))*$B32),IF(D$27="mg/kg SAR",((D$28*0.001)*$B32),IF(D$27="mg/kg DM",(((D$28*0.001)*($B$28/100))*$B32),"0")))))))*2.291</f>
        <v>4.2818789999999991</v>
      </c>
      <c r="E32" s="77">
        <f t="shared" ref="E32:E50" si="8">(IF(E$27="%w/w SAR",((E$28*10)*$B32),IF(E$27="%w/w DM",(((E$28*10)*($B$28/100))*$B32),IF(E$27="kg/t SAR",(E$28*$B32),IF(E$27="kg/t DM",((E$28*($B$28/100))*$B32),IF(E$27="mg/kg SAR",((E$28*0.001)*$B32),IF(E$27="mg/kg DM",(((E$28*0.001)*($B$28/100))*$B32),"0")))))))*1.205</f>
        <v>0.44030699999999995</v>
      </c>
      <c r="F32" s="77">
        <f t="shared" ref="F32:F50" si="9">(IF(F$27="%w/w SAR",((F$28*10)*$B32),IF(F$27="%w/w DM",(((F$28*10)*($B$28/100))*$B32),IF(F$27="kg/t SAR",(F$28*$B32),IF(F$27="kg/t DM",((F$28*($B$28/100))*$B32),IF(F$27="mg/kg SAR",((F$28*0.001)*$B32),IF(F$27="mg/kg DM",(((F$28*0.001)*($B$28/100))*$B32),"0")))))))*1.658</f>
        <v>1.5319919999999998</v>
      </c>
      <c r="G32" s="77">
        <f t="shared" si="5"/>
        <v>0.18984000000000001</v>
      </c>
      <c r="H32" s="77">
        <f t="shared" si="5"/>
        <v>0.44519999999999998</v>
      </c>
      <c r="I32" s="77">
        <f t="shared" si="5"/>
        <v>3.2214E-2</v>
      </c>
      <c r="J32" s="77">
        <f t="shared" si="5"/>
        <v>2.8140000000000001E-3</v>
      </c>
      <c r="K32" s="77">
        <f t="shared" si="5"/>
        <v>4.9559999999999995E-3</v>
      </c>
      <c r="L32" s="77">
        <f t="shared" si="5"/>
        <v>2.1294000000000004E-2</v>
      </c>
      <c r="M32" s="77">
        <f t="shared" si="5"/>
        <v>1.6841999999999999E-2</v>
      </c>
      <c r="N32" s="77">
        <f t="shared" si="5"/>
        <v>768.59999999999991</v>
      </c>
      <c r="O32" s="77">
        <f t="shared" si="5"/>
        <v>21.084000000000003</v>
      </c>
      <c r="P32" s="77">
        <f t="shared" si="5"/>
        <v>0</v>
      </c>
      <c r="Q32" s="77">
        <f t="shared" ref="Q32:Q50" si="10">(IF(Q$27="%w/w SAR",((Q$28*10)*$B32),IF(Q$27="%w/w DM",(((Q$28*10)*($B$28/100))*$B32),IF(Q$27="kg/t SAR",(Q$28*$B32),IF(Q$27="kg/t DM",((Q$28*($B$28/100))*$B32),IF(Q$27="mg/kg SAR",((Q$28*0.001)*$B32),IF(Q$27="mg/kg DM",(((Q$28*0.001)*($B$28/100))*$B32),0)))))))*2.5</f>
        <v>94.39500000000001</v>
      </c>
      <c r="R32" s="77">
        <f t="shared" ref="R32:U50" si="11">IF(R$27="%w/w SAR",((R$28*10)*$B32),IF(R$27="%w/w DM",(((R$28*10)*($B$28/100))*$B32),IF(R$27="kg/t SAR",(R$28*$B32),IF(R$27="kg/t DM",((R$28*($B$28/100))*$B32),IF(R$27="mg/kg SAR",((R$28*0.001)*$B32),IF(R$27="mg/kg DM",(((R$28*0.001)*($B$28/100))*$B32),0))))))</f>
        <v>0</v>
      </c>
      <c r="S32" s="77">
        <f t="shared" si="11"/>
        <v>0.16968</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250</v>
      </c>
      <c r="C33" s="77">
        <f t="shared" si="6"/>
        <v>40.361999999999995</v>
      </c>
      <c r="D33" s="77">
        <f t="shared" si="7"/>
        <v>4.2818789999999991</v>
      </c>
      <c r="E33" s="77">
        <f t="shared" si="8"/>
        <v>0.44030699999999995</v>
      </c>
      <c r="F33" s="77">
        <f t="shared" si="9"/>
        <v>1.5319919999999998</v>
      </c>
      <c r="G33" s="77">
        <f t="shared" si="5"/>
        <v>0.18984000000000001</v>
      </c>
      <c r="H33" s="77">
        <f t="shared" si="5"/>
        <v>0.44519999999999998</v>
      </c>
      <c r="I33" s="77">
        <f t="shared" si="5"/>
        <v>3.2214E-2</v>
      </c>
      <c r="J33" s="77">
        <f t="shared" si="5"/>
        <v>2.8140000000000001E-3</v>
      </c>
      <c r="K33" s="77">
        <f t="shared" si="5"/>
        <v>4.9559999999999995E-3</v>
      </c>
      <c r="L33" s="77">
        <f t="shared" si="5"/>
        <v>2.1294000000000004E-2</v>
      </c>
      <c r="M33" s="77">
        <f t="shared" si="5"/>
        <v>1.6841999999999999E-2</v>
      </c>
      <c r="N33" s="77">
        <f t="shared" si="5"/>
        <v>768.59999999999991</v>
      </c>
      <c r="O33" s="77">
        <f t="shared" si="5"/>
        <v>21.084000000000003</v>
      </c>
      <c r="P33" s="77">
        <f t="shared" si="5"/>
        <v>0</v>
      </c>
      <c r="Q33" s="77">
        <f t="shared" si="10"/>
        <v>94.39500000000001</v>
      </c>
      <c r="R33" s="77">
        <f t="shared" si="11"/>
        <v>0</v>
      </c>
      <c r="S33" s="77">
        <f t="shared" si="11"/>
        <v>0.16968</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250</v>
      </c>
      <c r="C34" s="77">
        <f t="shared" si="6"/>
        <v>40.361999999999995</v>
      </c>
      <c r="D34" s="77">
        <f t="shared" si="7"/>
        <v>4.2818789999999991</v>
      </c>
      <c r="E34" s="77">
        <f t="shared" si="8"/>
        <v>0.44030699999999995</v>
      </c>
      <c r="F34" s="77">
        <f t="shared" si="9"/>
        <v>1.5319919999999998</v>
      </c>
      <c r="G34" s="77">
        <f t="shared" si="5"/>
        <v>0.18984000000000001</v>
      </c>
      <c r="H34" s="77">
        <f t="shared" si="5"/>
        <v>0.44519999999999998</v>
      </c>
      <c r="I34" s="77">
        <f t="shared" si="5"/>
        <v>3.2214E-2</v>
      </c>
      <c r="J34" s="77">
        <f t="shared" si="5"/>
        <v>2.8140000000000001E-3</v>
      </c>
      <c r="K34" s="77">
        <f t="shared" si="5"/>
        <v>4.9559999999999995E-3</v>
      </c>
      <c r="L34" s="77">
        <f t="shared" si="5"/>
        <v>2.1294000000000004E-2</v>
      </c>
      <c r="M34" s="77">
        <f t="shared" si="5"/>
        <v>1.6841999999999999E-2</v>
      </c>
      <c r="N34" s="77">
        <f t="shared" si="5"/>
        <v>768.59999999999991</v>
      </c>
      <c r="O34" s="77">
        <f t="shared" si="5"/>
        <v>21.084000000000003</v>
      </c>
      <c r="P34" s="77">
        <f t="shared" si="5"/>
        <v>0</v>
      </c>
      <c r="Q34" s="77">
        <f t="shared" si="10"/>
        <v>94.39500000000001</v>
      </c>
      <c r="R34" s="77">
        <f t="shared" si="11"/>
        <v>0</v>
      </c>
      <c r="S34" s="77">
        <f t="shared" si="11"/>
        <v>0.16968</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150</v>
      </c>
      <c r="C35" s="77">
        <f t="shared" si="6"/>
        <v>24.217199999999998</v>
      </c>
      <c r="D35" s="77">
        <f t="shared" si="7"/>
        <v>2.5691273999999997</v>
      </c>
      <c r="E35" s="77">
        <f t="shared" si="8"/>
        <v>0.26418419999999998</v>
      </c>
      <c r="F35" s="77">
        <f t="shared" si="9"/>
        <v>0.91919519999999977</v>
      </c>
      <c r="G35" s="77">
        <f t="shared" si="5"/>
        <v>0.11390400000000001</v>
      </c>
      <c r="H35" s="77">
        <f t="shared" si="5"/>
        <v>0.26711999999999997</v>
      </c>
      <c r="I35" s="77">
        <f t="shared" si="5"/>
        <v>1.9328399999999999E-2</v>
      </c>
      <c r="J35" s="77">
        <f t="shared" si="5"/>
        <v>1.6884000000000001E-3</v>
      </c>
      <c r="K35" s="77">
        <f t="shared" si="5"/>
        <v>2.9735999999999999E-3</v>
      </c>
      <c r="L35" s="77">
        <f t="shared" si="5"/>
        <v>1.2776400000000002E-2</v>
      </c>
      <c r="M35" s="77">
        <f t="shared" si="5"/>
        <v>1.01052E-2</v>
      </c>
      <c r="N35" s="77">
        <f t="shared" si="5"/>
        <v>461.15999999999997</v>
      </c>
      <c r="O35" s="77">
        <f t="shared" si="5"/>
        <v>12.650400000000001</v>
      </c>
      <c r="P35" s="77">
        <f t="shared" si="5"/>
        <v>0</v>
      </c>
      <c r="Q35" s="77">
        <f t="shared" si="10"/>
        <v>56.637</v>
      </c>
      <c r="R35" s="77">
        <f t="shared" si="11"/>
        <v>0</v>
      </c>
      <c r="S35" s="77">
        <f t="shared" si="11"/>
        <v>0.101808</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150</v>
      </c>
      <c r="C36" s="77">
        <f t="shared" si="6"/>
        <v>24.217199999999998</v>
      </c>
      <c r="D36" s="77">
        <f t="shared" si="7"/>
        <v>2.5691273999999997</v>
      </c>
      <c r="E36" s="77">
        <f t="shared" si="8"/>
        <v>0.26418419999999998</v>
      </c>
      <c r="F36" s="77">
        <f t="shared" si="9"/>
        <v>0.91919519999999977</v>
      </c>
      <c r="G36" s="77">
        <f t="shared" si="5"/>
        <v>0.11390400000000001</v>
      </c>
      <c r="H36" s="77">
        <f t="shared" si="5"/>
        <v>0.26711999999999997</v>
      </c>
      <c r="I36" s="77">
        <f t="shared" si="5"/>
        <v>1.9328399999999999E-2</v>
      </c>
      <c r="J36" s="77">
        <f t="shared" si="5"/>
        <v>1.6884000000000001E-3</v>
      </c>
      <c r="K36" s="77">
        <f t="shared" si="5"/>
        <v>2.9735999999999999E-3</v>
      </c>
      <c r="L36" s="77">
        <f t="shared" si="5"/>
        <v>1.2776400000000002E-2</v>
      </c>
      <c r="M36" s="77">
        <f t="shared" si="5"/>
        <v>1.01052E-2</v>
      </c>
      <c r="N36" s="77">
        <f t="shared" si="5"/>
        <v>461.15999999999997</v>
      </c>
      <c r="O36" s="77">
        <f t="shared" si="5"/>
        <v>12.650400000000001</v>
      </c>
      <c r="P36" s="77">
        <f t="shared" si="5"/>
        <v>0</v>
      </c>
      <c r="Q36" s="77">
        <f t="shared" si="10"/>
        <v>56.637</v>
      </c>
      <c r="R36" s="77">
        <f t="shared" si="11"/>
        <v>0</v>
      </c>
      <c r="S36" s="77">
        <f t="shared" si="11"/>
        <v>0.101808</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150</v>
      </c>
      <c r="C37" s="77">
        <f t="shared" si="6"/>
        <v>24.217199999999998</v>
      </c>
      <c r="D37" s="77">
        <f t="shared" si="7"/>
        <v>2.5691273999999997</v>
      </c>
      <c r="E37" s="77">
        <f t="shared" si="8"/>
        <v>0.26418419999999998</v>
      </c>
      <c r="F37" s="77">
        <f t="shared" si="9"/>
        <v>0.91919519999999977</v>
      </c>
      <c r="G37" s="77">
        <f t="shared" si="5"/>
        <v>0.11390400000000001</v>
      </c>
      <c r="H37" s="77">
        <f t="shared" si="5"/>
        <v>0.26711999999999997</v>
      </c>
      <c r="I37" s="77">
        <f t="shared" si="5"/>
        <v>1.9328399999999999E-2</v>
      </c>
      <c r="J37" s="77">
        <f t="shared" si="5"/>
        <v>1.6884000000000001E-3</v>
      </c>
      <c r="K37" s="77">
        <f t="shared" si="5"/>
        <v>2.9735999999999999E-3</v>
      </c>
      <c r="L37" s="77">
        <f t="shared" si="5"/>
        <v>1.2776400000000002E-2</v>
      </c>
      <c r="M37" s="77">
        <f t="shared" si="5"/>
        <v>1.01052E-2</v>
      </c>
      <c r="N37" s="77">
        <f t="shared" si="5"/>
        <v>461.15999999999997</v>
      </c>
      <c r="O37" s="77">
        <f t="shared" si="5"/>
        <v>12.650400000000001</v>
      </c>
      <c r="P37" s="77">
        <f t="shared" si="5"/>
        <v>0</v>
      </c>
      <c r="Q37" s="77">
        <f t="shared" si="10"/>
        <v>56.637</v>
      </c>
      <c r="R37" s="77">
        <f t="shared" si="11"/>
        <v>0</v>
      </c>
      <c r="S37" s="77">
        <f t="shared" si="11"/>
        <v>0.101808</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150</v>
      </c>
      <c r="C39" s="77">
        <f t="shared" si="6"/>
        <v>24.217199999999998</v>
      </c>
      <c r="D39" s="77">
        <f t="shared" si="7"/>
        <v>2.5691273999999997</v>
      </c>
      <c r="E39" s="77">
        <f t="shared" si="8"/>
        <v>0.26418419999999998</v>
      </c>
      <c r="F39" s="77">
        <f t="shared" si="9"/>
        <v>0.91919519999999977</v>
      </c>
      <c r="G39" s="77">
        <f t="shared" si="5"/>
        <v>0.11390400000000001</v>
      </c>
      <c r="H39" s="77">
        <f t="shared" si="5"/>
        <v>0.26711999999999997</v>
      </c>
      <c r="I39" s="77">
        <f t="shared" si="5"/>
        <v>1.9328399999999999E-2</v>
      </c>
      <c r="J39" s="77">
        <f t="shared" si="5"/>
        <v>1.6884000000000001E-3</v>
      </c>
      <c r="K39" s="77">
        <f t="shared" si="5"/>
        <v>2.9735999999999999E-3</v>
      </c>
      <c r="L39" s="77">
        <f t="shared" si="5"/>
        <v>1.2776400000000002E-2</v>
      </c>
      <c r="M39" s="77">
        <f t="shared" si="5"/>
        <v>1.01052E-2</v>
      </c>
      <c r="N39" s="77">
        <f t="shared" si="5"/>
        <v>461.15999999999997</v>
      </c>
      <c r="O39" s="77">
        <f t="shared" si="5"/>
        <v>12.650400000000001</v>
      </c>
      <c r="P39" s="77">
        <f t="shared" si="5"/>
        <v>0</v>
      </c>
      <c r="Q39" s="77">
        <f t="shared" si="10"/>
        <v>56.637</v>
      </c>
      <c r="R39" s="77">
        <f t="shared" si="11"/>
        <v>0</v>
      </c>
      <c r="S39" s="77">
        <f t="shared" si="11"/>
        <v>0.101808</v>
      </c>
      <c r="T39" s="77">
        <f t="shared" si="11"/>
        <v>0</v>
      </c>
      <c r="U39" s="77">
        <f t="shared" si="11"/>
        <v>0</v>
      </c>
      <c r="AB39" s="59"/>
      <c r="AC39" s="59"/>
      <c r="AD39" s="59"/>
      <c r="AE39" s="59"/>
      <c r="AF39" s="59"/>
      <c r="AG39" s="59"/>
      <c r="AH39" s="59"/>
      <c r="AI39" s="59"/>
    </row>
    <row r="40" spans="1:35" s="72" customFormat="1" x14ac:dyDescent="0.3">
      <c r="A40" s="13">
        <f>L8</f>
        <v>3234</v>
      </c>
      <c r="B40" s="15">
        <v>250</v>
      </c>
      <c r="C40" s="77">
        <f t="shared" si="6"/>
        <v>40.361999999999995</v>
      </c>
      <c r="D40" s="77">
        <f t="shared" si="7"/>
        <v>4.2818789999999991</v>
      </c>
      <c r="E40" s="77">
        <f t="shared" si="8"/>
        <v>0.44030699999999995</v>
      </c>
      <c r="F40" s="77">
        <f t="shared" si="9"/>
        <v>1.5319919999999998</v>
      </c>
      <c r="G40" s="77">
        <f t="shared" si="5"/>
        <v>0.18984000000000001</v>
      </c>
      <c r="H40" s="77">
        <f t="shared" si="5"/>
        <v>0.44519999999999998</v>
      </c>
      <c r="I40" s="77">
        <f t="shared" si="5"/>
        <v>3.2214E-2</v>
      </c>
      <c r="J40" s="77">
        <f t="shared" si="5"/>
        <v>2.8140000000000001E-3</v>
      </c>
      <c r="K40" s="77">
        <f t="shared" si="5"/>
        <v>4.9559999999999995E-3</v>
      </c>
      <c r="L40" s="77">
        <f t="shared" si="5"/>
        <v>2.1294000000000004E-2</v>
      </c>
      <c r="M40" s="77">
        <f t="shared" si="5"/>
        <v>1.6841999999999999E-2</v>
      </c>
      <c r="N40" s="77">
        <f t="shared" si="5"/>
        <v>768.59999999999991</v>
      </c>
      <c r="O40" s="77">
        <f t="shared" si="5"/>
        <v>21.084000000000003</v>
      </c>
      <c r="P40" s="77">
        <f t="shared" si="5"/>
        <v>0</v>
      </c>
      <c r="Q40" s="77">
        <f t="shared" si="10"/>
        <v>94.39500000000001</v>
      </c>
      <c r="R40" s="77">
        <f t="shared" si="11"/>
        <v>0</v>
      </c>
      <c r="S40" s="77">
        <f t="shared" si="11"/>
        <v>0.16968</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Arable</v>
      </c>
      <c r="H58" s="13" t="str">
        <f>I16&amp;" I "&amp;(VLOOKUP(I14,Table24581112[],6,FALSE))</f>
        <v>Medium/Clay I Arable</v>
      </c>
      <c r="I58" s="13" t="str">
        <f>J16&amp;" I "&amp;(VLOOKUP(J14,Table24581112[],6,FALSE))</f>
        <v>Medium/Clay I Arable</v>
      </c>
      <c r="J58" s="13" t="str">
        <f>K16&amp;" I "&amp;(VLOOKUP(K14,Table24581112[],6,FALSE))</f>
        <v>Medium/Clay I Arable</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6.2</v>
      </c>
      <c r="C59" s="76">
        <f>VLOOKUP(D$14,Table24581112[],5,FALSE)</f>
        <v>6.2</v>
      </c>
      <c r="D59" s="76">
        <f>VLOOKUP(E$14,Table24581112[],5,FALSE)</f>
        <v>6.2</v>
      </c>
      <c r="E59" s="76">
        <f>VLOOKUP(F$14,Table24581112[],5,FALSE)</f>
        <v>6.2</v>
      </c>
      <c r="F59" s="76">
        <f>VLOOKUP(G$14,Table24581112[],5,FALSE)</f>
        <v>6.7</v>
      </c>
      <c r="G59" s="76">
        <f>VLOOKUP(H$14,Table24581112[],5,FALSE)</f>
        <v>6.7</v>
      </c>
      <c r="H59" s="76">
        <f>VLOOKUP(I$14,Table24581112[],5,FALSE)</f>
        <v>6.7</v>
      </c>
      <c r="I59" s="76">
        <f>VLOOKUP(J$14,Table24581112[],5,FALSE)</f>
        <v>6.7</v>
      </c>
      <c r="J59" s="76">
        <f>VLOOKUP(K$14,Table24581112[],5,FALSE)</f>
        <v>6.7</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150</v>
      </c>
      <c r="G62" s="77">
        <f>B36</f>
        <v>150</v>
      </c>
      <c r="H62" s="77">
        <f>B37</f>
        <v>150</v>
      </c>
      <c r="I62" s="77">
        <f>B38</f>
        <v>0</v>
      </c>
      <c r="J62" s="77">
        <f>B39</f>
        <v>150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16" priority="37" operator="equal">
      <formula>"DECREASE"</formula>
    </cfRule>
    <cfRule type="cellIs" dxfId="215" priority="38" operator="equal">
      <formula>"INCREASE"</formula>
    </cfRule>
  </conditionalFormatting>
  <conditionalFormatting sqref="B31:B50 B62:U66">
    <cfRule type="cellIs" dxfId="214" priority="36" operator="greaterThan">
      <formula>$B$51</formula>
    </cfRule>
  </conditionalFormatting>
  <conditionalFormatting sqref="C31:C50">
    <cfRule type="cellIs" dxfId="213" priority="35" operator="greaterThan">
      <formula>$C$51</formula>
    </cfRule>
  </conditionalFormatting>
  <conditionalFormatting sqref="C18:V18">
    <cfRule type="cellIs" dxfId="212" priority="34" operator="equal">
      <formula>0</formula>
    </cfRule>
  </conditionalFormatting>
  <conditionalFormatting sqref="C17:V17">
    <cfRule type="cellIs" dxfId="211" priority="33" operator="equal">
      <formula>0</formula>
    </cfRule>
  </conditionalFormatting>
  <conditionalFormatting sqref="C19:V19">
    <cfRule type="cellIs" dxfId="210" priority="32" operator="equal">
      <formula>0</formula>
    </cfRule>
  </conditionalFormatting>
  <conditionalFormatting sqref="G31:G50">
    <cfRule type="cellIs" dxfId="209" priority="31" operator="greaterThan">
      <formula>$G$51</formula>
    </cfRule>
  </conditionalFormatting>
  <conditionalFormatting sqref="H31:H50">
    <cfRule type="cellIs" dxfId="208" priority="30" operator="greaterThan">
      <formula>$H$51</formula>
    </cfRule>
  </conditionalFormatting>
  <conditionalFormatting sqref="I31:I50">
    <cfRule type="cellIs" dxfId="207" priority="29" operator="greaterThan">
      <formula>$I$51</formula>
    </cfRule>
  </conditionalFormatting>
  <conditionalFormatting sqref="K31:K50">
    <cfRule type="cellIs" dxfId="206" priority="28" operator="greaterThan">
      <formula>$K$51</formula>
    </cfRule>
  </conditionalFormatting>
  <conditionalFormatting sqref="L31:L50">
    <cfRule type="cellIs" dxfId="205" priority="27" operator="greaterThan">
      <formula>$L$51</formula>
    </cfRule>
  </conditionalFormatting>
  <conditionalFormatting sqref="M31:M50">
    <cfRule type="cellIs" dxfId="204" priority="26" operator="greaterThan">
      <formula>$M$51</formula>
    </cfRule>
  </conditionalFormatting>
  <conditionalFormatting sqref="P31:P50">
    <cfRule type="cellIs" dxfId="203" priority="25" operator="greaterThan">
      <formula>$P$51</formula>
    </cfRule>
  </conditionalFormatting>
  <conditionalFormatting sqref="R31:R50">
    <cfRule type="cellIs" dxfId="202" priority="24" operator="greaterThan">
      <formula>$R$51</formula>
    </cfRule>
  </conditionalFormatting>
  <conditionalFormatting sqref="S31:S50">
    <cfRule type="cellIs" dxfId="201" priority="23" operator="greaterThan">
      <formula>$S$51</formula>
    </cfRule>
  </conditionalFormatting>
  <conditionalFormatting sqref="T31:T50">
    <cfRule type="cellIs" dxfId="200" priority="22" operator="greaterThan">
      <formula>$T$51</formula>
    </cfRule>
  </conditionalFormatting>
  <conditionalFormatting sqref="U31:U50">
    <cfRule type="cellIs" dxfId="199" priority="21" operator="greaterThan">
      <formula>$U$51</formula>
    </cfRule>
  </conditionalFormatting>
  <conditionalFormatting sqref="C22:V22">
    <cfRule type="cellIs" dxfId="198" priority="20" operator="equal">
      <formula>0</formula>
    </cfRule>
  </conditionalFormatting>
  <conditionalFormatting sqref="C24:V24">
    <cfRule type="cellIs" dxfId="197" priority="18" operator="equal">
      <formula>"DECREASE"</formula>
    </cfRule>
    <cfRule type="cellIs" dxfId="196" priority="19" operator="equal">
      <formula>"INCREASE"</formula>
    </cfRule>
  </conditionalFormatting>
  <conditionalFormatting sqref="C23:V23">
    <cfRule type="cellIs" dxfId="195" priority="17" operator="equal">
      <formula>0</formula>
    </cfRule>
  </conditionalFormatting>
  <conditionalFormatting sqref="C21:V21">
    <cfRule type="cellIs" dxfId="194" priority="13" operator="equal">
      <formula>0</formula>
    </cfRule>
  </conditionalFormatting>
  <conditionalFormatting sqref="B66:U66">
    <cfRule type="cellIs" dxfId="193" priority="11" operator="equal">
      <formula>"UNDER"</formula>
    </cfRule>
    <cfRule type="cellIs" dxfId="192" priority="12" operator="equal">
      <formula>"OVER"</formula>
    </cfRule>
  </conditionalFormatting>
  <conditionalFormatting sqref="J31:J50">
    <cfRule type="cellIs" dxfId="191" priority="8" operator="greaterThan">
      <formula>$J$51</formula>
    </cfRule>
  </conditionalFormatting>
  <conditionalFormatting sqref="L3">
    <cfRule type="cellIs" dxfId="190" priority="4" operator="lessThan">
      <formula>30</formula>
    </cfRule>
    <cfRule type="cellIs" dxfId="189" priority="5" operator="greaterThanOrEqual">
      <formula>30</formula>
    </cfRule>
  </conditionalFormatting>
  <conditionalFormatting sqref="I1">
    <cfRule type="cellIs" dxfId="188" priority="3" operator="between">
      <formula>0.1</formula>
      <formula>5</formula>
    </cfRule>
  </conditionalFormatting>
  <conditionalFormatting sqref="I2">
    <cfRule type="cellIs" dxfId="187" priority="2" operator="greaterThan">
      <formula>5000.1</formula>
    </cfRule>
  </conditionalFormatting>
  <conditionalFormatting sqref="I3">
    <cfRule type="cellIs" dxfId="186"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H7" zoomScale="90" zoomScaleNormal="90" workbookViewId="0">
      <selection activeCell="O28" sqref="O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42" width="0" style="11" hidden="1" customWidth="1"/>
    <col min="43" max="16384" width="13.21875" style="11"/>
  </cols>
  <sheetData>
    <row r="1" spans="1:41" x14ac:dyDescent="0.25">
      <c r="A1" s="119" t="s">
        <v>41</v>
      </c>
      <c r="B1" s="119"/>
      <c r="C1" s="140" t="str">
        <f>Volac!C1:D1</f>
        <v xml:space="preserve">PAN-025082 </v>
      </c>
      <c r="D1" s="141"/>
      <c r="E1" s="93" t="s">
        <v>45</v>
      </c>
      <c r="F1" s="39">
        <f>Volac!F1</f>
        <v>49.9</v>
      </c>
      <c r="G1" s="120" t="s">
        <v>43</v>
      </c>
      <c r="H1" s="121"/>
      <c r="I1" s="118">
        <v>6.1</v>
      </c>
      <c r="J1" s="119" t="s">
        <v>153</v>
      </c>
      <c r="K1" s="119"/>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0.72799999999999998</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9.9198009000000003</v>
      </c>
      <c r="D18" s="16">
        <f>$D32</f>
        <v>9.9198009000000003</v>
      </c>
      <c r="E18" s="16">
        <f>$D33</f>
        <v>9.9198009000000003</v>
      </c>
      <c r="F18" s="16">
        <f>$D34</f>
        <v>9.9198009000000003</v>
      </c>
      <c r="G18" s="16">
        <f>$D35</f>
        <v>5.9518805400000003</v>
      </c>
      <c r="H18" s="16">
        <f>$D36</f>
        <v>5.9518805400000003</v>
      </c>
      <c r="I18" s="16">
        <f>$D37</f>
        <v>5.9518805400000003</v>
      </c>
      <c r="J18" s="16">
        <f>$D38</f>
        <v>5.9518805400000003</v>
      </c>
      <c r="K18" s="16">
        <f>$D39</f>
        <v>5.9518805400000003</v>
      </c>
      <c r="L18" s="16">
        <f>$D40</f>
        <v>9.9198009000000003</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-69.980199099999993</v>
      </c>
      <c r="D19" s="16">
        <f t="shared" ref="D19:V19" si="1">D18-D17</f>
        <v>-69.980199099999993</v>
      </c>
      <c r="E19" s="16">
        <f t="shared" si="1"/>
        <v>-69.980199099999993</v>
      </c>
      <c r="F19" s="16">
        <f t="shared" si="1"/>
        <v>-69.980199099999993</v>
      </c>
      <c r="G19" s="16">
        <f t="shared" si="1"/>
        <v>-57.048119459999995</v>
      </c>
      <c r="H19" s="16">
        <f t="shared" si="1"/>
        <v>-57.048119459999995</v>
      </c>
      <c r="I19" s="16">
        <f t="shared" si="1"/>
        <v>-249.04811946000001</v>
      </c>
      <c r="J19" s="16">
        <f t="shared" si="1"/>
        <v>-57.048119459999995</v>
      </c>
      <c r="K19" s="16">
        <f t="shared" si="1"/>
        <v>-57.048119459999995</v>
      </c>
      <c r="L19" s="16">
        <f t="shared" si="1"/>
        <v>-69.980199099999993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0.97713450000000013</v>
      </c>
      <c r="D22" s="16">
        <f>$E32</f>
        <v>0.97713450000000013</v>
      </c>
      <c r="E22" s="16">
        <f>$E33</f>
        <v>0.97713450000000013</v>
      </c>
      <c r="F22" s="16">
        <f>$E34</f>
        <v>0.97713450000000013</v>
      </c>
      <c r="G22" s="16">
        <f>$E35</f>
        <v>0.5862807000000001</v>
      </c>
      <c r="H22" s="16">
        <f>$E36</f>
        <v>0.5862807000000001</v>
      </c>
      <c r="I22" s="16">
        <f>$E37</f>
        <v>0.5862807000000001</v>
      </c>
      <c r="J22" s="16">
        <f>$E38</f>
        <v>0.5862807000000001</v>
      </c>
      <c r="K22" s="16">
        <f>$E39</f>
        <v>0.5862807000000001</v>
      </c>
      <c r="L22" s="16">
        <f>$E40</f>
        <v>0.97713450000000013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-281.02286550000002</v>
      </c>
      <c r="D23" s="16">
        <f t="shared" ref="D23:V23" si="3">D22-D21</f>
        <v>-281.02286550000002</v>
      </c>
      <c r="E23" s="16">
        <f t="shared" si="3"/>
        <v>-281.02286550000002</v>
      </c>
      <c r="F23" s="16">
        <f t="shared" si="3"/>
        <v>-281.02286550000002</v>
      </c>
      <c r="G23" s="16">
        <f t="shared" si="3"/>
        <v>-197.41371930000003</v>
      </c>
      <c r="H23" s="16">
        <f t="shared" si="3"/>
        <v>-197.41371930000003</v>
      </c>
      <c r="I23" s="16">
        <f t="shared" si="3"/>
        <v>-359.41371930000003</v>
      </c>
      <c r="J23" s="16">
        <f t="shared" si="3"/>
        <v>-197.41371930000003</v>
      </c>
      <c r="K23" s="16">
        <f t="shared" si="3"/>
        <v>-197.41371930000003</v>
      </c>
      <c r="L23" s="16">
        <f t="shared" si="3"/>
        <v>-281.02286550000002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0.97713450000000013</v>
      </c>
      <c r="F31" s="77">
        <f>(IF(F$27="%w/w SAR",((F$28*10)*$B31),IF(F$27="%w/w DM",(((F$28*10)*($B$28/100))*$B31),IF(F$27="kg/t SAR",(F$28*$B31),IF(F$27="kg/t DM",((F$28*($B$28/100))*$B31),IF(F$27="mg/kg SAR",((F$28*0.001)*$B31),IF(F$27="mg/kg DM",(((F$28*0.001)*($B$28/100))*$B31),"0")))))))*1.658</f>
        <v>5.0312009999999994</v>
      </c>
      <c r="G31" s="77">
        <f t="shared" ref="G31:P46"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0.97713450000000013</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250</v>
      </c>
      <c r="C33" s="77">
        <f t="shared" si="6"/>
        <v>37.128</v>
      </c>
      <c r="D33" s="77">
        <f t="shared" si="7"/>
        <v>9.9198009000000003</v>
      </c>
      <c r="E33" s="77">
        <f t="shared" si="8"/>
        <v>0.97713450000000013</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250</v>
      </c>
      <c r="C34" s="77">
        <f t="shared" si="6"/>
        <v>37.128</v>
      </c>
      <c r="D34" s="77">
        <f t="shared" si="7"/>
        <v>9.9198009000000003</v>
      </c>
      <c r="E34" s="77">
        <f t="shared" si="8"/>
        <v>0.97713450000000013</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150</v>
      </c>
      <c r="C35" s="77">
        <f t="shared" si="6"/>
        <v>22.276800000000001</v>
      </c>
      <c r="D35" s="77">
        <f t="shared" si="7"/>
        <v>5.9518805400000003</v>
      </c>
      <c r="E35" s="77">
        <f t="shared" si="8"/>
        <v>0.5862807000000001</v>
      </c>
      <c r="F35" s="77">
        <f t="shared" si="9"/>
        <v>3.0187206</v>
      </c>
      <c r="G35" s="77">
        <f t="shared" si="5"/>
        <v>8.5986000000000021E-2</v>
      </c>
      <c r="H35" s="77">
        <f t="shared" si="5"/>
        <v>0.39780000000000004</v>
      </c>
      <c r="I35" s="77">
        <f t="shared" si="5"/>
        <v>2.6316000000000003E-2</v>
      </c>
      <c r="J35" s="77">
        <f t="shared" si="5"/>
        <v>1.8665999999999999E-3</v>
      </c>
      <c r="K35" s="77">
        <f t="shared" si="5"/>
        <v>3.0294000000000002E-3</v>
      </c>
      <c r="L35" s="77">
        <f t="shared" si="5"/>
        <v>2.9375999999999999E-2</v>
      </c>
      <c r="M35" s="77">
        <f t="shared" si="5"/>
        <v>4.6206000000000004E-2</v>
      </c>
      <c r="N35" s="77">
        <f t="shared" si="5"/>
        <v>9.333000000000002</v>
      </c>
      <c r="O35" s="77">
        <f t="shared" si="5"/>
        <v>1380.06</v>
      </c>
      <c r="P35" s="77">
        <f t="shared" si="5"/>
        <v>0</v>
      </c>
      <c r="Q35" s="77">
        <f t="shared" si="10"/>
        <v>20.119500000000002</v>
      </c>
      <c r="R35" s="77">
        <f t="shared" si="11"/>
        <v>0</v>
      </c>
      <c r="S35" s="77">
        <f t="shared" si="11"/>
        <v>0.11842200000000003</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150</v>
      </c>
      <c r="C36" s="77">
        <f t="shared" si="6"/>
        <v>22.276800000000001</v>
      </c>
      <c r="D36" s="77">
        <f t="shared" si="7"/>
        <v>5.9518805400000003</v>
      </c>
      <c r="E36" s="77">
        <f t="shared" si="8"/>
        <v>0.5862807000000001</v>
      </c>
      <c r="F36" s="77">
        <f t="shared" si="9"/>
        <v>3.0187206</v>
      </c>
      <c r="G36" s="77">
        <f t="shared" si="5"/>
        <v>8.5986000000000021E-2</v>
      </c>
      <c r="H36" s="77">
        <f t="shared" si="5"/>
        <v>0.39780000000000004</v>
      </c>
      <c r="I36" s="77">
        <f t="shared" si="5"/>
        <v>2.6316000000000003E-2</v>
      </c>
      <c r="J36" s="77">
        <f t="shared" si="5"/>
        <v>1.8665999999999999E-3</v>
      </c>
      <c r="K36" s="77">
        <f t="shared" si="5"/>
        <v>3.0294000000000002E-3</v>
      </c>
      <c r="L36" s="77">
        <f t="shared" si="5"/>
        <v>2.9375999999999999E-2</v>
      </c>
      <c r="M36" s="77">
        <f t="shared" si="5"/>
        <v>4.6206000000000004E-2</v>
      </c>
      <c r="N36" s="77">
        <f t="shared" si="5"/>
        <v>9.333000000000002</v>
      </c>
      <c r="O36" s="77">
        <f t="shared" si="5"/>
        <v>1380.06</v>
      </c>
      <c r="P36" s="77">
        <f t="shared" si="5"/>
        <v>0</v>
      </c>
      <c r="Q36" s="77">
        <f t="shared" si="10"/>
        <v>20.119500000000002</v>
      </c>
      <c r="R36" s="77">
        <f t="shared" si="11"/>
        <v>0</v>
      </c>
      <c r="S36" s="77">
        <f t="shared" si="11"/>
        <v>0.11842200000000003</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150</v>
      </c>
      <c r="C37" s="77">
        <f t="shared" si="6"/>
        <v>22.276800000000001</v>
      </c>
      <c r="D37" s="77">
        <f t="shared" si="7"/>
        <v>5.9518805400000003</v>
      </c>
      <c r="E37" s="77">
        <f t="shared" si="8"/>
        <v>0.5862807000000001</v>
      </c>
      <c r="F37" s="77">
        <f t="shared" si="9"/>
        <v>3.0187206</v>
      </c>
      <c r="G37" s="77">
        <f t="shared" si="5"/>
        <v>8.5986000000000021E-2</v>
      </c>
      <c r="H37" s="77">
        <f t="shared" si="5"/>
        <v>0.39780000000000004</v>
      </c>
      <c r="I37" s="77">
        <f t="shared" si="5"/>
        <v>2.6316000000000003E-2</v>
      </c>
      <c r="J37" s="77">
        <f t="shared" si="5"/>
        <v>1.8665999999999999E-3</v>
      </c>
      <c r="K37" s="77">
        <f t="shared" si="5"/>
        <v>3.0294000000000002E-3</v>
      </c>
      <c r="L37" s="77">
        <f t="shared" si="5"/>
        <v>2.9375999999999999E-2</v>
      </c>
      <c r="M37" s="77">
        <f t="shared" si="5"/>
        <v>4.6206000000000004E-2</v>
      </c>
      <c r="N37" s="77">
        <f t="shared" si="5"/>
        <v>9.333000000000002</v>
      </c>
      <c r="O37" s="77">
        <f t="shared" si="5"/>
        <v>1380.06</v>
      </c>
      <c r="P37" s="77">
        <f t="shared" si="5"/>
        <v>0</v>
      </c>
      <c r="Q37" s="77">
        <f t="shared" si="10"/>
        <v>20.119500000000002</v>
      </c>
      <c r="R37" s="77">
        <f t="shared" si="11"/>
        <v>0</v>
      </c>
      <c r="S37" s="77">
        <f t="shared" si="11"/>
        <v>0.11842200000000003</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150</v>
      </c>
      <c r="C38" s="77">
        <f t="shared" si="6"/>
        <v>22.276800000000001</v>
      </c>
      <c r="D38" s="77">
        <f t="shared" si="7"/>
        <v>5.9518805400000003</v>
      </c>
      <c r="E38" s="77">
        <f t="shared" si="8"/>
        <v>0.5862807000000001</v>
      </c>
      <c r="F38" s="77">
        <f t="shared" si="9"/>
        <v>3.0187206</v>
      </c>
      <c r="G38" s="77">
        <f t="shared" si="5"/>
        <v>8.5986000000000021E-2</v>
      </c>
      <c r="H38" s="77">
        <f t="shared" si="5"/>
        <v>0.39780000000000004</v>
      </c>
      <c r="I38" s="77">
        <f t="shared" si="5"/>
        <v>2.6316000000000003E-2</v>
      </c>
      <c r="J38" s="77">
        <f t="shared" si="5"/>
        <v>1.8665999999999999E-3</v>
      </c>
      <c r="K38" s="77">
        <f t="shared" si="5"/>
        <v>3.0294000000000002E-3</v>
      </c>
      <c r="L38" s="77">
        <f t="shared" si="5"/>
        <v>2.9375999999999999E-2</v>
      </c>
      <c r="M38" s="77">
        <f t="shared" si="5"/>
        <v>4.6206000000000004E-2</v>
      </c>
      <c r="N38" s="77">
        <f t="shared" si="5"/>
        <v>9.333000000000002</v>
      </c>
      <c r="O38" s="77">
        <f t="shared" si="5"/>
        <v>1380.06</v>
      </c>
      <c r="P38" s="77">
        <f t="shared" si="5"/>
        <v>0</v>
      </c>
      <c r="Q38" s="77">
        <f t="shared" si="10"/>
        <v>20.119500000000002</v>
      </c>
      <c r="R38" s="77">
        <f t="shared" si="11"/>
        <v>0</v>
      </c>
      <c r="S38" s="77">
        <f t="shared" si="11"/>
        <v>0.11842200000000003</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150</v>
      </c>
      <c r="C39" s="77">
        <f t="shared" si="6"/>
        <v>22.276800000000001</v>
      </c>
      <c r="D39" s="77">
        <f t="shared" si="7"/>
        <v>5.9518805400000003</v>
      </c>
      <c r="E39" s="77">
        <f t="shared" si="8"/>
        <v>0.5862807000000001</v>
      </c>
      <c r="F39" s="77">
        <f t="shared" si="9"/>
        <v>3.0187206</v>
      </c>
      <c r="G39" s="77">
        <f t="shared" si="5"/>
        <v>8.5986000000000021E-2</v>
      </c>
      <c r="H39" s="77">
        <f t="shared" si="5"/>
        <v>0.39780000000000004</v>
      </c>
      <c r="I39" s="77">
        <f t="shared" si="5"/>
        <v>2.6316000000000003E-2</v>
      </c>
      <c r="J39" s="77">
        <f t="shared" si="5"/>
        <v>1.8665999999999999E-3</v>
      </c>
      <c r="K39" s="77">
        <f t="shared" si="5"/>
        <v>3.0294000000000002E-3</v>
      </c>
      <c r="L39" s="77">
        <f t="shared" si="5"/>
        <v>2.9375999999999999E-2</v>
      </c>
      <c r="M39" s="77">
        <f t="shared" si="5"/>
        <v>4.6206000000000004E-2</v>
      </c>
      <c r="N39" s="77">
        <f t="shared" si="5"/>
        <v>9.333000000000002</v>
      </c>
      <c r="O39" s="77">
        <f t="shared" si="5"/>
        <v>1380.06</v>
      </c>
      <c r="P39" s="77">
        <f t="shared" si="5"/>
        <v>0</v>
      </c>
      <c r="Q39" s="77">
        <f t="shared" si="10"/>
        <v>20.119500000000002</v>
      </c>
      <c r="R39" s="77">
        <f t="shared" si="11"/>
        <v>0</v>
      </c>
      <c r="S39" s="77">
        <f t="shared" si="11"/>
        <v>0.11842200000000003</v>
      </c>
      <c r="T39" s="77">
        <f t="shared" si="11"/>
        <v>0</v>
      </c>
      <c r="U39" s="77">
        <f t="shared" si="11"/>
        <v>0</v>
      </c>
      <c r="AB39" s="59"/>
      <c r="AC39" s="59"/>
      <c r="AD39" s="59"/>
      <c r="AE39" s="59"/>
      <c r="AF39" s="59"/>
      <c r="AG39" s="59"/>
      <c r="AH39" s="59"/>
      <c r="AI39" s="59"/>
    </row>
    <row r="40" spans="1:35" s="72" customFormat="1" x14ac:dyDescent="0.3">
      <c r="A40" s="13">
        <f>L8</f>
        <v>3234</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Arable</v>
      </c>
      <c r="H58" s="13" t="str">
        <f>I16&amp;" I "&amp;(VLOOKUP(I14,Table24581114[],6,FALSE))</f>
        <v>Medium/Clay I Arable</v>
      </c>
      <c r="I58" s="13" t="str">
        <f>J16&amp;" I "&amp;(VLOOKUP(J14,Table24581114[],6,FALSE))</f>
        <v>Medium/Clay I Arable</v>
      </c>
      <c r="J58" s="13" t="str">
        <f>K16&amp;" I "&amp;(VLOOKUP(K14,Table24581114[],6,FALSE))</f>
        <v>Medium/Clay I Arable</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6.2</v>
      </c>
      <c r="C59" s="76">
        <f>VLOOKUP(D$14,Table24581114[],5,FALSE)</f>
        <v>6.2</v>
      </c>
      <c r="D59" s="76">
        <f>VLOOKUP(E$14,Table24581114[],5,FALSE)</f>
        <v>6.2</v>
      </c>
      <c r="E59" s="76">
        <f>VLOOKUP(F$14,Table24581114[],5,FALSE)</f>
        <v>6.2</v>
      </c>
      <c r="F59" s="76">
        <f>VLOOKUP(G$14,Table24581114[],5,FALSE)</f>
        <v>6.7</v>
      </c>
      <c r="G59" s="76">
        <f>VLOOKUP(H$14,Table24581114[],5,FALSE)</f>
        <v>6.7</v>
      </c>
      <c r="H59" s="76">
        <f>VLOOKUP(I$14,Table24581114[],5,FALSE)</f>
        <v>6.7</v>
      </c>
      <c r="I59" s="76">
        <f>VLOOKUP(J$14,Table24581114[],5,FALSE)</f>
        <v>6.7</v>
      </c>
      <c r="J59" s="76">
        <f>VLOOKUP(K$14,Table24581114[],5,FALSE)</f>
        <v>6.7</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150</v>
      </c>
      <c r="G62" s="77">
        <f>B36</f>
        <v>150</v>
      </c>
      <c r="H62" s="77">
        <f>B37</f>
        <v>150</v>
      </c>
      <c r="I62" s="77">
        <f>B38</f>
        <v>150</v>
      </c>
      <c r="J62" s="77">
        <f>B39</f>
        <v>150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85" priority="37" operator="equal">
      <formula>"DECREASE"</formula>
    </cfRule>
    <cfRule type="cellIs" dxfId="184" priority="38" operator="equal">
      <formula>"INCREASE"</formula>
    </cfRule>
  </conditionalFormatting>
  <conditionalFormatting sqref="B31:B50 B62:U66">
    <cfRule type="cellIs" dxfId="183" priority="36" operator="greaterThan">
      <formula>$B$51</formula>
    </cfRule>
  </conditionalFormatting>
  <conditionalFormatting sqref="C31:C50">
    <cfRule type="cellIs" dxfId="182" priority="35" operator="greaterThan">
      <formula>$C$51</formula>
    </cfRule>
  </conditionalFormatting>
  <conditionalFormatting sqref="C18:V18">
    <cfRule type="cellIs" dxfId="181" priority="34" operator="equal">
      <formula>0</formula>
    </cfRule>
  </conditionalFormatting>
  <conditionalFormatting sqref="C17:V17">
    <cfRule type="cellIs" dxfId="180" priority="33" operator="equal">
      <formula>0</formula>
    </cfRule>
  </conditionalFormatting>
  <conditionalFormatting sqref="C19:V19">
    <cfRule type="cellIs" dxfId="179" priority="32" operator="equal">
      <formula>0</formula>
    </cfRule>
  </conditionalFormatting>
  <conditionalFormatting sqref="G31:G50">
    <cfRule type="cellIs" dxfId="178" priority="31" operator="greaterThan">
      <formula>$G$51</formula>
    </cfRule>
  </conditionalFormatting>
  <conditionalFormatting sqref="H31:H50">
    <cfRule type="cellIs" dxfId="177" priority="30" operator="greaterThan">
      <formula>$H$51</formula>
    </cfRule>
  </conditionalFormatting>
  <conditionalFormatting sqref="I31:I50">
    <cfRule type="cellIs" dxfId="176" priority="29" operator="greaterThan">
      <formula>$I$51</formula>
    </cfRule>
  </conditionalFormatting>
  <conditionalFormatting sqref="K31:K50">
    <cfRule type="cellIs" dxfId="175" priority="28" operator="greaterThan">
      <formula>$K$51</formula>
    </cfRule>
  </conditionalFormatting>
  <conditionalFormatting sqref="L31:L50">
    <cfRule type="cellIs" dxfId="174" priority="27" operator="greaterThan">
      <formula>$L$51</formula>
    </cfRule>
  </conditionalFormatting>
  <conditionalFormatting sqref="M31:M50">
    <cfRule type="cellIs" dxfId="173" priority="26" operator="greaterThan">
      <formula>$M$51</formula>
    </cfRule>
  </conditionalFormatting>
  <conditionalFormatting sqref="P31:P50">
    <cfRule type="cellIs" dxfId="172" priority="25" operator="greaterThan">
      <formula>$P$51</formula>
    </cfRule>
  </conditionalFormatting>
  <conditionalFormatting sqref="R31:R50">
    <cfRule type="cellIs" dxfId="171" priority="24" operator="greaterThan">
      <formula>$R$51</formula>
    </cfRule>
  </conditionalFormatting>
  <conditionalFormatting sqref="S31:S50">
    <cfRule type="cellIs" dxfId="170" priority="23" operator="greaterThan">
      <formula>$S$51</formula>
    </cfRule>
  </conditionalFormatting>
  <conditionalFormatting sqref="T31:T50">
    <cfRule type="cellIs" dxfId="169" priority="22" operator="greaterThan">
      <formula>$T$51</formula>
    </cfRule>
  </conditionalFormatting>
  <conditionalFormatting sqref="U31:U50">
    <cfRule type="cellIs" dxfId="168" priority="21" operator="greaterThan">
      <formula>$U$51</formula>
    </cfRule>
  </conditionalFormatting>
  <conditionalFormatting sqref="C22:V22">
    <cfRule type="cellIs" dxfId="167" priority="20" operator="equal">
      <formula>0</formula>
    </cfRule>
  </conditionalFormatting>
  <conditionalFormatting sqref="C24:V24">
    <cfRule type="cellIs" dxfId="166" priority="18" operator="equal">
      <formula>"DECREASE"</formula>
    </cfRule>
    <cfRule type="cellIs" dxfId="165" priority="19" operator="equal">
      <formula>"INCREASE"</formula>
    </cfRule>
  </conditionalFormatting>
  <conditionalFormatting sqref="C23:V23">
    <cfRule type="cellIs" dxfId="164" priority="17" operator="equal">
      <formula>0</formula>
    </cfRule>
  </conditionalFormatting>
  <conditionalFormatting sqref="C21:V21">
    <cfRule type="cellIs" dxfId="163" priority="13" operator="equal">
      <formula>0</formula>
    </cfRule>
  </conditionalFormatting>
  <conditionalFormatting sqref="B66:U66">
    <cfRule type="cellIs" dxfId="162" priority="11" operator="equal">
      <formula>"UNDER"</formula>
    </cfRule>
    <cfRule type="cellIs" dxfId="161" priority="12" operator="equal">
      <formula>"OVER"</formula>
    </cfRule>
  </conditionalFormatting>
  <conditionalFormatting sqref="J31:J50">
    <cfRule type="cellIs" dxfId="160" priority="8" operator="greaterThan">
      <formula>$J$51</formula>
    </cfRule>
  </conditionalFormatting>
  <conditionalFormatting sqref="L3">
    <cfRule type="cellIs" dxfId="159" priority="4" operator="lessThan">
      <formula>30</formula>
    </cfRule>
    <cfRule type="cellIs" dxfId="158" priority="5" operator="greaterThanOrEqual">
      <formula>30</formula>
    </cfRule>
  </conditionalFormatting>
  <conditionalFormatting sqref="I1">
    <cfRule type="cellIs" dxfId="157" priority="3" operator="between">
      <formula>0.1</formula>
      <formula>5</formula>
    </cfRule>
  </conditionalFormatting>
  <conditionalFormatting sqref="I2">
    <cfRule type="cellIs" dxfId="156" priority="2" operator="greaterThan">
      <formula>5000.1</formula>
    </cfRule>
  </conditionalFormatting>
  <conditionalFormatting sqref="I3">
    <cfRule type="cellIs" dxfId="15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I1" zoomScale="90" zoomScaleNormal="90" workbookViewId="0">
      <selection activeCell="U28" sqref="U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6.4</v>
      </c>
      <c r="J1" s="119" t="s">
        <v>153</v>
      </c>
      <c r="K1" s="119"/>
      <c r="L1" s="97">
        <v>358</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0.63900000000000001</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5.6025039123630673</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2.3603600249999999</v>
      </c>
      <c r="D18" s="16">
        <f>$D32</f>
        <v>2.3603600249999999</v>
      </c>
      <c r="E18" s="16">
        <f>$D33</f>
        <v>2.3603600249999999</v>
      </c>
      <c r="F18" s="16">
        <f>$D34</f>
        <v>2.3603600249999999</v>
      </c>
      <c r="G18" s="16">
        <f>$D35</f>
        <v>1.4162160149999998</v>
      </c>
      <c r="H18" s="16">
        <f>$D36</f>
        <v>1.4162160149999998</v>
      </c>
      <c r="I18" s="16">
        <f>$D37</f>
        <v>1.4162160149999998</v>
      </c>
      <c r="J18" s="16">
        <f>$D38</f>
        <v>1.4162160149999998</v>
      </c>
      <c r="K18" s="16">
        <f>$D39</f>
        <v>1.4162160149999998</v>
      </c>
      <c r="L18" s="16">
        <f>$D40</f>
        <v>2.3603600249999999</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-77.539639974999986</v>
      </c>
      <c r="D19" s="16">
        <f t="shared" ref="D19:V19" si="1">D18-D17</f>
        <v>-77.539639974999986</v>
      </c>
      <c r="E19" s="16">
        <f t="shared" si="1"/>
        <v>-77.539639974999986</v>
      </c>
      <c r="F19" s="16">
        <f t="shared" si="1"/>
        <v>-77.539639974999986</v>
      </c>
      <c r="G19" s="16">
        <f t="shared" si="1"/>
        <v>-61.583783984999997</v>
      </c>
      <c r="H19" s="16">
        <f t="shared" si="1"/>
        <v>-61.583783984999997</v>
      </c>
      <c r="I19" s="16">
        <f t="shared" si="1"/>
        <v>-253.583783985</v>
      </c>
      <c r="J19" s="16">
        <f t="shared" si="1"/>
        <v>-61.583783984999997</v>
      </c>
      <c r="K19" s="16">
        <f t="shared" si="1"/>
        <v>-61.583783984999997</v>
      </c>
      <c r="L19" s="16">
        <f t="shared" si="1"/>
        <v>-77.539639974999986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0.82422000000000006</v>
      </c>
      <c r="D22" s="16">
        <f>$E32</f>
        <v>0.82422000000000006</v>
      </c>
      <c r="E22" s="16">
        <f>$E33</f>
        <v>0.82422000000000006</v>
      </c>
      <c r="F22" s="16">
        <f>$E34</f>
        <v>0.82422000000000006</v>
      </c>
      <c r="G22" s="16">
        <f>$E35</f>
        <v>0.49453200000000008</v>
      </c>
      <c r="H22" s="16">
        <f>$E36</f>
        <v>0.49453200000000008</v>
      </c>
      <c r="I22" s="16">
        <f>$E37</f>
        <v>0.49453200000000008</v>
      </c>
      <c r="J22" s="16">
        <f>$E38</f>
        <v>0.49453200000000008</v>
      </c>
      <c r="K22" s="16">
        <f>$E39</f>
        <v>0.49453200000000008</v>
      </c>
      <c r="L22" s="16">
        <f>$E40</f>
        <v>0.82422000000000006</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-281.17577999999997</v>
      </c>
      <c r="D23" s="16">
        <f t="shared" ref="D23:V23" si="3">D22-D21</f>
        <v>-281.17577999999997</v>
      </c>
      <c r="E23" s="16">
        <f t="shared" si="3"/>
        <v>-281.17577999999997</v>
      </c>
      <c r="F23" s="16">
        <f t="shared" si="3"/>
        <v>-281.17577999999997</v>
      </c>
      <c r="G23" s="16">
        <f t="shared" si="3"/>
        <v>-197.50546800000004</v>
      </c>
      <c r="H23" s="16">
        <f t="shared" si="3"/>
        <v>-197.50546800000004</v>
      </c>
      <c r="I23" s="16">
        <f t="shared" si="3"/>
        <v>-359.50546800000001</v>
      </c>
      <c r="J23" s="16">
        <f t="shared" si="3"/>
        <v>-197.50546800000004</v>
      </c>
      <c r="K23" s="16">
        <f t="shared" si="3"/>
        <v>-197.50546800000004</v>
      </c>
      <c r="L23" s="16">
        <f t="shared" si="3"/>
        <v>-281.17577999999997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1.71</v>
      </c>
      <c r="C28" s="15">
        <v>0.63900000000000001</v>
      </c>
      <c r="D28" s="15">
        <v>2.41E-2</v>
      </c>
      <c r="E28" s="15">
        <v>1.6E-2</v>
      </c>
      <c r="F28" s="15">
        <v>907</v>
      </c>
      <c r="G28" s="15">
        <v>30.7</v>
      </c>
      <c r="H28" s="15">
        <v>189</v>
      </c>
      <c r="I28" s="15">
        <v>19.8</v>
      </c>
      <c r="J28" s="15">
        <v>0.86</v>
      </c>
      <c r="K28" s="23">
        <v>1.17</v>
      </c>
      <c r="L28" s="15">
        <v>5.0999999999999996</v>
      </c>
      <c r="M28" s="15">
        <v>9.36</v>
      </c>
      <c r="N28" s="15">
        <v>3570</v>
      </c>
      <c r="O28" s="15">
        <v>472000</v>
      </c>
      <c r="P28" s="15"/>
      <c r="Q28" s="15">
        <v>4770</v>
      </c>
      <c r="R28" s="15"/>
      <c r="S28" s="15">
        <v>28.7</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250</v>
      </c>
      <c r="C31" s="77">
        <f>IF(C$27="%w/w SAR",((C$28*10)*$B31),IF(C$27="%w/w DM",(((C$28*10)*($B$28/100))*$B31),IF(C$27="kg/t SAR",(C$28*$B31),IF(C$27="kg/t DM",((C$28*($B$28/100))*$B31),IF(C$27="mg/kg SAR",((C$28*0.001)*$B31),IF(C$27="mg/kg DM",(((C$28*0.001)*($B$28/100))*$B31),0))))))</f>
        <v>27.317250000000005</v>
      </c>
      <c r="D31" s="77">
        <f>(IF(D$27="%w/w SAR",((D$28*10)*$B31),IF(D$27="%w/w DM",(((D$28*10)*($B$28/100))*$B31),IF(D$27="kg/t SAR",(D$28*$B31),IF(D$27="kg/t DM",((D$28*($B$28/100))*$B31),IF(D$27="mg/kg SAR",((D$28*0.001)*$B31),IF(D$27="mg/kg DM",(((D$28*0.001)*($B$28/100))*$B31),"0")))))))*2.291</f>
        <v>2.3603600249999999</v>
      </c>
      <c r="E31" s="77">
        <f>(IF(E$27="%w/w SAR",((E$28*10)*$B31),IF(E$27="%w/w DM",(((E$28*10)*($B$28/100))*$B31),IF(E$27="kg/t SAR",(E$28*$B31),IF(E$27="kg/t DM",((E$28*($B$28/100))*$B31),IF(E$27="mg/kg SAR",((E$28*0.001)*$B31),IF(E$27="mg/kg DM",(((E$28*0.001)*($B$28/100))*$B31),"0")))))))*1.205</f>
        <v>0.82422000000000006</v>
      </c>
      <c r="F31" s="77">
        <f>(IF(F$27="%w/w SAR",((F$28*10)*$B31),IF(F$27="%w/w DM",(((F$28*10)*($B$28/100))*$B31),IF(F$27="kg/t SAR",(F$28*$B31),IF(F$27="kg/t DM",((F$28*($B$28/100))*$B31),IF(F$27="mg/kg SAR",((F$28*0.001)*$B31),IF(F$27="mg/kg DM",(((F$28*0.001)*($B$28/100))*$B31),"0")))))))*1.658</f>
        <v>6.4287706499999997</v>
      </c>
      <c r="G31" s="77">
        <f t="shared" ref="G31:P46" si="5">IF(G$27="%w/w SAR",((G$28*10)*$B31),IF(G$27="%w/w DM",(((G$28*10)*($B$28/100))*$B31),IF(G$27="kg/t SAR",(G$28*$B31),IF(G$27="kg/t DM",((G$28*($B$28/100))*$B31),IF(G$27="mg/kg SAR",((G$28*0.001)*$B31),IF(G$27="mg/kg DM",(((G$28*0.001)*($B$28/100))*$B31),0))))))</f>
        <v>0.13124250000000001</v>
      </c>
      <c r="H31" s="77">
        <f t="shared" si="5"/>
        <v>0.80797500000000011</v>
      </c>
      <c r="I31" s="77">
        <f t="shared" si="5"/>
        <v>8.4645000000000012E-2</v>
      </c>
      <c r="J31" s="77">
        <f t="shared" si="5"/>
        <v>3.6765000000000001E-3</v>
      </c>
      <c r="K31" s="77">
        <f t="shared" si="5"/>
        <v>5.0017500000000001E-3</v>
      </c>
      <c r="L31" s="77">
        <f t="shared" si="5"/>
        <v>2.1802499999999999E-2</v>
      </c>
      <c r="M31" s="77">
        <f t="shared" si="5"/>
        <v>4.0014000000000001E-2</v>
      </c>
      <c r="N31" s="77">
        <f t="shared" si="5"/>
        <v>15.261750000000001</v>
      </c>
      <c r="O31" s="77">
        <f t="shared" si="5"/>
        <v>2017.8000000000002</v>
      </c>
      <c r="P31" s="77">
        <f t="shared" si="5"/>
        <v>0</v>
      </c>
      <c r="Q31" s="77">
        <f>(IF(Q$27="%w/w SAR",((Q$28*10)*$B31),IF(Q$27="%w/w DM",(((Q$28*10)*($B$28/100))*$B31),IF(Q$27="kg/t SAR",(Q$28*$B31),IF(Q$27="kg/t DM",((Q$28*($B$28/100))*$B31),IF(Q$27="mg/kg SAR",((Q$28*0.001)*$B31),IF(Q$27="mg/kg DM",(((Q$28*0.001)*($B$28/100))*$B31),0)))))))*2.5</f>
        <v>50.979375000000012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0.1226925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250</v>
      </c>
      <c r="C32" s="77">
        <f t="shared" ref="C32:C50" si="6">IF(C$27="%w/w SAR",((C$28*10)*$B32),IF(C$27="%w/w DM",(((C$28*10)*($B$28/100))*$B32),IF(C$27="kg/t SAR",(C$28*$B32),IF(C$27="kg/t DM",((C$28*($B$28/100))*$B32),IF(C$27="mg/kg SAR",((C$28*0.001)*$B32),IF(C$27="mg/kg DM",(((C$28*0.001)*($B$28/100))*$B32),0))))))</f>
        <v>27.317250000000005</v>
      </c>
      <c r="D32" s="77">
        <f t="shared" ref="D32:D50" si="7">(IF(D$27="%w/w SAR",((D$28*10)*$B32),IF(D$27="%w/w DM",(((D$28*10)*($B$28/100))*$B32),IF(D$27="kg/t SAR",(D$28*$B32),IF(D$27="kg/t DM",((D$28*($B$28/100))*$B32),IF(D$27="mg/kg SAR",((D$28*0.001)*$B32),IF(D$27="mg/kg DM",(((D$28*0.001)*($B$28/100))*$B32),"0")))))))*2.291</f>
        <v>2.3603600249999999</v>
      </c>
      <c r="E32" s="77">
        <f t="shared" ref="E32:E50" si="8">(IF(E$27="%w/w SAR",((E$28*10)*$B32),IF(E$27="%w/w DM",(((E$28*10)*($B$28/100))*$B32),IF(E$27="kg/t SAR",(E$28*$B32),IF(E$27="kg/t DM",((E$28*($B$28/100))*$B32),IF(E$27="mg/kg SAR",((E$28*0.001)*$B32),IF(E$27="mg/kg DM",(((E$28*0.001)*($B$28/100))*$B32),"0")))))))*1.205</f>
        <v>0.82422000000000006</v>
      </c>
      <c r="F32" s="77">
        <f t="shared" ref="F32:F50" si="9">(IF(F$27="%w/w SAR",((F$28*10)*$B32),IF(F$27="%w/w DM",(((F$28*10)*($B$28/100))*$B32),IF(F$27="kg/t SAR",(F$28*$B32),IF(F$27="kg/t DM",((F$28*($B$28/100))*$B32),IF(F$27="mg/kg SAR",((F$28*0.001)*$B32),IF(F$27="mg/kg DM",(((F$28*0.001)*($B$28/100))*$B32),"0")))))))*1.658</f>
        <v>6.4287706499999997</v>
      </c>
      <c r="G32" s="77">
        <f t="shared" si="5"/>
        <v>0.13124250000000001</v>
      </c>
      <c r="H32" s="77">
        <f t="shared" si="5"/>
        <v>0.80797500000000011</v>
      </c>
      <c r="I32" s="77">
        <f t="shared" si="5"/>
        <v>8.4645000000000012E-2</v>
      </c>
      <c r="J32" s="77">
        <f t="shared" si="5"/>
        <v>3.6765000000000001E-3</v>
      </c>
      <c r="K32" s="77">
        <f t="shared" si="5"/>
        <v>5.0017500000000001E-3</v>
      </c>
      <c r="L32" s="77">
        <f t="shared" si="5"/>
        <v>2.1802499999999999E-2</v>
      </c>
      <c r="M32" s="77">
        <f t="shared" si="5"/>
        <v>4.0014000000000001E-2</v>
      </c>
      <c r="N32" s="77">
        <f t="shared" si="5"/>
        <v>15.261750000000001</v>
      </c>
      <c r="O32" s="77">
        <f t="shared" si="5"/>
        <v>2017.8000000000002</v>
      </c>
      <c r="P32" s="77">
        <f t="shared" si="5"/>
        <v>0</v>
      </c>
      <c r="Q32" s="77">
        <f t="shared" ref="Q32:Q50" si="10">(IF(Q$27="%w/w SAR",((Q$28*10)*$B32),IF(Q$27="%w/w DM",(((Q$28*10)*($B$28/100))*$B32),IF(Q$27="kg/t SAR",(Q$28*$B32),IF(Q$27="kg/t DM",((Q$28*($B$28/100))*$B32),IF(Q$27="mg/kg SAR",((Q$28*0.001)*$B32),IF(Q$27="mg/kg DM",(((Q$28*0.001)*($B$28/100))*$B32),0)))))))*2.5</f>
        <v>50.979375000000012</v>
      </c>
      <c r="R32" s="77">
        <f t="shared" ref="R32:U50" si="11">IF(R$27="%w/w SAR",((R$28*10)*$B32),IF(R$27="%w/w DM",(((R$28*10)*($B$28/100))*$B32),IF(R$27="kg/t SAR",(R$28*$B32),IF(R$27="kg/t DM",((R$28*($B$28/100))*$B32),IF(R$27="mg/kg SAR",((R$28*0.001)*$B32),IF(R$27="mg/kg DM",(((R$28*0.001)*($B$28/100))*$B32),0))))))</f>
        <v>0</v>
      </c>
      <c r="S32" s="77">
        <f t="shared" si="11"/>
        <v>0.1226925</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250</v>
      </c>
      <c r="C33" s="77">
        <f t="shared" si="6"/>
        <v>27.317250000000005</v>
      </c>
      <c r="D33" s="77">
        <f t="shared" si="7"/>
        <v>2.3603600249999999</v>
      </c>
      <c r="E33" s="77">
        <f t="shared" si="8"/>
        <v>0.82422000000000006</v>
      </c>
      <c r="F33" s="77">
        <f t="shared" si="9"/>
        <v>6.4287706499999997</v>
      </c>
      <c r="G33" s="77">
        <f t="shared" si="5"/>
        <v>0.13124250000000001</v>
      </c>
      <c r="H33" s="77">
        <f t="shared" si="5"/>
        <v>0.80797500000000011</v>
      </c>
      <c r="I33" s="77">
        <f t="shared" si="5"/>
        <v>8.4645000000000012E-2</v>
      </c>
      <c r="J33" s="77">
        <f t="shared" si="5"/>
        <v>3.6765000000000001E-3</v>
      </c>
      <c r="K33" s="77">
        <f t="shared" si="5"/>
        <v>5.0017500000000001E-3</v>
      </c>
      <c r="L33" s="77">
        <f t="shared" si="5"/>
        <v>2.1802499999999999E-2</v>
      </c>
      <c r="M33" s="77">
        <f t="shared" si="5"/>
        <v>4.0014000000000001E-2</v>
      </c>
      <c r="N33" s="77">
        <f t="shared" si="5"/>
        <v>15.261750000000001</v>
      </c>
      <c r="O33" s="77">
        <f t="shared" si="5"/>
        <v>2017.8000000000002</v>
      </c>
      <c r="P33" s="77">
        <f t="shared" si="5"/>
        <v>0</v>
      </c>
      <c r="Q33" s="77">
        <f t="shared" si="10"/>
        <v>50.979375000000012</v>
      </c>
      <c r="R33" s="77">
        <f t="shared" si="11"/>
        <v>0</v>
      </c>
      <c r="S33" s="77">
        <f t="shared" si="11"/>
        <v>0.1226925</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250</v>
      </c>
      <c r="C34" s="77">
        <f t="shared" si="6"/>
        <v>27.317250000000005</v>
      </c>
      <c r="D34" s="77">
        <f t="shared" si="7"/>
        <v>2.3603600249999999</v>
      </c>
      <c r="E34" s="77">
        <f t="shared" si="8"/>
        <v>0.82422000000000006</v>
      </c>
      <c r="F34" s="77">
        <f t="shared" si="9"/>
        <v>6.4287706499999997</v>
      </c>
      <c r="G34" s="77">
        <f t="shared" si="5"/>
        <v>0.13124250000000001</v>
      </c>
      <c r="H34" s="77">
        <f t="shared" si="5"/>
        <v>0.80797500000000011</v>
      </c>
      <c r="I34" s="77">
        <f t="shared" si="5"/>
        <v>8.4645000000000012E-2</v>
      </c>
      <c r="J34" s="77">
        <f t="shared" si="5"/>
        <v>3.6765000000000001E-3</v>
      </c>
      <c r="K34" s="77">
        <f t="shared" si="5"/>
        <v>5.0017500000000001E-3</v>
      </c>
      <c r="L34" s="77">
        <f t="shared" si="5"/>
        <v>2.1802499999999999E-2</v>
      </c>
      <c r="M34" s="77">
        <f t="shared" si="5"/>
        <v>4.0014000000000001E-2</v>
      </c>
      <c r="N34" s="77">
        <f t="shared" si="5"/>
        <v>15.261750000000001</v>
      </c>
      <c r="O34" s="77">
        <f t="shared" si="5"/>
        <v>2017.8000000000002</v>
      </c>
      <c r="P34" s="77">
        <f t="shared" si="5"/>
        <v>0</v>
      </c>
      <c r="Q34" s="77">
        <f t="shared" si="10"/>
        <v>50.979375000000012</v>
      </c>
      <c r="R34" s="77">
        <f t="shared" si="11"/>
        <v>0</v>
      </c>
      <c r="S34" s="77">
        <f t="shared" si="11"/>
        <v>0.1226925</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150</v>
      </c>
      <c r="C35" s="77">
        <f t="shared" si="6"/>
        <v>16.390350000000002</v>
      </c>
      <c r="D35" s="77">
        <f t="shared" si="7"/>
        <v>1.4162160149999998</v>
      </c>
      <c r="E35" s="77">
        <f t="shared" si="8"/>
        <v>0.49453200000000008</v>
      </c>
      <c r="F35" s="77">
        <f t="shared" si="9"/>
        <v>3.8572623900000003</v>
      </c>
      <c r="G35" s="77">
        <f t="shared" si="5"/>
        <v>7.874550000000001E-2</v>
      </c>
      <c r="H35" s="77">
        <f t="shared" si="5"/>
        <v>0.48478500000000002</v>
      </c>
      <c r="I35" s="77">
        <f t="shared" si="5"/>
        <v>5.0787000000000006E-2</v>
      </c>
      <c r="J35" s="77">
        <f t="shared" si="5"/>
        <v>2.2058999999999998E-3</v>
      </c>
      <c r="K35" s="77">
        <f t="shared" si="5"/>
        <v>3.0010499999999999E-3</v>
      </c>
      <c r="L35" s="77">
        <f t="shared" si="5"/>
        <v>1.3081499999999999E-2</v>
      </c>
      <c r="M35" s="77">
        <f t="shared" si="5"/>
        <v>2.4008399999999999E-2</v>
      </c>
      <c r="N35" s="77">
        <f t="shared" si="5"/>
        <v>9.1570499999999999</v>
      </c>
      <c r="O35" s="77">
        <f t="shared" si="5"/>
        <v>1210.68</v>
      </c>
      <c r="P35" s="77">
        <f t="shared" si="5"/>
        <v>0</v>
      </c>
      <c r="Q35" s="77">
        <f t="shared" si="10"/>
        <v>30.587625000000006</v>
      </c>
      <c r="R35" s="77">
        <f t="shared" si="11"/>
        <v>0</v>
      </c>
      <c r="S35" s="77">
        <f t="shared" si="11"/>
        <v>7.36155E-2</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150</v>
      </c>
      <c r="C36" s="77">
        <f t="shared" si="6"/>
        <v>16.390350000000002</v>
      </c>
      <c r="D36" s="77">
        <f t="shared" si="7"/>
        <v>1.4162160149999998</v>
      </c>
      <c r="E36" s="77">
        <f t="shared" si="8"/>
        <v>0.49453200000000008</v>
      </c>
      <c r="F36" s="77">
        <f t="shared" si="9"/>
        <v>3.8572623900000003</v>
      </c>
      <c r="G36" s="77">
        <f t="shared" si="5"/>
        <v>7.874550000000001E-2</v>
      </c>
      <c r="H36" s="77">
        <f t="shared" si="5"/>
        <v>0.48478500000000002</v>
      </c>
      <c r="I36" s="77">
        <f t="shared" si="5"/>
        <v>5.0787000000000006E-2</v>
      </c>
      <c r="J36" s="77">
        <f t="shared" si="5"/>
        <v>2.2058999999999998E-3</v>
      </c>
      <c r="K36" s="77">
        <f t="shared" si="5"/>
        <v>3.0010499999999999E-3</v>
      </c>
      <c r="L36" s="77">
        <f t="shared" si="5"/>
        <v>1.3081499999999999E-2</v>
      </c>
      <c r="M36" s="77">
        <f t="shared" si="5"/>
        <v>2.4008399999999999E-2</v>
      </c>
      <c r="N36" s="77">
        <f t="shared" si="5"/>
        <v>9.1570499999999999</v>
      </c>
      <c r="O36" s="77">
        <f t="shared" si="5"/>
        <v>1210.68</v>
      </c>
      <c r="P36" s="77">
        <f t="shared" si="5"/>
        <v>0</v>
      </c>
      <c r="Q36" s="77">
        <f t="shared" si="10"/>
        <v>30.587625000000006</v>
      </c>
      <c r="R36" s="77">
        <f t="shared" si="11"/>
        <v>0</v>
      </c>
      <c r="S36" s="77">
        <f t="shared" si="11"/>
        <v>7.36155E-2</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150</v>
      </c>
      <c r="C37" s="77">
        <f t="shared" si="6"/>
        <v>16.390350000000002</v>
      </c>
      <c r="D37" s="77">
        <f t="shared" si="7"/>
        <v>1.4162160149999998</v>
      </c>
      <c r="E37" s="77">
        <f t="shared" si="8"/>
        <v>0.49453200000000008</v>
      </c>
      <c r="F37" s="77">
        <f t="shared" si="9"/>
        <v>3.8572623900000003</v>
      </c>
      <c r="G37" s="77">
        <f t="shared" si="5"/>
        <v>7.874550000000001E-2</v>
      </c>
      <c r="H37" s="77">
        <f t="shared" si="5"/>
        <v>0.48478500000000002</v>
      </c>
      <c r="I37" s="77">
        <f t="shared" si="5"/>
        <v>5.0787000000000006E-2</v>
      </c>
      <c r="J37" s="77">
        <f t="shared" si="5"/>
        <v>2.2058999999999998E-3</v>
      </c>
      <c r="K37" s="77">
        <f t="shared" si="5"/>
        <v>3.0010499999999999E-3</v>
      </c>
      <c r="L37" s="77">
        <f t="shared" si="5"/>
        <v>1.3081499999999999E-2</v>
      </c>
      <c r="M37" s="77">
        <f t="shared" si="5"/>
        <v>2.4008399999999999E-2</v>
      </c>
      <c r="N37" s="77">
        <f t="shared" si="5"/>
        <v>9.1570499999999999</v>
      </c>
      <c r="O37" s="77">
        <f t="shared" si="5"/>
        <v>1210.68</v>
      </c>
      <c r="P37" s="77">
        <f t="shared" si="5"/>
        <v>0</v>
      </c>
      <c r="Q37" s="77">
        <f t="shared" si="10"/>
        <v>30.587625000000006</v>
      </c>
      <c r="R37" s="77">
        <f t="shared" si="11"/>
        <v>0</v>
      </c>
      <c r="S37" s="77">
        <f t="shared" si="11"/>
        <v>7.36155E-2</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150</v>
      </c>
      <c r="C38" s="77">
        <f t="shared" si="6"/>
        <v>16.390350000000002</v>
      </c>
      <c r="D38" s="77">
        <f t="shared" si="7"/>
        <v>1.4162160149999998</v>
      </c>
      <c r="E38" s="77">
        <f t="shared" si="8"/>
        <v>0.49453200000000008</v>
      </c>
      <c r="F38" s="77">
        <f t="shared" si="9"/>
        <v>3.8572623900000003</v>
      </c>
      <c r="G38" s="77">
        <f t="shared" si="5"/>
        <v>7.874550000000001E-2</v>
      </c>
      <c r="H38" s="77">
        <f t="shared" si="5"/>
        <v>0.48478500000000002</v>
      </c>
      <c r="I38" s="77">
        <f t="shared" si="5"/>
        <v>5.0787000000000006E-2</v>
      </c>
      <c r="J38" s="77">
        <f t="shared" si="5"/>
        <v>2.2058999999999998E-3</v>
      </c>
      <c r="K38" s="77">
        <f t="shared" si="5"/>
        <v>3.0010499999999999E-3</v>
      </c>
      <c r="L38" s="77">
        <f t="shared" si="5"/>
        <v>1.3081499999999999E-2</v>
      </c>
      <c r="M38" s="77">
        <f t="shared" si="5"/>
        <v>2.4008399999999999E-2</v>
      </c>
      <c r="N38" s="77">
        <f t="shared" si="5"/>
        <v>9.1570499999999999</v>
      </c>
      <c r="O38" s="77">
        <f t="shared" si="5"/>
        <v>1210.68</v>
      </c>
      <c r="P38" s="77">
        <f t="shared" si="5"/>
        <v>0</v>
      </c>
      <c r="Q38" s="77">
        <f t="shared" si="10"/>
        <v>30.587625000000006</v>
      </c>
      <c r="R38" s="77">
        <f t="shared" si="11"/>
        <v>0</v>
      </c>
      <c r="S38" s="77">
        <f t="shared" si="11"/>
        <v>7.36155E-2</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150</v>
      </c>
      <c r="C39" s="77">
        <f t="shared" si="6"/>
        <v>16.390350000000002</v>
      </c>
      <c r="D39" s="77">
        <f t="shared" si="7"/>
        <v>1.4162160149999998</v>
      </c>
      <c r="E39" s="77">
        <f t="shared" si="8"/>
        <v>0.49453200000000008</v>
      </c>
      <c r="F39" s="77">
        <f t="shared" si="9"/>
        <v>3.8572623900000003</v>
      </c>
      <c r="G39" s="77">
        <f t="shared" si="5"/>
        <v>7.874550000000001E-2</v>
      </c>
      <c r="H39" s="77">
        <f t="shared" si="5"/>
        <v>0.48478500000000002</v>
      </c>
      <c r="I39" s="77">
        <f t="shared" si="5"/>
        <v>5.0787000000000006E-2</v>
      </c>
      <c r="J39" s="77">
        <f t="shared" si="5"/>
        <v>2.2058999999999998E-3</v>
      </c>
      <c r="K39" s="77">
        <f t="shared" si="5"/>
        <v>3.0010499999999999E-3</v>
      </c>
      <c r="L39" s="77">
        <f t="shared" si="5"/>
        <v>1.3081499999999999E-2</v>
      </c>
      <c r="M39" s="77">
        <f t="shared" si="5"/>
        <v>2.4008399999999999E-2</v>
      </c>
      <c r="N39" s="77">
        <f t="shared" si="5"/>
        <v>9.1570499999999999</v>
      </c>
      <c r="O39" s="77">
        <f t="shared" si="5"/>
        <v>1210.68</v>
      </c>
      <c r="P39" s="77">
        <f t="shared" si="5"/>
        <v>0</v>
      </c>
      <c r="Q39" s="77">
        <f t="shared" si="10"/>
        <v>30.587625000000006</v>
      </c>
      <c r="R39" s="77">
        <f t="shared" si="11"/>
        <v>0</v>
      </c>
      <c r="S39" s="77">
        <f t="shared" si="11"/>
        <v>7.36155E-2</v>
      </c>
      <c r="T39" s="77">
        <f t="shared" si="11"/>
        <v>0</v>
      </c>
      <c r="U39" s="77">
        <f t="shared" si="11"/>
        <v>0</v>
      </c>
      <c r="AB39" s="59"/>
      <c r="AC39" s="59"/>
      <c r="AD39" s="59"/>
      <c r="AE39" s="59"/>
      <c r="AF39" s="59"/>
      <c r="AG39" s="59"/>
      <c r="AH39" s="59"/>
      <c r="AI39" s="59"/>
    </row>
    <row r="40" spans="1:35" s="72" customFormat="1" x14ac:dyDescent="0.3">
      <c r="A40" s="13">
        <f>L8</f>
        <v>3234</v>
      </c>
      <c r="B40" s="15">
        <v>250</v>
      </c>
      <c r="C40" s="77">
        <f t="shared" si="6"/>
        <v>27.317250000000005</v>
      </c>
      <c r="D40" s="77">
        <f t="shared" si="7"/>
        <v>2.3603600249999999</v>
      </c>
      <c r="E40" s="77">
        <f t="shared" si="8"/>
        <v>0.82422000000000006</v>
      </c>
      <c r="F40" s="77">
        <f t="shared" si="9"/>
        <v>6.4287706499999997</v>
      </c>
      <c r="G40" s="77">
        <f t="shared" si="5"/>
        <v>0.13124250000000001</v>
      </c>
      <c r="H40" s="77">
        <f t="shared" si="5"/>
        <v>0.80797500000000011</v>
      </c>
      <c r="I40" s="77">
        <f t="shared" si="5"/>
        <v>8.4645000000000012E-2</v>
      </c>
      <c r="J40" s="77">
        <f t="shared" si="5"/>
        <v>3.6765000000000001E-3</v>
      </c>
      <c r="K40" s="77">
        <f t="shared" si="5"/>
        <v>5.0017500000000001E-3</v>
      </c>
      <c r="L40" s="77">
        <f t="shared" si="5"/>
        <v>2.1802499999999999E-2</v>
      </c>
      <c r="M40" s="77">
        <f t="shared" si="5"/>
        <v>4.0014000000000001E-2</v>
      </c>
      <c r="N40" s="77">
        <f t="shared" si="5"/>
        <v>15.261750000000001</v>
      </c>
      <c r="O40" s="77">
        <f t="shared" si="5"/>
        <v>2017.8000000000002</v>
      </c>
      <c r="P40" s="77">
        <f t="shared" si="5"/>
        <v>0</v>
      </c>
      <c r="Q40" s="77">
        <f t="shared" si="10"/>
        <v>50.979375000000012</v>
      </c>
      <c r="R40" s="77">
        <f t="shared" si="11"/>
        <v>0</v>
      </c>
      <c r="S40" s="77">
        <f t="shared" si="11"/>
        <v>0.1226925</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Arable</v>
      </c>
      <c r="H58" s="13" t="str">
        <f>I16&amp;" I "&amp;(VLOOKUP(I14,Table245810[],6,FALSE))</f>
        <v>Medium/Clay I Arable</v>
      </c>
      <c r="I58" s="13" t="str">
        <f>J16&amp;" I "&amp;(VLOOKUP(J14,Table245810[],6,FALSE))</f>
        <v>Medium/Clay I Arable</v>
      </c>
      <c r="J58" s="13" t="str">
        <f>K16&amp;" I "&amp;(VLOOKUP(K14,Table245810[],6,FALSE))</f>
        <v>Medium/Clay I Arable</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6.2</v>
      </c>
      <c r="C59" s="76">
        <f>VLOOKUP(D$14,Table245810[],5,FALSE)</f>
        <v>6.2</v>
      </c>
      <c r="D59" s="76">
        <f>VLOOKUP(E$14,Table245810[],5,FALSE)</f>
        <v>6.2</v>
      </c>
      <c r="E59" s="76">
        <f>VLOOKUP(F$14,Table245810[],5,FALSE)</f>
        <v>6.2</v>
      </c>
      <c r="F59" s="76">
        <f>VLOOKUP(G$14,Table245810[],5,FALSE)</f>
        <v>6.7</v>
      </c>
      <c r="G59" s="76">
        <f>VLOOKUP(H$14,Table245810[],5,FALSE)</f>
        <v>6.7</v>
      </c>
      <c r="H59" s="76">
        <f>VLOOKUP(I$14,Table245810[],5,FALSE)</f>
        <v>6.7</v>
      </c>
      <c r="I59" s="76">
        <f>VLOOKUP(J$14,Table245810[],5,FALSE)</f>
        <v>6.7</v>
      </c>
      <c r="J59" s="76">
        <f>VLOOKUP(K$14,Table245810[],5,FALSE)</f>
        <v>6.7</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150</v>
      </c>
      <c r="G62" s="77">
        <f>B36</f>
        <v>150</v>
      </c>
      <c r="H62" s="77">
        <f>B37</f>
        <v>150</v>
      </c>
      <c r="I62" s="77">
        <f>B38</f>
        <v>150</v>
      </c>
      <c r="J62" s="77">
        <f>B39</f>
        <v>150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54" priority="37" operator="equal">
      <formula>"DECREASE"</formula>
    </cfRule>
    <cfRule type="cellIs" dxfId="153" priority="38" operator="equal">
      <formula>"INCREASE"</formula>
    </cfRule>
  </conditionalFormatting>
  <conditionalFormatting sqref="B31:B50 B62:U66">
    <cfRule type="cellIs" dxfId="152" priority="36" operator="greaterThan">
      <formula>$B$51</formula>
    </cfRule>
  </conditionalFormatting>
  <conditionalFormatting sqref="C31:C50">
    <cfRule type="cellIs" dxfId="151" priority="35" operator="greaterThan">
      <formula>$C$51</formula>
    </cfRule>
  </conditionalFormatting>
  <conditionalFormatting sqref="C18:V18">
    <cfRule type="cellIs" dxfId="150" priority="34" operator="equal">
      <formula>0</formula>
    </cfRule>
  </conditionalFormatting>
  <conditionalFormatting sqref="C17:V17">
    <cfRule type="cellIs" dxfId="149" priority="33" operator="equal">
      <formula>0</formula>
    </cfRule>
  </conditionalFormatting>
  <conditionalFormatting sqref="C19:V19">
    <cfRule type="cellIs" dxfId="148" priority="32" operator="equal">
      <formula>0</formula>
    </cfRule>
  </conditionalFormatting>
  <conditionalFormatting sqref="G31:G50">
    <cfRule type="cellIs" dxfId="147" priority="31" operator="greaterThan">
      <formula>$G$51</formula>
    </cfRule>
  </conditionalFormatting>
  <conditionalFormatting sqref="H31:H50">
    <cfRule type="cellIs" dxfId="146" priority="30" operator="greaterThan">
      <formula>$H$51</formula>
    </cfRule>
  </conditionalFormatting>
  <conditionalFormatting sqref="I31:I50">
    <cfRule type="cellIs" dxfId="145" priority="29" operator="greaterThan">
      <formula>$I$51</formula>
    </cfRule>
  </conditionalFormatting>
  <conditionalFormatting sqref="K31:K50">
    <cfRule type="cellIs" dxfId="144" priority="28" operator="greaterThan">
      <formula>$K$51</formula>
    </cfRule>
  </conditionalFormatting>
  <conditionalFormatting sqref="L31:L50">
    <cfRule type="cellIs" dxfId="143" priority="27" operator="greaterThan">
      <formula>$L$51</formula>
    </cfRule>
  </conditionalFormatting>
  <conditionalFormatting sqref="M31:M50">
    <cfRule type="cellIs" dxfId="142" priority="26" operator="greaterThan">
      <formula>$M$51</formula>
    </cfRule>
  </conditionalFormatting>
  <conditionalFormatting sqref="P31:P50">
    <cfRule type="cellIs" dxfId="141" priority="25" operator="greaterThan">
      <formula>$P$51</formula>
    </cfRule>
  </conditionalFormatting>
  <conditionalFormatting sqref="R31:R50">
    <cfRule type="cellIs" dxfId="140" priority="24" operator="greaterThan">
      <formula>$R$51</formula>
    </cfRule>
  </conditionalFormatting>
  <conditionalFormatting sqref="S31:S50">
    <cfRule type="cellIs" dxfId="139" priority="23" operator="greaterThan">
      <formula>$S$51</formula>
    </cfRule>
  </conditionalFormatting>
  <conditionalFormatting sqref="T31:T50">
    <cfRule type="cellIs" dxfId="138" priority="22" operator="greaterThan">
      <formula>$T$51</formula>
    </cfRule>
  </conditionalFormatting>
  <conditionalFormatting sqref="U31:U50">
    <cfRule type="cellIs" dxfId="137" priority="21" operator="greaterThan">
      <formula>$U$51</formula>
    </cfRule>
  </conditionalFormatting>
  <conditionalFormatting sqref="C22:V22">
    <cfRule type="cellIs" dxfId="136" priority="20" operator="equal">
      <formula>0</formula>
    </cfRule>
  </conditionalFormatting>
  <conditionalFormatting sqref="C24:V24">
    <cfRule type="cellIs" dxfId="135" priority="18" operator="equal">
      <formula>"DECREASE"</formula>
    </cfRule>
    <cfRule type="cellIs" dxfId="134" priority="19" operator="equal">
      <formula>"INCREASE"</formula>
    </cfRule>
  </conditionalFormatting>
  <conditionalFormatting sqref="C23:V23">
    <cfRule type="cellIs" dxfId="133" priority="17" operator="equal">
      <formula>0</formula>
    </cfRule>
  </conditionalFormatting>
  <conditionalFormatting sqref="C21:V21">
    <cfRule type="cellIs" dxfId="132" priority="13" operator="equal">
      <formula>0</formula>
    </cfRule>
  </conditionalFormatting>
  <conditionalFormatting sqref="B66:U66">
    <cfRule type="cellIs" dxfId="131" priority="11" operator="equal">
      <formula>"UNDER"</formula>
    </cfRule>
    <cfRule type="cellIs" dxfId="130" priority="12" operator="equal">
      <formula>"OVER"</formula>
    </cfRule>
  </conditionalFormatting>
  <conditionalFormatting sqref="J31:J50">
    <cfRule type="cellIs" dxfId="129" priority="8" operator="greaterThan">
      <formula>$J$51</formula>
    </cfRule>
  </conditionalFormatting>
  <conditionalFormatting sqref="L3">
    <cfRule type="cellIs" dxfId="128" priority="4" operator="lessThan">
      <formula>30</formula>
    </cfRule>
    <cfRule type="cellIs" dxfId="127" priority="5" operator="greaterThanOrEqual">
      <formula>30</formula>
    </cfRule>
  </conditionalFormatting>
  <conditionalFormatting sqref="I1">
    <cfRule type="cellIs" dxfId="126" priority="3" operator="between">
      <formula>0.1</formula>
      <formula>5</formula>
    </cfRule>
  </conditionalFormatting>
  <conditionalFormatting sqref="I2">
    <cfRule type="cellIs" dxfId="125" priority="2" operator="greaterThan">
      <formula>5000.1</formula>
    </cfRule>
  </conditionalFormatting>
  <conditionalFormatting sqref="I3">
    <cfRule type="cellIs" dxfId="124"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I1" zoomScale="90" zoomScaleNormal="90" workbookViewId="0">
      <selection activeCell="U28" sqref="U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6.5</v>
      </c>
      <c r="J1" s="119" t="s">
        <v>153</v>
      </c>
      <c r="K1" s="119"/>
      <c r="L1" s="97">
        <v>185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0.97799999999999998</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1.8916155419222904</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34.860428749999997</v>
      </c>
      <c r="D18" s="16">
        <f>$D32</f>
        <v>34.860428749999997</v>
      </c>
      <c r="E18" s="16">
        <f>$D33</f>
        <v>34.860428749999997</v>
      </c>
      <c r="F18" s="16">
        <f>$D34</f>
        <v>34.860428749999997</v>
      </c>
      <c r="G18" s="16">
        <f>$D35</f>
        <v>20.916257249999997</v>
      </c>
      <c r="H18" s="16">
        <f>$D36</f>
        <v>20.916257249999997</v>
      </c>
      <c r="I18" s="16">
        <f>$D37</f>
        <v>20.916257249999997</v>
      </c>
      <c r="J18" s="16">
        <f>$D38</f>
        <v>0</v>
      </c>
      <c r="K18" s="16">
        <f>$D39</f>
        <v>20.916257249999997</v>
      </c>
      <c r="L18" s="16">
        <f>$D40</f>
        <v>34.860428749999997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-45.039571249999995</v>
      </c>
      <c r="D19" s="16">
        <f t="shared" ref="D19:V19" si="1">D18-D17</f>
        <v>-45.039571249999995</v>
      </c>
      <c r="E19" s="16">
        <f t="shared" si="1"/>
        <v>-45.039571249999995</v>
      </c>
      <c r="F19" s="16">
        <f t="shared" si="1"/>
        <v>-45.039571249999995</v>
      </c>
      <c r="G19" s="16">
        <f t="shared" si="1"/>
        <v>-42.083742749999999</v>
      </c>
      <c r="H19" s="16">
        <f t="shared" si="1"/>
        <v>-42.083742749999999</v>
      </c>
      <c r="I19" s="16">
        <f t="shared" si="1"/>
        <v>-234.08374275</v>
      </c>
      <c r="J19" s="16">
        <f t="shared" si="1"/>
        <v>-62.999999999999993</v>
      </c>
      <c r="K19" s="16">
        <f t="shared" si="1"/>
        <v>-42.083742749999999</v>
      </c>
      <c r="L19" s="16">
        <f t="shared" si="1"/>
        <v>-45.039571249999995</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7.542366125</v>
      </c>
      <c r="D22" s="16">
        <f>$E32</f>
        <v>7.542366125</v>
      </c>
      <c r="E22" s="16">
        <f>$E33</f>
        <v>7.542366125</v>
      </c>
      <c r="F22" s="16">
        <f>$E34</f>
        <v>7.542366125</v>
      </c>
      <c r="G22" s="16">
        <f>$E35</f>
        <v>4.5254196750000002</v>
      </c>
      <c r="H22" s="16">
        <f>$E36</f>
        <v>4.5254196750000002</v>
      </c>
      <c r="I22" s="16">
        <f>$E37</f>
        <v>4.5254196750000002</v>
      </c>
      <c r="J22" s="16">
        <f>$E38</f>
        <v>0</v>
      </c>
      <c r="K22" s="16">
        <f>$E39</f>
        <v>4.5254196750000002</v>
      </c>
      <c r="L22" s="16">
        <f>$E40</f>
        <v>7.542366125</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-274.457633875</v>
      </c>
      <c r="D23" s="16">
        <f t="shared" ref="D23:V23" si="3">D22-D21</f>
        <v>-274.457633875</v>
      </c>
      <c r="E23" s="16">
        <f t="shared" si="3"/>
        <v>-274.457633875</v>
      </c>
      <c r="F23" s="16">
        <f t="shared" si="3"/>
        <v>-274.457633875</v>
      </c>
      <c r="G23" s="16">
        <f t="shared" si="3"/>
        <v>-193.47458032500003</v>
      </c>
      <c r="H23" s="16">
        <f t="shared" si="3"/>
        <v>-193.47458032500003</v>
      </c>
      <c r="I23" s="16">
        <f t="shared" si="3"/>
        <v>-355.47458032499998</v>
      </c>
      <c r="J23" s="16">
        <f t="shared" si="3"/>
        <v>-198.00000000000003</v>
      </c>
      <c r="K23" s="16">
        <f t="shared" si="3"/>
        <v>-193.47458032500003</v>
      </c>
      <c r="L23" s="16">
        <f t="shared" si="3"/>
        <v>-274.457633875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3.29</v>
      </c>
      <c r="C28" s="15">
        <v>0.97799999999999998</v>
      </c>
      <c r="D28" s="15">
        <v>0.185</v>
      </c>
      <c r="E28" s="15">
        <v>7.6100000000000001E-2</v>
      </c>
      <c r="F28" s="15">
        <v>1520</v>
      </c>
      <c r="G28" s="15">
        <v>57.1</v>
      </c>
      <c r="H28" s="15">
        <v>325</v>
      </c>
      <c r="I28" s="15">
        <v>53.1</v>
      </c>
      <c r="J28" s="15">
        <v>1.91</v>
      </c>
      <c r="K28" s="23">
        <v>1.23</v>
      </c>
      <c r="L28" s="15">
        <v>25.8</v>
      </c>
      <c r="M28" s="15">
        <v>9.0500000000000007</v>
      </c>
      <c r="N28" s="15">
        <v>146000</v>
      </c>
      <c r="O28" s="15">
        <v>31800</v>
      </c>
      <c r="P28" s="15"/>
      <c r="Q28" s="15">
        <v>4610</v>
      </c>
      <c r="R28" s="15"/>
      <c r="S28" s="15">
        <v>52.7</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250</v>
      </c>
      <c r="C31" s="77">
        <f>IF(C$27="%w/w SAR",((C$28*10)*$B31),IF(C$27="%w/w DM",(((C$28*10)*($B$28/100))*$B31),IF(C$27="kg/t SAR",(C$28*$B31),IF(C$27="kg/t DM",((C$28*($B$28/100))*$B31),IF(C$27="mg/kg SAR",((C$28*0.001)*$B31),IF(C$27="mg/kg DM",(((C$28*0.001)*($B$28/100))*$B31),0))))))</f>
        <v>80.4405</v>
      </c>
      <c r="D31" s="77">
        <f>(IF(D$27="%w/w SAR",((D$28*10)*$B31),IF(D$27="%w/w DM",(((D$28*10)*($B$28/100))*$B31),IF(D$27="kg/t SAR",(D$28*$B31),IF(D$27="kg/t DM",((D$28*($B$28/100))*$B31),IF(D$27="mg/kg SAR",((D$28*0.001)*$B31),IF(D$27="mg/kg DM",(((D$28*0.001)*($B$28/100))*$B31),"0")))))))*2.291</f>
        <v>34.860428749999997</v>
      </c>
      <c r="E31" s="77">
        <f>(IF(E$27="%w/w SAR",((E$28*10)*$B31),IF(E$27="%w/w DM",(((E$28*10)*($B$28/100))*$B31),IF(E$27="kg/t SAR",(E$28*$B31),IF(E$27="kg/t DM",((E$28*($B$28/100))*$B31),IF(E$27="mg/kg SAR",((E$28*0.001)*$B31),IF(E$27="mg/kg DM",(((E$28*0.001)*($B$28/100))*$B31),"0")))))))*1.205</f>
        <v>7.542366125</v>
      </c>
      <c r="F31" s="77">
        <f>(IF(F$27="%w/w SAR",((F$28*10)*$B31),IF(F$27="%w/w DM",(((F$28*10)*($B$28/100))*$B31),IF(F$27="kg/t SAR",(F$28*$B31),IF(F$27="kg/t DM",((F$28*($B$28/100))*$B31),IF(F$27="mg/kg SAR",((F$28*0.001)*$B31),IF(F$27="mg/kg DM",(((F$28*0.001)*($B$28/100))*$B31),"0")))))))*1.658</f>
        <v>20.728315999999996</v>
      </c>
      <c r="G31" s="77">
        <f t="shared" ref="G31:P46" si="5">IF(G$27="%w/w SAR",((G$28*10)*$B31),IF(G$27="%w/w DM",(((G$28*10)*($B$28/100))*$B31),IF(G$27="kg/t SAR",(G$28*$B31),IF(G$27="kg/t DM",((G$28*($B$28/100))*$B31),IF(G$27="mg/kg SAR",((G$28*0.001)*$B31),IF(G$27="mg/kg DM",(((G$28*0.001)*($B$28/100))*$B31),0))))))</f>
        <v>0.4696475</v>
      </c>
      <c r="H31" s="77">
        <f t="shared" si="5"/>
        <v>2.6731250000000002</v>
      </c>
      <c r="I31" s="77">
        <f t="shared" si="5"/>
        <v>0.43674749999999996</v>
      </c>
      <c r="J31" s="77">
        <f t="shared" si="5"/>
        <v>1.5709750000000001E-2</v>
      </c>
      <c r="K31" s="77">
        <f t="shared" si="5"/>
        <v>1.0116749999999999E-2</v>
      </c>
      <c r="L31" s="77">
        <f t="shared" si="5"/>
        <v>0.21220499999999998</v>
      </c>
      <c r="M31" s="77">
        <f t="shared" si="5"/>
        <v>7.4436250000000009E-2</v>
      </c>
      <c r="N31" s="77">
        <f t="shared" si="5"/>
        <v>1200.8499999999999</v>
      </c>
      <c r="O31" s="77">
        <f t="shared" si="5"/>
        <v>261.55500000000001</v>
      </c>
      <c r="P31" s="77">
        <f t="shared" si="5"/>
        <v>0</v>
      </c>
      <c r="Q31" s="77">
        <f>(IF(Q$27="%w/w SAR",((Q$28*10)*$B31),IF(Q$27="%w/w DM",(((Q$28*10)*($B$28/100))*$B31),IF(Q$27="kg/t SAR",(Q$28*$B31),IF(Q$27="kg/t DM",((Q$28*($B$28/100))*$B31),IF(Q$27="mg/kg SAR",((Q$28*0.001)*$B31),IF(Q$27="mg/kg DM",(((Q$28*0.001)*($B$28/100))*$B31),0)))))))*2.5</f>
        <v>94.793125000000003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0.4334575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250</v>
      </c>
      <c r="C32" s="77">
        <f t="shared" ref="C32:C50" si="6">IF(C$27="%w/w SAR",((C$28*10)*$B32),IF(C$27="%w/w DM",(((C$28*10)*($B$28/100))*$B32),IF(C$27="kg/t SAR",(C$28*$B32),IF(C$27="kg/t DM",((C$28*($B$28/100))*$B32),IF(C$27="mg/kg SAR",((C$28*0.001)*$B32),IF(C$27="mg/kg DM",(((C$28*0.001)*($B$28/100))*$B32),0))))))</f>
        <v>80.4405</v>
      </c>
      <c r="D32" s="77">
        <f t="shared" ref="D32:D50" si="7">(IF(D$27="%w/w SAR",((D$28*10)*$B32),IF(D$27="%w/w DM",(((D$28*10)*($B$28/100))*$B32),IF(D$27="kg/t SAR",(D$28*$B32),IF(D$27="kg/t DM",((D$28*($B$28/100))*$B32),IF(D$27="mg/kg SAR",((D$28*0.001)*$B32),IF(D$27="mg/kg DM",(((D$28*0.001)*($B$28/100))*$B32),"0")))))))*2.291</f>
        <v>34.860428749999997</v>
      </c>
      <c r="E32" s="77">
        <f t="shared" ref="E32:E50" si="8">(IF(E$27="%w/w SAR",((E$28*10)*$B32),IF(E$27="%w/w DM",(((E$28*10)*($B$28/100))*$B32),IF(E$27="kg/t SAR",(E$28*$B32),IF(E$27="kg/t DM",((E$28*($B$28/100))*$B32),IF(E$27="mg/kg SAR",((E$28*0.001)*$B32),IF(E$27="mg/kg DM",(((E$28*0.001)*($B$28/100))*$B32),"0")))))))*1.205</f>
        <v>7.542366125</v>
      </c>
      <c r="F32" s="77">
        <f t="shared" ref="F32:F50" si="9">(IF(F$27="%w/w SAR",((F$28*10)*$B32),IF(F$27="%w/w DM",(((F$28*10)*($B$28/100))*$B32),IF(F$27="kg/t SAR",(F$28*$B32),IF(F$27="kg/t DM",((F$28*($B$28/100))*$B32),IF(F$27="mg/kg SAR",((F$28*0.001)*$B32),IF(F$27="mg/kg DM",(((F$28*0.001)*($B$28/100))*$B32),"0")))))))*1.658</f>
        <v>20.728315999999996</v>
      </c>
      <c r="G32" s="77">
        <f t="shared" si="5"/>
        <v>0.4696475</v>
      </c>
      <c r="H32" s="77">
        <f t="shared" si="5"/>
        <v>2.6731250000000002</v>
      </c>
      <c r="I32" s="77">
        <f t="shared" si="5"/>
        <v>0.43674749999999996</v>
      </c>
      <c r="J32" s="77">
        <f t="shared" si="5"/>
        <v>1.5709750000000001E-2</v>
      </c>
      <c r="K32" s="77">
        <f t="shared" si="5"/>
        <v>1.0116749999999999E-2</v>
      </c>
      <c r="L32" s="77">
        <f t="shared" si="5"/>
        <v>0.21220499999999998</v>
      </c>
      <c r="M32" s="77">
        <f t="shared" si="5"/>
        <v>7.4436250000000009E-2</v>
      </c>
      <c r="N32" s="77">
        <f t="shared" si="5"/>
        <v>1200.8499999999999</v>
      </c>
      <c r="O32" s="77">
        <f t="shared" si="5"/>
        <v>261.55500000000001</v>
      </c>
      <c r="P32" s="77">
        <f t="shared" si="5"/>
        <v>0</v>
      </c>
      <c r="Q32" s="77">
        <f t="shared" ref="Q32:Q50" si="10">(IF(Q$27="%w/w SAR",((Q$28*10)*$B32),IF(Q$27="%w/w DM",(((Q$28*10)*($B$28/100))*$B32),IF(Q$27="kg/t SAR",(Q$28*$B32),IF(Q$27="kg/t DM",((Q$28*($B$28/100))*$B32),IF(Q$27="mg/kg SAR",((Q$28*0.001)*$B32),IF(Q$27="mg/kg DM",(((Q$28*0.001)*($B$28/100))*$B32),0)))))))*2.5</f>
        <v>94.793125000000003</v>
      </c>
      <c r="R32" s="77">
        <f t="shared" ref="R32:U50" si="11">IF(R$27="%w/w SAR",((R$28*10)*$B32),IF(R$27="%w/w DM",(((R$28*10)*($B$28/100))*$B32),IF(R$27="kg/t SAR",(R$28*$B32),IF(R$27="kg/t DM",((R$28*($B$28/100))*$B32),IF(R$27="mg/kg SAR",((R$28*0.001)*$B32),IF(R$27="mg/kg DM",(((R$28*0.001)*($B$28/100))*$B32),0))))))</f>
        <v>0</v>
      </c>
      <c r="S32" s="77">
        <f t="shared" si="11"/>
        <v>0.4334575</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250</v>
      </c>
      <c r="C33" s="77">
        <f t="shared" si="6"/>
        <v>80.4405</v>
      </c>
      <c r="D33" s="77">
        <f t="shared" si="7"/>
        <v>34.860428749999997</v>
      </c>
      <c r="E33" s="77">
        <f t="shared" si="8"/>
        <v>7.542366125</v>
      </c>
      <c r="F33" s="77">
        <f t="shared" si="9"/>
        <v>20.728315999999996</v>
      </c>
      <c r="G33" s="77">
        <f t="shared" si="5"/>
        <v>0.4696475</v>
      </c>
      <c r="H33" s="77">
        <f t="shared" si="5"/>
        <v>2.6731250000000002</v>
      </c>
      <c r="I33" s="77">
        <f t="shared" si="5"/>
        <v>0.43674749999999996</v>
      </c>
      <c r="J33" s="77">
        <f t="shared" si="5"/>
        <v>1.5709750000000001E-2</v>
      </c>
      <c r="K33" s="77">
        <f t="shared" si="5"/>
        <v>1.0116749999999999E-2</v>
      </c>
      <c r="L33" s="77">
        <f t="shared" si="5"/>
        <v>0.21220499999999998</v>
      </c>
      <c r="M33" s="77">
        <f t="shared" si="5"/>
        <v>7.4436250000000009E-2</v>
      </c>
      <c r="N33" s="77">
        <f t="shared" si="5"/>
        <v>1200.8499999999999</v>
      </c>
      <c r="O33" s="77">
        <f t="shared" si="5"/>
        <v>261.55500000000001</v>
      </c>
      <c r="P33" s="77">
        <f t="shared" si="5"/>
        <v>0</v>
      </c>
      <c r="Q33" s="77">
        <f t="shared" si="10"/>
        <v>94.793125000000003</v>
      </c>
      <c r="R33" s="77">
        <f t="shared" si="11"/>
        <v>0</v>
      </c>
      <c r="S33" s="77">
        <f t="shared" si="11"/>
        <v>0.4334575</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250</v>
      </c>
      <c r="C34" s="77">
        <f t="shared" si="6"/>
        <v>80.4405</v>
      </c>
      <c r="D34" s="77">
        <f t="shared" si="7"/>
        <v>34.860428749999997</v>
      </c>
      <c r="E34" s="77">
        <f t="shared" si="8"/>
        <v>7.542366125</v>
      </c>
      <c r="F34" s="77">
        <f t="shared" si="9"/>
        <v>20.728315999999996</v>
      </c>
      <c r="G34" s="77">
        <f t="shared" si="5"/>
        <v>0.4696475</v>
      </c>
      <c r="H34" s="77">
        <f t="shared" si="5"/>
        <v>2.6731250000000002</v>
      </c>
      <c r="I34" s="77">
        <f t="shared" si="5"/>
        <v>0.43674749999999996</v>
      </c>
      <c r="J34" s="77">
        <f t="shared" si="5"/>
        <v>1.5709750000000001E-2</v>
      </c>
      <c r="K34" s="77">
        <f t="shared" si="5"/>
        <v>1.0116749999999999E-2</v>
      </c>
      <c r="L34" s="77">
        <f t="shared" si="5"/>
        <v>0.21220499999999998</v>
      </c>
      <c r="M34" s="77">
        <f t="shared" si="5"/>
        <v>7.4436250000000009E-2</v>
      </c>
      <c r="N34" s="77">
        <f t="shared" si="5"/>
        <v>1200.8499999999999</v>
      </c>
      <c r="O34" s="77">
        <f t="shared" si="5"/>
        <v>261.55500000000001</v>
      </c>
      <c r="P34" s="77">
        <f t="shared" si="5"/>
        <v>0</v>
      </c>
      <c r="Q34" s="77">
        <f t="shared" si="10"/>
        <v>94.793125000000003</v>
      </c>
      <c r="R34" s="77">
        <f t="shared" si="11"/>
        <v>0</v>
      </c>
      <c r="S34" s="77">
        <f t="shared" si="11"/>
        <v>0.4334575</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150</v>
      </c>
      <c r="C35" s="77">
        <f t="shared" si="6"/>
        <v>48.264299999999999</v>
      </c>
      <c r="D35" s="77">
        <f t="shared" si="7"/>
        <v>20.916257249999997</v>
      </c>
      <c r="E35" s="77">
        <f t="shared" si="8"/>
        <v>4.5254196750000002</v>
      </c>
      <c r="F35" s="77">
        <f t="shared" si="9"/>
        <v>12.436989599999999</v>
      </c>
      <c r="G35" s="77">
        <f t="shared" si="5"/>
        <v>0.2817885</v>
      </c>
      <c r="H35" s="77">
        <f t="shared" si="5"/>
        <v>1.6038750000000002</v>
      </c>
      <c r="I35" s="77">
        <f t="shared" si="5"/>
        <v>0.26204849999999996</v>
      </c>
      <c r="J35" s="77">
        <f t="shared" si="5"/>
        <v>9.4258499999999995E-3</v>
      </c>
      <c r="K35" s="77">
        <f t="shared" si="5"/>
        <v>6.0700499999999996E-3</v>
      </c>
      <c r="L35" s="77">
        <f t="shared" si="5"/>
        <v>0.12732299999999999</v>
      </c>
      <c r="M35" s="77">
        <f t="shared" si="5"/>
        <v>4.4661750000000007E-2</v>
      </c>
      <c r="N35" s="77">
        <f t="shared" si="5"/>
        <v>720.51</v>
      </c>
      <c r="O35" s="77">
        <f t="shared" si="5"/>
        <v>156.93299999999999</v>
      </c>
      <c r="P35" s="77">
        <f t="shared" si="5"/>
        <v>0</v>
      </c>
      <c r="Q35" s="77">
        <f t="shared" si="10"/>
        <v>56.875875000000001</v>
      </c>
      <c r="R35" s="77">
        <f t="shared" si="11"/>
        <v>0</v>
      </c>
      <c r="S35" s="77">
        <f t="shared" si="11"/>
        <v>0.26007449999999999</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150</v>
      </c>
      <c r="C36" s="77">
        <f t="shared" si="6"/>
        <v>48.264299999999999</v>
      </c>
      <c r="D36" s="77">
        <f t="shared" si="7"/>
        <v>20.916257249999997</v>
      </c>
      <c r="E36" s="77">
        <f t="shared" si="8"/>
        <v>4.5254196750000002</v>
      </c>
      <c r="F36" s="77">
        <f t="shared" si="9"/>
        <v>12.436989599999999</v>
      </c>
      <c r="G36" s="77">
        <f t="shared" si="5"/>
        <v>0.2817885</v>
      </c>
      <c r="H36" s="77">
        <f t="shared" si="5"/>
        <v>1.6038750000000002</v>
      </c>
      <c r="I36" s="77">
        <f t="shared" si="5"/>
        <v>0.26204849999999996</v>
      </c>
      <c r="J36" s="77">
        <f t="shared" si="5"/>
        <v>9.4258499999999995E-3</v>
      </c>
      <c r="K36" s="77">
        <f t="shared" si="5"/>
        <v>6.0700499999999996E-3</v>
      </c>
      <c r="L36" s="77">
        <f t="shared" si="5"/>
        <v>0.12732299999999999</v>
      </c>
      <c r="M36" s="77">
        <f t="shared" si="5"/>
        <v>4.4661750000000007E-2</v>
      </c>
      <c r="N36" s="77">
        <f t="shared" si="5"/>
        <v>720.51</v>
      </c>
      <c r="O36" s="77">
        <f t="shared" si="5"/>
        <v>156.93299999999999</v>
      </c>
      <c r="P36" s="77">
        <f t="shared" si="5"/>
        <v>0</v>
      </c>
      <c r="Q36" s="77">
        <f t="shared" si="10"/>
        <v>56.875875000000001</v>
      </c>
      <c r="R36" s="77">
        <f t="shared" si="11"/>
        <v>0</v>
      </c>
      <c r="S36" s="77">
        <f t="shared" si="11"/>
        <v>0.26007449999999999</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150</v>
      </c>
      <c r="C37" s="77">
        <f t="shared" si="6"/>
        <v>48.264299999999999</v>
      </c>
      <c r="D37" s="77">
        <f t="shared" si="7"/>
        <v>20.916257249999997</v>
      </c>
      <c r="E37" s="77">
        <f t="shared" si="8"/>
        <v>4.5254196750000002</v>
      </c>
      <c r="F37" s="77">
        <f t="shared" si="9"/>
        <v>12.436989599999999</v>
      </c>
      <c r="G37" s="77">
        <f t="shared" si="5"/>
        <v>0.2817885</v>
      </c>
      <c r="H37" s="77">
        <f t="shared" si="5"/>
        <v>1.6038750000000002</v>
      </c>
      <c r="I37" s="77">
        <f t="shared" si="5"/>
        <v>0.26204849999999996</v>
      </c>
      <c r="J37" s="77">
        <f t="shared" si="5"/>
        <v>9.4258499999999995E-3</v>
      </c>
      <c r="K37" s="77">
        <f t="shared" si="5"/>
        <v>6.0700499999999996E-3</v>
      </c>
      <c r="L37" s="77">
        <f t="shared" si="5"/>
        <v>0.12732299999999999</v>
      </c>
      <c r="M37" s="77">
        <f t="shared" si="5"/>
        <v>4.4661750000000007E-2</v>
      </c>
      <c r="N37" s="77">
        <f t="shared" si="5"/>
        <v>720.51</v>
      </c>
      <c r="O37" s="77">
        <f t="shared" si="5"/>
        <v>156.93299999999999</v>
      </c>
      <c r="P37" s="77">
        <f t="shared" si="5"/>
        <v>0</v>
      </c>
      <c r="Q37" s="77">
        <f t="shared" si="10"/>
        <v>56.875875000000001</v>
      </c>
      <c r="R37" s="77">
        <f t="shared" si="11"/>
        <v>0</v>
      </c>
      <c r="S37" s="77">
        <f t="shared" si="11"/>
        <v>0.26007449999999999</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150</v>
      </c>
      <c r="C39" s="77">
        <f t="shared" si="6"/>
        <v>48.264299999999999</v>
      </c>
      <c r="D39" s="77">
        <f t="shared" si="7"/>
        <v>20.916257249999997</v>
      </c>
      <c r="E39" s="77">
        <f t="shared" si="8"/>
        <v>4.5254196750000002</v>
      </c>
      <c r="F39" s="77">
        <f t="shared" si="9"/>
        <v>12.436989599999999</v>
      </c>
      <c r="G39" s="77">
        <f t="shared" si="5"/>
        <v>0.2817885</v>
      </c>
      <c r="H39" s="77">
        <f t="shared" si="5"/>
        <v>1.6038750000000002</v>
      </c>
      <c r="I39" s="77">
        <f t="shared" si="5"/>
        <v>0.26204849999999996</v>
      </c>
      <c r="J39" s="77">
        <f t="shared" si="5"/>
        <v>9.4258499999999995E-3</v>
      </c>
      <c r="K39" s="77">
        <f t="shared" si="5"/>
        <v>6.0700499999999996E-3</v>
      </c>
      <c r="L39" s="77">
        <f t="shared" si="5"/>
        <v>0.12732299999999999</v>
      </c>
      <c r="M39" s="77">
        <f t="shared" si="5"/>
        <v>4.4661750000000007E-2</v>
      </c>
      <c r="N39" s="77">
        <f t="shared" si="5"/>
        <v>720.51</v>
      </c>
      <c r="O39" s="77">
        <f t="shared" si="5"/>
        <v>156.93299999999999</v>
      </c>
      <c r="P39" s="77">
        <f t="shared" si="5"/>
        <v>0</v>
      </c>
      <c r="Q39" s="77">
        <f t="shared" si="10"/>
        <v>56.875875000000001</v>
      </c>
      <c r="R39" s="77">
        <f t="shared" si="11"/>
        <v>0</v>
      </c>
      <c r="S39" s="77">
        <f t="shared" si="11"/>
        <v>0.26007449999999999</v>
      </c>
      <c r="T39" s="77">
        <f t="shared" si="11"/>
        <v>0</v>
      </c>
      <c r="U39" s="77">
        <f t="shared" si="11"/>
        <v>0</v>
      </c>
      <c r="AB39" s="59"/>
      <c r="AC39" s="59"/>
      <c r="AD39" s="59"/>
      <c r="AE39" s="59"/>
      <c r="AF39" s="59"/>
      <c r="AG39" s="59"/>
      <c r="AH39" s="59"/>
      <c r="AI39" s="59"/>
    </row>
    <row r="40" spans="1:35" s="72" customFormat="1" x14ac:dyDescent="0.3">
      <c r="A40" s="13">
        <f>L8</f>
        <v>3234</v>
      </c>
      <c r="B40" s="15">
        <v>250</v>
      </c>
      <c r="C40" s="77">
        <f t="shared" si="6"/>
        <v>80.4405</v>
      </c>
      <c r="D40" s="77">
        <f t="shared" si="7"/>
        <v>34.860428749999997</v>
      </c>
      <c r="E40" s="77">
        <f t="shared" si="8"/>
        <v>7.542366125</v>
      </c>
      <c r="F40" s="77">
        <f t="shared" si="9"/>
        <v>20.728315999999996</v>
      </c>
      <c r="G40" s="77">
        <f t="shared" si="5"/>
        <v>0.4696475</v>
      </c>
      <c r="H40" s="77">
        <f t="shared" si="5"/>
        <v>2.6731250000000002</v>
      </c>
      <c r="I40" s="77">
        <f t="shared" si="5"/>
        <v>0.43674749999999996</v>
      </c>
      <c r="J40" s="77">
        <f t="shared" si="5"/>
        <v>1.5709750000000001E-2</v>
      </c>
      <c r="K40" s="77">
        <f t="shared" si="5"/>
        <v>1.0116749999999999E-2</v>
      </c>
      <c r="L40" s="77">
        <f t="shared" si="5"/>
        <v>0.21220499999999998</v>
      </c>
      <c r="M40" s="77">
        <f t="shared" si="5"/>
        <v>7.4436250000000009E-2</v>
      </c>
      <c r="N40" s="77">
        <f t="shared" si="5"/>
        <v>1200.8499999999999</v>
      </c>
      <c r="O40" s="77">
        <f t="shared" si="5"/>
        <v>261.55500000000001</v>
      </c>
      <c r="P40" s="77">
        <f t="shared" si="5"/>
        <v>0</v>
      </c>
      <c r="Q40" s="77">
        <f t="shared" si="10"/>
        <v>94.793125000000003</v>
      </c>
      <c r="R40" s="77">
        <f t="shared" si="11"/>
        <v>0</v>
      </c>
      <c r="S40" s="77">
        <f t="shared" si="11"/>
        <v>0.4334575</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Arable</v>
      </c>
      <c r="H58" s="13" t="str">
        <f>I16&amp;" I "&amp;(VLOOKUP(I14,Table2458[],6,FALSE))</f>
        <v>Medium/Clay I Arable</v>
      </c>
      <c r="I58" s="13" t="str">
        <f>J16&amp;" I "&amp;(VLOOKUP(J14,Table2458[],6,FALSE))</f>
        <v>Medium/Clay I Arable</v>
      </c>
      <c r="J58" s="13" t="str">
        <f>K16&amp;" I "&amp;(VLOOKUP(K14,Table2458[],6,FALSE))</f>
        <v>Medium/Clay I Arable</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6.2</v>
      </c>
      <c r="C59" s="76">
        <f>VLOOKUP(D$14,Table2458[],5,FALSE)</f>
        <v>6.2</v>
      </c>
      <c r="D59" s="76">
        <f>VLOOKUP(E$14,Table2458[],5,FALSE)</f>
        <v>6.2</v>
      </c>
      <c r="E59" s="76">
        <f>VLOOKUP(F$14,Table2458[],5,FALSE)</f>
        <v>6.2</v>
      </c>
      <c r="F59" s="76">
        <f>VLOOKUP(G$14,Table2458[],5,FALSE)</f>
        <v>6.7</v>
      </c>
      <c r="G59" s="76">
        <f>VLOOKUP(H$14,Table2458[],5,FALSE)</f>
        <v>6.7</v>
      </c>
      <c r="H59" s="76">
        <f>VLOOKUP(I$14,Table2458[],5,FALSE)</f>
        <v>6.7</v>
      </c>
      <c r="I59" s="76">
        <f>VLOOKUP(J$14,Table2458[],5,FALSE)</f>
        <v>6.7</v>
      </c>
      <c r="J59" s="76">
        <f>VLOOKUP(K$14,Table2458[],5,FALSE)</f>
        <v>6.7</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150</v>
      </c>
      <c r="G62" s="77">
        <f>B36</f>
        <v>150</v>
      </c>
      <c r="H62" s="77">
        <f>B37</f>
        <v>150</v>
      </c>
      <c r="I62" s="77">
        <f>B38</f>
        <v>0</v>
      </c>
      <c r="J62" s="77">
        <f>B39</f>
        <v>150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3" priority="37" operator="equal">
      <formula>"DECREASE"</formula>
    </cfRule>
    <cfRule type="cellIs" dxfId="122" priority="38" operator="equal">
      <formula>"INCREASE"</formula>
    </cfRule>
  </conditionalFormatting>
  <conditionalFormatting sqref="B31:B50 B62:U66">
    <cfRule type="cellIs" dxfId="121" priority="36" operator="greaterThan">
      <formula>$B$51</formula>
    </cfRule>
  </conditionalFormatting>
  <conditionalFormatting sqref="C31:C50">
    <cfRule type="cellIs" dxfId="120" priority="35" operator="greaterThan">
      <formula>$C$51</formula>
    </cfRule>
  </conditionalFormatting>
  <conditionalFormatting sqref="C18:V18">
    <cfRule type="cellIs" dxfId="119" priority="34" operator="equal">
      <formula>0</formula>
    </cfRule>
  </conditionalFormatting>
  <conditionalFormatting sqref="C17:V17">
    <cfRule type="cellIs" dxfId="118" priority="33" operator="equal">
      <formula>0</formula>
    </cfRule>
  </conditionalFormatting>
  <conditionalFormatting sqref="C19:V19">
    <cfRule type="cellIs" dxfId="117" priority="32" operator="equal">
      <formula>0</formula>
    </cfRule>
  </conditionalFormatting>
  <conditionalFormatting sqref="G31:G50">
    <cfRule type="cellIs" dxfId="116" priority="31" operator="greaterThan">
      <formula>$G$51</formula>
    </cfRule>
  </conditionalFormatting>
  <conditionalFormatting sqref="H31:H50">
    <cfRule type="cellIs" dxfId="115" priority="30" operator="greaterThan">
      <formula>$H$51</formula>
    </cfRule>
  </conditionalFormatting>
  <conditionalFormatting sqref="I31:I50">
    <cfRule type="cellIs" dxfId="114" priority="29" operator="greaterThan">
      <formula>$I$51</formula>
    </cfRule>
  </conditionalFormatting>
  <conditionalFormatting sqref="K31:K50">
    <cfRule type="cellIs" dxfId="113" priority="28" operator="greaterThan">
      <formula>$K$51</formula>
    </cfRule>
  </conditionalFormatting>
  <conditionalFormatting sqref="L31:L50">
    <cfRule type="cellIs" dxfId="112" priority="27" operator="greaterThan">
      <formula>$L$51</formula>
    </cfRule>
  </conditionalFormatting>
  <conditionalFormatting sqref="M31:M50">
    <cfRule type="cellIs" dxfId="111" priority="26" operator="greaterThan">
      <formula>$M$51</formula>
    </cfRule>
  </conditionalFormatting>
  <conditionalFormatting sqref="P31:P50">
    <cfRule type="cellIs" dxfId="110" priority="25" operator="greaterThan">
      <formula>$P$51</formula>
    </cfRule>
  </conditionalFormatting>
  <conditionalFormatting sqref="R31:R50">
    <cfRule type="cellIs" dxfId="109" priority="24" operator="greaterThan">
      <formula>$R$51</formula>
    </cfRule>
  </conditionalFormatting>
  <conditionalFormatting sqref="S31:S50">
    <cfRule type="cellIs" dxfId="108" priority="23" operator="greaterThan">
      <formula>$S$51</formula>
    </cfRule>
  </conditionalFormatting>
  <conditionalFormatting sqref="T31:T50">
    <cfRule type="cellIs" dxfId="107" priority="22" operator="greaterThan">
      <formula>$T$51</formula>
    </cfRule>
  </conditionalFormatting>
  <conditionalFormatting sqref="U31:U50">
    <cfRule type="cellIs" dxfId="106" priority="21" operator="greaterThan">
      <formula>$U$51</formula>
    </cfRule>
  </conditionalFormatting>
  <conditionalFormatting sqref="C22:V22">
    <cfRule type="cellIs" dxfId="105" priority="20" operator="equal">
      <formula>0</formula>
    </cfRule>
  </conditionalFormatting>
  <conditionalFormatting sqref="C24:V24">
    <cfRule type="cellIs" dxfId="104" priority="18" operator="equal">
      <formula>"DECREASE"</formula>
    </cfRule>
    <cfRule type="cellIs" dxfId="103" priority="19" operator="equal">
      <formula>"INCREASE"</formula>
    </cfRule>
  </conditionalFormatting>
  <conditionalFormatting sqref="C23:V23">
    <cfRule type="cellIs" dxfId="102" priority="17" operator="equal">
      <formula>0</formula>
    </cfRule>
  </conditionalFormatting>
  <conditionalFormatting sqref="C21:V21">
    <cfRule type="cellIs" dxfId="101" priority="13" operator="equal">
      <formula>0</formula>
    </cfRule>
  </conditionalFormatting>
  <conditionalFormatting sqref="B66:U66">
    <cfRule type="cellIs" dxfId="100" priority="11" operator="equal">
      <formula>"UNDER"</formula>
    </cfRule>
    <cfRule type="cellIs" dxfId="99" priority="12" operator="equal">
      <formula>"OVER"</formula>
    </cfRule>
  </conditionalFormatting>
  <conditionalFormatting sqref="J31:J50">
    <cfRule type="cellIs" dxfId="98" priority="8" operator="greaterThan">
      <formula>$J$51</formula>
    </cfRule>
  </conditionalFormatting>
  <conditionalFormatting sqref="L3">
    <cfRule type="cellIs" dxfId="97" priority="4" operator="lessThan">
      <formula>30</formula>
    </cfRule>
    <cfRule type="cellIs" dxfId="96" priority="5" operator="greaterThanOrEqual">
      <formula>30</formula>
    </cfRule>
  </conditionalFormatting>
  <conditionalFormatting sqref="I1">
    <cfRule type="cellIs" dxfId="95" priority="3" operator="between">
      <formula>0.1</formula>
      <formula>5</formula>
    </cfRule>
  </conditionalFormatting>
  <conditionalFormatting sqref="I2">
    <cfRule type="cellIs" dxfId="94" priority="2" operator="greaterThan">
      <formula>5000.1</formula>
    </cfRule>
  </conditionalFormatting>
  <conditionalFormatting sqref="I3">
    <cfRule type="cellIs" dxfId="9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F1" zoomScale="90" zoomScaleNormal="90" workbookViewId="0">
      <selection activeCell="U28" sqref="U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6.4</v>
      </c>
      <c r="J1" s="119" t="s">
        <v>153</v>
      </c>
      <c r="K1" s="119"/>
      <c r="L1" s="97">
        <v>366</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0.63</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5.8095238095238093</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2.3147118499999997</v>
      </c>
      <c r="D18" s="16">
        <f>$D32</f>
        <v>2.3147118499999997</v>
      </c>
      <c r="E18" s="16">
        <f>$D33</f>
        <v>2.3147118499999997</v>
      </c>
      <c r="F18" s="16">
        <f>$D34</f>
        <v>2.3147118499999997</v>
      </c>
      <c r="G18" s="16">
        <f>$D35</f>
        <v>1.3888271099999998</v>
      </c>
      <c r="H18" s="16">
        <f>$D36</f>
        <v>1.3888271099999998</v>
      </c>
      <c r="I18" s="16">
        <f>$D37</f>
        <v>1.3888271099999998</v>
      </c>
      <c r="J18" s="16">
        <f>$D38</f>
        <v>1.3888271099999998</v>
      </c>
      <c r="K18" s="16">
        <f>$D39</f>
        <v>1.3888271099999998</v>
      </c>
      <c r="L18" s="16">
        <f>$D40</f>
        <v>2.3147118499999997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-77.585288149999997</v>
      </c>
      <c r="D19" s="16">
        <f t="shared" ref="D19:V19" si="1">D18-D17</f>
        <v>-77.585288149999997</v>
      </c>
      <c r="E19" s="16">
        <f t="shared" si="1"/>
        <v>-77.585288149999997</v>
      </c>
      <c r="F19" s="16">
        <f t="shared" si="1"/>
        <v>-77.585288149999997</v>
      </c>
      <c r="G19" s="16">
        <f t="shared" si="1"/>
        <v>-61.611172889999992</v>
      </c>
      <c r="H19" s="16">
        <f t="shared" si="1"/>
        <v>-61.611172889999992</v>
      </c>
      <c r="I19" s="16">
        <f t="shared" si="1"/>
        <v>-253.61117289000001</v>
      </c>
      <c r="J19" s="16">
        <f t="shared" si="1"/>
        <v>-61.611172889999992</v>
      </c>
      <c r="K19" s="16">
        <f t="shared" si="1"/>
        <v>-61.611172889999992</v>
      </c>
      <c r="L19" s="16">
        <f t="shared" si="1"/>
        <v>-77.585288149999997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2.7066107500000003</v>
      </c>
      <c r="D22" s="16">
        <f>$E32</f>
        <v>2.7066107500000003</v>
      </c>
      <c r="E22" s="16">
        <f>$E33</f>
        <v>2.7066107500000003</v>
      </c>
      <c r="F22" s="16">
        <f>$E34</f>
        <v>2.7066107500000003</v>
      </c>
      <c r="G22" s="16">
        <f>$E35</f>
        <v>1.6239664500000002</v>
      </c>
      <c r="H22" s="16">
        <f>$E36</f>
        <v>1.6239664500000002</v>
      </c>
      <c r="I22" s="16">
        <f>$E37</f>
        <v>1.6239664500000002</v>
      </c>
      <c r="J22" s="16">
        <f>$E38</f>
        <v>1.6239664500000002</v>
      </c>
      <c r="K22" s="16">
        <f>$E39</f>
        <v>1.6239664500000002</v>
      </c>
      <c r="L22" s="16">
        <f>$E40</f>
        <v>2.7066107500000003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-279.29338925000002</v>
      </c>
      <c r="D23" s="16">
        <f t="shared" ref="D23:V23" si="3">D22-D21</f>
        <v>-279.29338925000002</v>
      </c>
      <c r="E23" s="16">
        <f t="shared" si="3"/>
        <v>-279.29338925000002</v>
      </c>
      <c r="F23" s="16">
        <f t="shared" si="3"/>
        <v>-279.29338925000002</v>
      </c>
      <c r="G23" s="16">
        <f t="shared" si="3"/>
        <v>-196.37603355000002</v>
      </c>
      <c r="H23" s="16">
        <f t="shared" si="3"/>
        <v>-196.37603355000002</v>
      </c>
      <c r="I23" s="16">
        <f t="shared" si="3"/>
        <v>-358.37603354999999</v>
      </c>
      <c r="J23" s="16">
        <f t="shared" si="3"/>
        <v>-196.37603355000002</v>
      </c>
      <c r="K23" s="16">
        <f t="shared" si="3"/>
        <v>-196.37603355000002</v>
      </c>
      <c r="L23" s="16">
        <f t="shared" si="3"/>
        <v>-279.29338925000002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1.67</v>
      </c>
      <c r="C28" s="15">
        <v>0.63</v>
      </c>
      <c r="D28" s="15">
        <v>2.4199999999999999E-2</v>
      </c>
      <c r="E28" s="15">
        <v>5.3800000000000001E-2</v>
      </c>
      <c r="F28" s="15">
        <v>966</v>
      </c>
      <c r="G28" s="15">
        <v>31</v>
      </c>
      <c r="H28" s="15">
        <v>197</v>
      </c>
      <c r="I28" s="15">
        <v>13</v>
      </c>
      <c r="J28" s="15">
        <v>0.71</v>
      </c>
      <c r="K28" s="23">
        <v>1.21</v>
      </c>
      <c r="L28" s="15">
        <v>5.19</v>
      </c>
      <c r="M28" s="15">
        <v>9.4600000000000009</v>
      </c>
      <c r="N28" s="15">
        <v>3640</v>
      </c>
      <c r="O28" s="15">
        <v>478000</v>
      </c>
      <c r="P28" s="15"/>
      <c r="Q28" s="15">
        <v>4740</v>
      </c>
      <c r="R28" s="15"/>
      <c r="S28" s="15">
        <v>32.5</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250</v>
      </c>
      <c r="C31" s="77">
        <f>IF(C$27="%w/w SAR",((C$28*10)*$B31),IF(C$27="%w/w DM",(((C$28*10)*($B$28/100))*$B31),IF(C$27="kg/t SAR",(C$28*$B31),IF(C$27="kg/t DM",((C$28*($B$28/100))*$B31),IF(C$27="mg/kg SAR",((C$28*0.001)*$B31),IF(C$27="mg/kg DM",(((C$28*0.001)*($B$28/100))*$B31),0))))))</f>
        <v>26.302499999999998</v>
      </c>
      <c r="D31" s="77">
        <f>(IF(D$27="%w/w SAR",((D$28*10)*$B31),IF(D$27="%w/w DM",(((D$28*10)*($B$28/100))*$B31),IF(D$27="kg/t SAR",(D$28*$B31),IF(D$27="kg/t DM",((D$28*($B$28/100))*$B31),IF(D$27="mg/kg SAR",((D$28*0.001)*$B31),IF(D$27="mg/kg DM",(((D$28*0.001)*($B$28/100))*$B31),"0")))))))*2.291</f>
        <v>2.3147118499999997</v>
      </c>
      <c r="E31" s="77">
        <f>(IF(E$27="%w/w SAR",((E$28*10)*$B31),IF(E$27="%w/w DM",(((E$28*10)*($B$28/100))*$B31),IF(E$27="kg/t SAR",(E$28*$B31),IF(E$27="kg/t DM",((E$28*($B$28/100))*$B31),IF(E$27="mg/kg SAR",((E$28*0.001)*$B31),IF(E$27="mg/kg DM",(((E$28*0.001)*($B$28/100))*$B31),"0")))))))*1.205</f>
        <v>2.7066107500000003</v>
      </c>
      <c r="F31" s="77">
        <f>(IF(F$27="%w/w SAR",((F$28*10)*$B31),IF(F$27="%w/w DM",(((F$28*10)*($B$28/100))*$B31),IF(F$27="kg/t SAR",(F$28*$B31),IF(F$27="kg/t DM",((F$28*($B$28/100))*$B31),IF(F$27="mg/kg SAR",((F$28*0.001)*$B31),IF(F$27="mg/kg DM",(((F$28*0.001)*($B$28/100))*$B31),"0")))))))*1.658</f>
        <v>6.6867969</v>
      </c>
      <c r="G31" s="77">
        <f t="shared" ref="G31:P46" si="5">IF(G$27="%w/w SAR",((G$28*10)*$B31),IF(G$27="%w/w DM",(((G$28*10)*($B$28/100))*$B31),IF(G$27="kg/t SAR",(G$28*$B31),IF(G$27="kg/t DM",((G$28*($B$28/100))*$B31),IF(G$27="mg/kg SAR",((G$28*0.001)*$B31),IF(G$27="mg/kg DM",(((G$28*0.001)*($B$28/100))*$B31),0))))))</f>
        <v>0.12942499999999998</v>
      </c>
      <c r="H31" s="77">
        <f t="shared" si="5"/>
        <v>0.82247500000000007</v>
      </c>
      <c r="I31" s="77">
        <f t="shared" si="5"/>
        <v>5.4275000000000004E-2</v>
      </c>
      <c r="J31" s="77">
        <f t="shared" si="5"/>
        <v>2.9642499999999999E-3</v>
      </c>
      <c r="K31" s="77">
        <f t="shared" si="5"/>
        <v>5.0517499999999998E-3</v>
      </c>
      <c r="L31" s="77">
        <f t="shared" si="5"/>
        <v>2.166825E-2</v>
      </c>
      <c r="M31" s="77">
        <f t="shared" si="5"/>
        <v>3.9495500000000003E-2</v>
      </c>
      <c r="N31" s="77">
        <f t="shared" si="5"/>
        <v>15.197000000000001</v>
      </c>
      <c r="O31" s="77">
        <f t="shared" si="5"/>
        <v>1995.6499999999999</v>
      </c>
      <c r="P31" s="77">
        <f t="shared" si="5"/>
        <v>0</v>
      </c>
      <c r="Q31" s="77">
        <f>(IF(Q$27="%w/w SAR",((Q$28*10)*$B31),IF(Q$27="%w/w DM",(((Q$28*10)*($B$28/100))*$B31),IF(Q$27="kg/t SAR",(Q$28*$B31),IF(Q$27="kg/t DM",((Q$28*($B$28/100))*$B31),IF(Q$27="mg/kg SAR",((Q$28*0.001)*$B31),IF(Q$27="mg/kg DM",(((Q$28*0.001)*($B$28/100))*$B31),0)))))))*2.5</f>
        <v>49.473750000000003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0.13568750000000002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250</v>
      </c>
      <c r="C32" s="77">
        <f t="shared" ref="C32:C50" si="6">IF(C$27="%w/w SAR",((C$28*10)*$B32),IF(C$27="%w/w DM",(((C$28*10)*($B$28/100))*$B32),IF(C$27="kg/t SAR",(C$28*$B32),IF(C$27="kg/t DM",((C$28*($B$28/100))*$B32),IF(C$27="mg/kg SAR",((C$28*0.001)*$B32),IF(C$27="mg/kg DM",(((C$28*0.001)*($B$28/100))*$B32),0))))))</f>
        <v>26.302499999999998</v>
      </c>
      <c r="D32" s="77">
        <f t="shared" ref="D32:D50" si="7">(IF(D$27="%w/w SAR",((D$28*10)*$B32),IF(D$27="%w/w DM",(((D$28*10)*($B$28/100))*$B32),IF(D$27="kg/t SAR",(D$28*$B32),IF(D$27="kg/t DM",((D$28*($B$28/100))*$B32),IF(D$27="mg/kg SAR",((D$28*0.001)*$B32),IF(D$27="mg/kg DM",(((D$28*0.001)*($B$28/100))*$B32),"0")))))))*2.291</f>
        <v>2.3147118499999997</v>
      </c>
      <c r="E32" s="77">
        <f t="shared" ref="E32:E50" si="8">(IF(E$27="%w/w SAR",((E$28*10)*$B32),IF(E$27="%w/w DM",(((E$28*10)*($B$28/100))*$B32),IF(E$27="kg/t SAR",(E$28*$B32),IF(E$27="kg/t DM",((E$28*($B$28/100))*$B32),IF(E$27="mg/kg SAR",((E$28*0.001)*$B32),IF(E$27="mg/kg DM",(((E$28*0.001)*($B$28/100))*$B32),"0")))))))*1.205</f>
        <v>2.7066107500000003</v>
      </c>
      <c r="F32" s="77">
        <f t="shared" ref="F32:F50" si="9">(IF(F$27="%w/w SAR",((F$28*10)*$B32),IF(F$27="%w/w DM",(((F$28*10)*($B$28/100))*$B32),IF(F$27="kg/t SAR",(F$28*$B32),IF(F$27="kg/t DM",((F$28*($B$28/100))*$B32),IF(F$27="mg/kg SAR",((F$28*0.001)*$B32),IF(F$27="mg/kg DM",(((F$28*0.001)*($B$28/100))*$B32),"0")))))))*1.658</f>
        <v>6.6867969</v>
      </c>
      <c r="G32" s="77">
        <f t="shared" si="5"/>
        <v>0.12942499999999998</v>
      </c>
      <c r="H32" s="77">
        <f t="shared" si="5"/>
        <v>0.82247500000000007</v>
      </c>
      <c r="I32" s="77">
        <f t="shared" si="5"/>
        <v>5.4275000000000004E-2</v>
      </c>
      <c r="J32" s="77">
        <f t="shared" si="5"/>
        <v>2.9642499999999999E-3</v>
      </c>
      <c r="K32" s="77">
        <f t="shared" si="5"/>
        <v>5.0517499999999998E-3</v>
      </c>
      <c r="L32" s="77">
        <f t="shared" si="5"/>
        <v>2.166825E-2</v>
      </c>
      <c r="M32" s="77">
        <f t="shared" si="5"/>
        <v>3.9495500000000003E-2</v>
      </c>
      <c r="N32" s="77">
        <f t="shared" si="5"/>
        <v>15.197000000000001</v>
      </c>
      <c r="O32" s="77">
        <f t="shared" si="5"/>
        <v>1995.6499999999999</v>
      </c>
      <c r="P32" s="77">
        <f t="shared" si="5"/>
        <v>0</v>
      </c>
      <c r="Q32" s="77">
        <f t="shared" ref="Q32:Q50" si="10">(IF(Q$27="%w/w SAR",((Q$28*10)*$B32),IF(Q$27="%w/w DM",(((Q$28*10)*($B$28/100))*$B32),IF(Q$27="kg/t SAR",(Q$28*$B32),IF(Q$27="kg/t DM",((Q$28*($B$28/100))*$B32),IF(Q$27="mg/kg SAR",((Q$28*0.001)*$B32),IF(Q$27="mg/kg DM",(((Q$28*0.001)*($B$28/100))*$B32),0)))))))*2.5</f>
        <v>49.473750000000003</v>
      </c>
      <c r="R32" s="77">
        <f t="shared" ref="R32:U50" si="11">IF(R$27="%w/w SAR",((R$28*10)*$B32),IF(R$27="%w/w DM",(((R$28*10)*($B$28/100))*$B32),IF(R$27="kg/t SAR",(R$28*$B32),IF(R$27="kg/t DM",((R$28*($B$28/100))*$B32),IF(R$27="mg/kg SAR",((R$28*0.001)*$B32),IF(R$27="mg/kg DM",(((R$28*0.001)*($B$28/100))*$B32),0))))))</f>
        <v>0</v>
      </c>
      <c r="S32" s="77">
        <f t="shared" si="11"/>
        <v>0.13568750000000002</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250</v>
      </c>
      <c r="C33" s="77">
        <f t="shared" si="6"/>
        <v>26.302499999999998</v>
      </c>
      <c r="D33" s="77">
        <f t="shared" si="7"/>
        <v>2.3147118499999997</v>
      </c>
      <c r="E33" s="77">
        <f t="shared" si="8"/>
        <v>2.7066107500000003</v>
      </c>
      <c r="F33" s="77">
        <f t="shared" si="9"/>
        <v>6.6867969</v>
      </c>
      <c r="G33" s="77">
        <f t="shared" si="5"/>
        <v>0.12942499999999998</v>
      </c>
      <c r="H33" s="77">
        <f t="shared" si="5"/>
        <v>0.82247500000000007</v>
      </c>
      <c r="I33" s="77">
        <f t="shared" si="5"/>
        <v>5.4275000000000004E-2</v>
      </c>
      <c r="J33" s="77">
        <f t="shared" si="5"/>
        <v>2.9642499999999999E-3</v>
      </c>
      <c r="K33" s="77">
        <f t="shared" si="5"/>
        <v>5.0517499999999998E-3</v>
      </c>
      <c r="L33" s="77">
        <f t="shared" si="5"/>
        <v>2.166825E-2</v>
      </c>
      <c r="M33" s="77">
        <f t="shared" si="5"/>
        <v>3.9495500000000003E-2</v>
      </c>
      <c r="N33" s="77">
        <f t="shared" si="5"/>
        <v>15.197000000000001</v>
      </c>
      <c r="O33" s="77">
        <f t="shared" si="5"/>
        <v>1995.6499999999999</v>
      </c>
      <c r="P33" s="77">
        <f t="shared" si="5"/>
        <v>0</v>
      </c>
      <c r="Q33" s="77">
        <f t="shared" si="10"/>
        <v>49.473750000000003</v>
      </c>
      <c r="R33" s="77">
        <f t="shared" si="11"/>
        <v>0</v>
      </c>
      <c r="S33" s="77">
        <f t="shared" si="11"/>
        <v>0.13568750000000002</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250</v>
      </c>
      <c r="C34" s="77">
        <f t="shared" si="6"/>
        <v>26.302499999999998</v>
      </c>
      <c r="D34" s="77">
        <f t="shared" si="7"/>
        <v>2.3147118499999997</v>
      </c>
      <c r="E34" s="77">
        <f t="shared" si="8"/>
        <v>2.7066107500000003</v>
      </c>
      <c r="F34" s="77">
        <f t="shared" si="9"/>
        <v>6.6867969</v>
      </c>
      <c r="G34" s="77">
        <f t="shared" si="5"/>
        <v>0.12942499999999998</v>
      </c>
      <c r="H34" s="77">
        <f t="shared" si="5"/>
        <v>0.82247500000000007</v>
      </c>
      <c r="I34" s="77">
        <f t="shared" si="5"/>
        <v>5.4275000000000004E-2</v>
      </c>
      <c r="J34" s="77">
        <f t="shared" si="5"/>
        <v>2.9642499999999999E-3</v>
      </c>
      <c r="K34" s="77">
        <f t="shared" si="5"/>
        <v>5.0517499999999998E-3</v>
      </c>
      <c r="L34" s="77">
        <f t="shared" si="5"/>
        <v>2.166825E-2</v>
      </c>
      <c r="M34" s="77">
        <f t="shared" si="5"/>
        <v>3.9495500000000003E-2</v>
      </c>
      <c r="N34" s="77">
        <f t="shared" si="5"/>
        <v>15.197000000000001</v>
      </c>
      <c r="O34" s="77">
        <f t="shared" si="5"/>
        <v>1995.6499999999999</v>
      </c>
      <c r="P34" s="77">
        <f t="shared" si="5"/>
        <v>0</v>
      </c>
      <c r="Q34" s="77">
        <f t="shared" si="10"/>
        <v>49.473750000000003</v>
      </c>
      <c r="R34" s="77">
        <f t="shared" si="11"/>
        <v>0</v>
      </c>
      <c r="S34" s="77">
        <f t="shared" si="11"/>
        <v>0.13568750000000002</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150</v>
      </c>
      <c r="C35" s="77">
        <f t="shared" si="6"/>
        <v>15.781499999999999</v>
      </c>
      <c r="D35" s="77">
        <f t="shared" si="7"/>
        <v>1.3888271099999998</v>
      </c>
      <c r="E35" s="77">
        <f t="shared" si="8"/>
        <v>1.6239664500000002</v>
      </c>
      <c r="F35" s="77">
        <f t="shared" si="9"/>
        <v>4.012078139999999</v>
      </c>
      <c r="G35" s="77">
        <f t="shared" si="5"/>
        <v>7.7654999999999988E-2</v>
      </c>
      <c r="H35" s="77">
        <f t="shared" si="5"/>
        <v>0.49348500000000001</v>
      </c>
      <c r="I35" s="77">
        <f t="shared" si="5"/>
        <v>3.2565000000000004E-2</v>
      </c>
      <c r="J35" s="77">
        <f t="shared" si="5"/>
        <v>1.7785500000000001E-3</v>
      </c>
      <c r="K35" s="77">
        <f t="shared" si="5"/>
        <v>3.0310499999999995E-3</v>
      </c>
      <c r="L35" s="77">
        <f t="shared" si="5"/>
        <v>1.3000950000000001E-2</v>
      </c>
      <c r="M35" s="77">
        <f t="shared" si="5"/>
        <v>2.3697300000000001E-2</v>
      </c>
      <c r="N35" s="77">
        <f t="shared" si="5"/>
        <v>9.1181999999999999</v>
      </c>
      <c r="O35" s="77">
        <f t="shared" si="5"/>
        <v>1197.3899999999999</v>
      </c>
      <c r="P35" s="77">
        <f t="shared" si="5"/>
        <v>0</v>
      </c>
      <c r="Q35" s="77">
        <f t="shared" si="10"/>
        <v>29.684250000000002</v>
      </c>
      <c r="R35" s="77">
        <f t="shared" si="11"/>
        <v>0</v>
      </c>
      <c r="S35" s="77">
        <f t="shared" si="11"/>
        <v>8.1412500000000013E-2</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150</v>
      </c>
      <c r="C36" s="77">
        <f t="shared" si="6"/>
        <v>15.781499999999999</v>
      </c>
      <c r="D36" s="77">
        <f t="shared" si="7"/>
        <v>1.3888271099999998</v>
      </c>
      <c r="E36" s="77">
        <f t="shared" si="8"/>
        <v>1.6239664500000002</v>
      </c>
      <c r="F36" s="77">
        <f t="shared" si="9"/>
        <v>4.012078139999999</v>
      </c>
      <c r="G36" s="77">
        <f t="shared" si="5"/>
        <v>7.7654999999999988E-2</v>
      </c>
      <c r="H36" s="77">
        <f t="shared" si="5"/>
        <v>0.49348500000000001</v>
      </c>
      <c r="I36" s="77">
        <f t="shared" si="5"/>
        <v>3.2565000000000004E-2</v>
      </c>
      <c r="J36" s="77">
        <f t="shared" si="5"/>
        <v>1.7785500000000001E-3</v>
      </c>
      <c r="K36" s="77">
        <f t="shared" si="5"/>
        <v>3.0310499999999995E-3</v>
      </c>
      <c r="L36" s="77">
        <f t="shared" si="5"/>
        <v>1.3000950000000001E-2</v>
      </c>
      <c r="M36" s="77">
        <f t="shared" si="5"/>
        <v>2.3697300000000001E-2</v>
      </c>
      <c r="N36" s="77">
        <f t="shared" si="5"/>
        <v>9.1181999999999999</v>
      </c>
      <c r="O36" s="77">
        <f t="shared" si="5"/>
        <v>1197.3899999999999</v>
      </c>
      <c r="P36" s="77">
        <f t="shared" si="5"/>
        <v>0</v>
      </c>
      <c r="Q36" s="77">
        <f t="shared" si="10"/>
        <v>29.684250000000002</v>
      </c>
      <c r="R36" s="77">
        <f t="shared" si="11"/>
        <v>0</v>
      </c>
      <c r="S36" s="77">
        <f t="shared" si="11"/>
        <v>8.1412500000000013E-2</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150</v>
      </c>
      <c r="C37" s="77">
        <f t="shared" si="6"/>
        <v>15.781499999999999</v>
      </c>
      <c r="D37" s="77">
        <f t="shared" si="7"/>
        <v>1.3888271099999998</v>
      </c>
      <c r="E37" s="77">
        <f t="shared" si="8"/>
        <v>1.6239664500000002</v>
      </c>
      <c r="F37" s="77">
        <f t="shared" si="9"/>
        <v>4.012078139999999</v>
      </c>
      <c r="G37" s="77">
        <f t="shared" si="5"/>
        <v>7.7654999999999988E-2</v>
      </c>
      <c r="H37" s="77">
        <f t="shared" si="5"/>
        <v>0.49348500000000001</v>
      </c>
      <c r="I37" s="77">
        <f t="shared" si="5"/>
        <v>3.2565000000000004E-2</v>
      </c>
      <c r="J37" s="77">
        <f t="shared" si="5"/>
        <v>1.7785500000000001E-3</v>
      </c>
      <c r="K37" s="77">
        <f t="shared" si="5"/>
        <v>3.0310499999999995E-3</v>
      </c>
      <c r="L37" s="77">
        <f t="shared" si="5"/>
        <v>1.3000950000000001E-2</v>
      </c>
      <c r="M37" s="77">
        <f t="shared" si="5"/>
        <v>2.3697300000000001E-2</v>
      </c>
      <c r="N37" s="77">
        <f t="shared" si="5"/>
        <v>9.1181999999999999</v>
      </c>
      <c r="O37" s="77">
        <f t="shared" si="5"/>
        <v>1197.3899999999999</v>
      </c>
      <c r="P37" s="77">
        <f t="shared" si="5"/>
        <v>0</v>
      </c>
      <c r="Q37" s="77">
        <f t="shared" si="10"/>
        <v>29.684250000000002</v>
      </c>
      <c r="R37" s="77">
        <f t="shared" si="11"/>
        <v>0</v>
      </c>
      <c r="S37" s="77">
        <f t="shared" si="11"/>
        <v>8.1412500000000013E-2</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150</v>
      </c>
      <c r="C38" s="77">
        <f t="shared" si="6"/>
        <v>15.781499999999999</v>
      </c>
      <c r="D38" s="77">
        <f t="shared" si="7"/>
        <v>1.3888271099999998</v>
      </c>
      <c r="E38" s="77">
        <f t="shared" si="8"/>
        <v>1.6239664500000002</v>
      </c>
      <c r="F38" s="77">
        <f t="shared" si="9"/>
        <v>4.012078139999999</v>
      </c>
      <c r="G38" s="77">
        <f t="shared" si="5"/>
        <v>7.7654999999999988E-2</v>
      </c>
      <c r="H38" s="77">
        <f t="shared" si="5"/>
        <v>0.49348500000000001</v>
      </c>
      <c r="I38" s="77">
        <f t="shared" si="5"/>
        <v>3.2565000000000004E-2</v>
      </c>
      <c r="J38" s="77">
        <f t="shared" si="5"/>
        <v>1.7785500000000001E-3</v>
      </c>
      <c r="K38" s="77">
        <f t="shared" si="5"/>
        <v>3.0310499999999995E-3</v>
      </c>
      <c r="L38" s="77">
        <f t="shared" si="5"/>
        <v>1.3000950000000001E-2</v>
      </c>
      <c r="M38" s="77">
        <f t="shared" si="5"/>
        <v>2.3697300000000001E-2</v>
      </c>
      <c r="N38" s="77">
        <f t="shared" si="5"/>
        <v>9.1181999999999999</v>
      </c>
      <c r="O38" s="77">
        <f t="shared" si="5"/>
        <v>1197.3899999999999</v>
      </c>
      <c r="P38" s="77">
        <f t="shared" si="5"/>
        <v>0</v>
      </c>
      <c r="Q38" s="77">
        <f t="shared" si="10"/>
        <v>29.684250000000002</v>
      </c>
      <c r="R38" s="77">
        <f t="shared" si="11"/>
        <v>0</v>
      </c>
      <c r="S38" s="77">
        <f t="shared" si="11"/>
        <v>8.1412500000000013E-2</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150</v>
      </c>
      <c r="C39" s="77">
        <f t="shared" si="6"/>
        <v>15.781499999999999</v>
      </c>
      <c r="D39" s="77">
        <f t="shared" si="7"/>
        <v>1.3888271099999998</v>
      </c>
      <c r="E39" s="77">
        <f t="shared" si="8"/>
        <v>1.6239664500000002</v>
      </c>
      <c r="F39" s="77">
        <f t="shared" si="9"/>
        <v>4.012078139999999</v>
      </c>
      <c r="G39" s="77">
        <f t="shared" si="5"/>
        <v>7.7654999999999988E-2</v>
      </c>
      <c r="H39" s="77">
        <f t="shared" si="5"/>
        <v>0.49348500000000001</v>
      </c>
      <c r="I39" s="77">
        <f t="shared" si="5"/>
        <v>3.2565000000000004E-2</v>
      </c>
      <c r="J39" s="77">
        <f t="shared" si="5"/>
        <v>1.7785500000000001E-3</v>
      </c>
      <c r="K39" s="77">
        <f t="shared" si="5"/>
        <v>3.0310499999999995E-3</v>
      </c>
      <c r="L39" s="77">
        <f t="shared" si="5"/>
        <v>1.3000950000000001E-2</v>
      </c>
      <c r="M39" s="77">
        <f t="shared" si="5"/>
        <v>2.3697300000000001E-2</v>
      </c>
      <c r="N39" s="77">
        <f t="shared" si="5"/>
        <v>9.1181999999999999</v>
      </c>
      <c r="O39" s="77">
        <f t="shared" si="5"/>
        <v>1197.3899999999999</v>
      </c>
      <c r="P39" s="77">
        <f t="shared" si="5"/>
        <v>0</v>
      </c>
      <c r="Q39" s="77">
        <f t="shared" si="10"/>
        <v>29.684250000000002</v>
      </c>
      <c r="R39" s="77">
        <f t="shared" si="11"/>
        <v>0</v>
      </c>
      <c r="S39" s="77">
        <f t="shared" si="11"/>
        <v>8.1412500000000013E-2</v>
      </c>
      <c r="T39" s="77">
        <f t="shared" si="11"/>
        <v>0</v>
      </c>
      <c r="U39" s="77">
        <f t="shared" si="11"/>
        <v>0</v>
      </c>
      <c r="AB39" s="59"/>
      <c r="AC39" s="59"/>
      <c r="AD39" s="59"/>
      <c r="AE39" s="59"/>
      <c r="AF39" s="59"/>
      <c r="AG39" s="59"/>
      <c r="AH39" s="59"/>
      <c r="AI39" s="59"/>
    </row>
    <row r="40" spans="1:35" s="72" customFormat="1" x14ac:dyDescent="0.3">
      <c r="A40" s="13">
        <f>L8</f>
        <v>3234</v>
      </c>
      <c r="B40" s="15">
        <v>250</v>
      </c>
      <c r="C40" s="77">
        <f t="shared" si="6"/>
        <v>26.302499999999998</v>
      </c>
      <c r="D40" s="77">
        <f t="shared" si="7"/>
        <v>2.3147118499999997</v>
      </c>
      <c r="E40" s="77">
        <f t="shared" si="8"/>
        <v>2.7066107500000003</v>
      </c>
      <c r="F40" s="77">
        <f t="shared" si="9"/>
        <v>6.6867969</v>
      </c>
      <c r="G40" s="77">
        <f t="shared" si="5"/>
        <v>0.12942499999999998</v>
      </c>
      <c r="H40" s="77">
        <f t="shared" si="5"/>
        <v>0.82247500000000007</v>
      </c>
      <c r="I40" s="77">
        <f t="shared" si="5"/>
        <v>5.4275000000000004E-2</v>
      </c>
      <c r="J40" s="77">
        <f t="shared" si="5"/>
        <v>2.9642499999999999E-3</v>
      </c>
      <c r="K40" s="77">
        <f t="shared" si="5"/>
        <v>5.0517499999999998E-3</v>
      </c>
      <c r="L40" s="77">
        <f t="shared" si="5"/>
        <v>2.166825E-2</v>
      </c>
      <c r="M40" s="77">
        <f t="shared" si="5"/>
        <v>3.9495500000000003E-2</v>
      </c>
      <c r="N40" s="77">
        <f t="shared" si="5"/>
        <v>15.197000000000001</v>
      </c>
      <c r="O40" s="77">
        <f t="shared" si="5"/>
        <v>1995.6499999999999</v>
      </c>
      <c r="P40" s="77">
        <f t="shared" si="5"/>
        <v>0</v>
      </c>
      <c r="Q40" s="77">
        <f t="shared" si="10"/>
        <v>49.473750000000003</v>
      </c>
      <c r="R40" s="77">
        <f t="shared" si="11"/>
        <v>0</v>
      </c>
      <c r="S40" s="77">
        <f t="shared" si="11"/>
        <v>0.13568750000000002</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Arable</v>
      </c>
      <c r="H58" s="13" t="str">
        <f>I16&amp;" I "&amp;(VLOOKUP(I14,Table24581113[],6,FALSE))</f>
        <v>Medium/Clay I Arable</v>
      </c>
      <c r="I58" s="13" t="str">
        <f>J16&amp;" I "&amp;(VLOOKUP(J14,Table24581113[],6,FALSE))</f>
        <v>Medium/Clay I Arable</v>
      </c>
      <c r="J58" s="13" t="str">
        <f>K16&amp;" I "&amp;(VLOOKUP(K14,Table24581113[],6,FALSE))</f>
        <v>Medium/Clay I Arable</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5">
      <c r="A59" s="111" t="s">
        <v>132</v>
      </c>
      <c r="B59" s="76">
        <f>VLOOKUP(C$14,Table24581113[],5,FALSE)</f>
        <v>6.2</v>
      </c>
      <c r="C59" s="76">
        <f>VLOOKUP(D$14,Table24581113[],5,FALSE)</f>
        <v>6.2</v>
      </c>
      <c r="D59" s="76">
        <f>VLOOKUP(E$14,Table24581113[],5,FALSE)</f>
        <v>6.2</v>
      </c>
      <c r="E59" s="76">
        <f>VLOOKUP(F$14,Table24581113[],5,FALSE)</f>
        <v>6.2</v>
      </c>
      <c r="F59" s="76">
        <f>VLOOKUP(G$14,Table24581113[],5,FALSE)</f>
        <v>6.7</v>
      </c>
      <c r="G59" s="76">
        <f>VLOOKUP(H$14,Table24581113[],5,FALSE)</f>
        <v>6.7</v>
      </c>
      <c r="H59" s="76">
        <f>VLOOKUP(I$14,Table24581113[],5,FALSE)</f>
        <v>6.7</v>
      </c>
      <c r="I59" s="76">
        <f>VLOOKUP(J$14,Table24581113[],5,FALSE)</f>
        <v>6.7</v>
      </c>
      <c r="J59" s="76">
        <f>VLOOKUP(K$14,Table24581113[],5,FALSE)</f>
        <v>6.7</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150</v>
      </c>
      <c r="G62" s="77">
        <f>B36</f>
        <v>150</v>
      </c>
      <c r="H62" s="77">
        <f>B37</f>
        <v>150</v>
      </c>
      <c r="I62" s="77">
        <f>B38</f>
        <v>150</v>
      </c>
      <c r="J62" s="77">
        <f>B39</f>
        <v>150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92" priority="37" operator="equal">
      <formula>"DECREASE"</formula>
    </cfRule>
    <cfRule type="cellIs" dxfId="91" priority="38" operator="equal">
      <formula>"INCREASE"</formula>
    </cfRule>
  </conditionalFormatting>
  <conditionalFormatting sqref="B31:B50 B62:U66">
    <cfRule type="cellIs" dxfId="90" priority="36" operator="greaterThan">
      <formula>$B$51</formula>
    </cfRule>
  </conditionalFormatting>
  <conditionalFormatting sqref="C31:C50">
    <cfRule type="cellIs" dxfId="89" priority="35" operator="greaterThan">
      <formula>$C$51</formula>
    </cfRule>
  </conditionalFormatting>
  <conditionalFormatting sqref="C18:V18">
    <cfRule type="cellIs" dxfId="88" priority="34" operator="equal">
      <formula>0</formula>
    </cfRule>
  </conditionalFormatting>
  <conditionalFormatting sqref="C17:V17">
    <cfRule type="cellIs" dxfId="87" priority="33" operator="equal">
      <formula>0</formula>
    </cfRule>
  </conditionalFormatting>
  <conditionalFormatting sqref="C19:V19">
    <cfRule type="cellIs" dxfId="86" priority="32" operator="equal">
      <formula>0</formula>
    </cfRule>
  </conditionalFormatting>
  <conditionalFormatting sqref="G31:G50">
    <cfRule type="cellIs" dxfId="85" priority="31" operator="greaterThan">
      <formula>$G$51</formula>
    </cfRule>
  </conditionalFormatting>
  <conditionalFormatting sqref="H31:H50">
    <cfRule type="cellIs" dxfId="84" priority="30" operator="greaterThan">
      <formula>$H$51</formula>
    </cfRule>
  </conditionalFormatting>
  <conditionalFormatting sqref="I31:I50">
    <cfRule type="cellIs" dxfId="83" priority="29" operator="greaterThan">
      <formula>$I$51</formula>
    </cfRule>
  </conditionalFormatting>
  <conditionalFormatting sqref="K31:K50">
    <cfRule type="cellIs" dxfId="82" priority="28" operator="greaterThan">
      <formula>$K$51</formula>
    </cfRule>
  </conditionalFormatting>
  <conditionalFormatting sqref="L31:L50">
    <cfRule type="cellIs" dxfId="81" priority="27" operator="greaterThan">
      <formula>$L$51</formula>
    </cfRule>
  </conditionalFormatting>
  <conditionalFormatting sqref="M31:M50">
    <cfRule type="cellIs" dxfId="80" priority="26" operator="greaterThan">
      <formula>$M$51</formula>
    </cfRule>
  </conditionalFormatting>
  <conditionalFormatting sqref="P31:P50">
    <cfRule type="cellIs" dxfId="79" priority="25" operator="greaterThan">
      <formula>$P$51</formula>
    </cfRule>
  </conditionalFormatting>
  <conditionalFormatting sqref="R31:R50">
    <cfRule type="cellIs" dxfId="78" priority="24" operator="greaterThan">
      <formula>$R$51</formula>
    </cfRule>
  </conditionalFormatting>
  <conditionalFormatting sqref="S31:S50">
    <cfRule type="cellIs" dxfId="77" priority="23" operator="greaterThan">
      <formula>$S$51</formula>
    </cfRule>
  </conditionalFormatting>
  <conditionalFormatting sqref="T31:T50">
    <cfRule type="cellIs" dxfId="76" priority="22" operator="greaterThan">
      <formula>$T$51</formula>
    </cfRule>
  </conditionalFormatting>
  <conditionalFormatting sqref="U31:U50">
    <cfRule type="cellIs" dxfId="75" priority="21" operator="greaterThan">
      <formula>$U$51</formula>
    </cfRule>
  </conditionalFormatting>
  <conditionalFormatting sqref="C22:V22">
    <cfRule type="cellIs" dxfId="74" priority="20" operator="equal">
      <formula>0</formula>
    </cfRule>
  </conditionalFormatting>
  <conditionalFormatting sqref="C24:V24">
    <cfRule type="cellIs" dxfId="73" priority="18" operator="equal">
      <formula>"DECREASE"</formula>
    </cfRule>
    <cfRule type="cellIs" dxfId="72" priority="19" operator="equal">
      <formula>"INCREASE"</formula>
    </cfRule>
  </conditionalFormatting>
  <conditionalFormatting sqref="C23:V23">
    <cfRule type="cellIs" dxfId="71" priority="17" operator="equal">
      <formula>0</formula>
    </cfRule>
  </conditionalFormatting>
  <conditionalFormatting sqref="C21:V21">
    <cfRule type="cellIs" dxfId="70" priority="13" operator="equal">
      <formula>0</formula>
    </cfRule>
  </conditionalFormatting>
  <conditionalFormatting sqref="B66:U66">
    <cfRule type="cellIs" dxfId="69" priority="11" operator="equal">
      <formula>"UNDER"</formula>
    </cfRule>
    <cfRule type="cellIs" dxfId="68" priority="12" operator="equal">
      <formula>"OVER"</formula>
    </cfRule>
  </conditionalFormatting>
  <conditionalFormatting sqref="J31:J50">
    <cfRule type="cellIs" dxfId="67" priority="8" operator="greaterThan">
      <formula>$J$51</formula>
    </cfRule>
  </conditionalFormatting>
  <conditionalFormatting sqref="L3">
    <cfRule type="cellIs" dxfId="66" priority="4" operator="lessThan">
      <formula>30</formula>
    </cfRule>
    <cfRule type="cellIs" dxfId="65" priority="5" operator="greaterThanOrEqual">
      <formula>30</formula>
    </cfRule>
  </conditionalFormatting>
  <conditionalFormatting sqref="I1">
    <cfRule type="cellIs" dxfId="64" priority="3" operator="between">
      <formula>0.1</formula>
      <formula>5</formula>
    </cfRule>
  </conditionalFormatting>
  <conditionalFormatting sqref="I2">
    <cfRule type="cellIs" dxfId="63" priority="2" operator="greaterThan">
      <formula>5000.1</formula>
    </cfRule>
  </conditionalFormatting>
  <conditionalFormatting sqref="I3">
    <cfRule type="cellIs" dxfId="62"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U28" sqref="U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6.6</v>
      </c>
      <c r="J1" s="119" t="s">
        <v>153</v>
      </c>
      <c r="K1" s="119"/>
      <c r="L1" s="97">
        <v>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0.19700000000000001</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6.5989847715736047</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2.9753216999999994</v>
      </c>
      <c r="D18" s="16">
        <f>$D32</f>
        <v>2.9753216999999994</v>
      </c>
      <c r="E18" s="16">
        <f>$D33</f>
        <v>2.9753216999999994</v>
      </c>
      <c r="F18" s="16">
        <f>$D34</f>
        <v>2.9753216999999994</v>
      </c>
      <c r="G18" s="16">
        <f>$D35</f>
        <v>1.7851930199999997</v>
      </c>
      <c r="H18" s="16">
        <f>$D36</f>
        <v>1.7851930199999997</v>
      </c>
      <c r="I18" s="16">
        <f>$D37</f>
        <v>1.7851930199999997</v>
      </c>
      <c r="J18" s="16">
        <f>$D38</f>
        <v>1.7851930199999997</v>
      </c>
      <c r="K18" s="16">
        <f>$D39</f>
        <v>1.7851930199999997</v>
      </c>
      <c r="L18" s="16">
        <f>$D40</f>
        <v>2.9753216999999994</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-76.924678299999997</v>
      </c>
      <c r="D19" s="16">
        <f t="shared" ref="D19:V19" si="1">D18-D17</f>
        <v>-76.924678299999997</v>
      </c>
      <c r="E19" s="16">
        <f t="shared" si="1"/>
        <v>-76.924678299999997</v>
      </c>
      <c r="F19" s="16">
        <f t="shared" si="1"/>
        <v>-76.924678299999997</v>
      </c>
      <c r="G19" s="16">
        <f t="shared" si="1"/>
        <v>-61.214806979999992</v>
      </c>
      <c r="H19" s="16">
        <f t="shared" si="1"/>
        <v>-61.214806979999992</v>
      </c>
      <c r="I19" s="16">
        <f t="shared" si="1"/>
        <v>-253.21480697999999</v>
      </c>
      <c r="J19" s="16">
        <f t="shared" si="1"/>
        <v>-61.214806979999992</v>
      </c>
      <c r="K19" s="16">
        <f t="shared" si="1"/>
        <v>-61.214806979999992</v>
      </c>
      <c r="L19" s="16">
        <f t="shared" si="1"/>
        <v>-76.924678299999997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4.4692245000000002</v>
      </c>
      <c r="D22" s="16">
        <f>$E32</f>
        <v>4.4692245000000002</v>
      </c>
      <c r="E22" s="16">
        <f>$E33</f>
        <v>4.4692245000000002</v>
      </c>
      <c r="F22" s="16">
        <f>$E34</f>
        <v>4.4692245000000002</v>
      </c>
      <c r="G22" s="16">
        <f>$E35</f>
        <v>2.6815346999999998</v>
      </c>
      <c r="H22" s="16">
        <f>$E36</f>
        <v>2.6815346999999998</v>
      </c>
      <c r="I22" s="16">
        <f>$E37</f>
        <v>2.6815346999999998</v>
      </c>
      <c r="J22" s="16">
        <f>$E38</f>
        <v>2.6815346999999998</v>
      </c>
      <c r="K22" s="16">
        <f>$E39</f>
        <v>2.6815346999999998</v>
      </c>
      <c r="L22" s="16">
        <f>$E40</f>
        <v>4.4692245000000002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-277.5307755</v>
      </c>
      <c r="D23" s="16">
        <f t="shared" ref="D23:V23" si="3">D22-D21</f>
        <v>-277.5307755</v>
      </c>
      <c r="E23" s="16">
        <f t="shared" si="3"/>
        <v>-277.5307755</v>
      </c>
      <c r="F23" s="16">
        <f t="shared" si="3"/>
        <v>-277.5307755</v>
      </c>
      <c r="G23" s="16">
        <f t="shared" si="3"/>
        <v>-195.31846530000004</v>
      </c>
      <c r="H23" s="16">
        <f t="shared" si="3"/>
        <v>-195.31846530000004</v>
      </c>
      <c r="I23" s="16">
        <f t="shared" si="3"/>
        <v>-357.31846530000001</v>
      </c>
      <c r="J23" s="16">
        <f t="shared" si="3"/>
        <v>-195.31846530000004</v>
      </c>
      <c r="K23" s="16">
        <f t="shared" si="3"/>
        <v>-195.31846530000004</v>
      </c>
      <c r="L23" s="16">
        <f t="shared" si="3"/>
        <v>-277.5307755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4.68</v>
      </c>
      <c r="C28" s="15">
        <v>0.19700000000000001</v>
      </c>
      <c r="D28" s="15">
        <v>1.11E-2</v>
      </c>
      <c r="E28" s="15">
        <v>3.1699999999999999E-2</v>
      </c>
      <c r="F28" s="15">
        <v>493</v>
      </c>
      <c r="G28" s="15">
        <v>9.74</v>
      </c>
      <c r="H28" s="15">
        <v>62.5</v>
      </c>
      <c r="I28" s="15">
        <v>6.2</v>
      </c>
      <c r="J28" s="15">
        <v>0.22</v>
      </c>
      <c r="K28" s="23">
        <v>0.43</v>
      </c>
      <c r="L28" s="15">
        <v>1.84</v>
      </c>
      <c r="M28" s="15">
        <v>4.3</v>
      </c>
      <c r="N28" s="15">
        <v>1230</v>
      </c>
      <c r="O28" s="15">
        <v>147000</v>
      </c>
      <c r="P28" s="15"/>
      <c r="Q28" s="15">
        <v>1510</v>
      </c>
      <c r="R28" s="15"/>
      <c r="S28" s="15">
        <v>14.2</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250</v>
      </c>
      <c r="C31" s="77">
        <f>IF(C$27="%w/w SAR",((C$28*10)*$B31),IF(C$27="%w/w DM",(((C$28*10)*($B$28/100))*$B31),IF(C$27="kg/t SAR",(C$28*$B31),IF(C$27="kg/t DM",((C$28*($B$28/100))*$B31),IF(C$27="mg/kg SAR",((C$28*0.001)*$B31),IF(C$27="mg/kg DM",(((C$28*0.001)*($B$28/100))*$B31),0))))))</f>
        <v>23.048999999999999</v>
      </c>
      <c r="D31" s="77">
        <f>(IF(D$27="%w/w SAR",((D$28*10)*$B31),IF(D$27="%w/w DM",(((D$28*10)*($B$28/100))*$B31),IF(D$27="kg/t SAR",(D$28*$B31),IF(D$27="kg/t DM",((D$28*($B$28/100))*$B31),IF(D$27="mg/kg SAR",((D$28*0.001)*$B31),IF(D$27="mg/kg DM",(((D$28*0.001)*($B$28/100))*$B31),"0")))))))*2.291</f>
        <v>2.9753216999999994</v>
      </c>
      <c r="E31" s="77">
        <f>(IF(E$27="%w/w SAR",((E$28*10)*$B31),IF(E$27="%w/w DM",(((E$28*10)*($B$28/100))*$B31),IF(E$27="kg/t SAR",(E$28*$B31),IF(E$27="kg/t DM",((E$28*($B$28/100))*$B31),IF(E$27="mg/kg SAR",((E$28*0.001)*$B31),IF(E$27="mg/kg DM",(((E$28*0.001)*($B$28/100))*$B31),"0")))))))*1.205</f>
        <v>4.4692245000000002</v>
      </c>
      <c r="F31" s="77">
        <f>(IF(F$27="%w/w SAR",((F$28*10)*$B31),IF(F$27="%w/w DM",(((F$28*10)*($B$28/100))*$B31),IF(F$27="kg/t SAR",(F$28*$B31),IF(F$27="kg/t DM",((F$28*($B$28/100))*$B31),IF(F$27="mg/kg SAR",((F$28*0.001)*$B31),IF(F$27="mg/kg DM",(((F$28*0.001)*($B$28/100))*$B31),"0")))))))*1.658</f>
        <v>9.5635097999999967</v>
      </c>
      <c r="G31" s="77">
        <f t="shared" ref="G31:P46" si="5">IF(G$27="%w/w SAR",((G$28*10)*$B31),IF(G$27="%w/w DM",(((G$28*10)*($B$28/100))*$B31),IF(G$27="kg/t SAR",(G$28*$B31),IF(G$27="kg/t DM",((G$28*($B$28/100))*$B31),IF(G$27="mg/kg SAR",((G$28*0.001)*$B31),IF(G$27="mg/kg DM",(((G$28*0.001)*($B$28/100))*$B31),0))))))</f>
        <v>0.11395799999999999</v>
      </c>
      <c r="H31" s="77">
        <f t="shared" si="5"/>
        <v>0.73124999999999996</v>
      </c>
      <c r="I31" s="77">
        <f t="shared" si="5"/>
        <v>7.2539999999999993E-2</v>
      </c>
      <c r="J31" s="77">
        <f t="shared" si="5"/>
        <v>2.5739999999999999E-3</v>
      </c>
      <c r="K31" s="77">
        <f t="shared" si="5"/>
        <v>5.030999999999999E-3</v>
      </c>
      <c r="L31" s="77">
        <f t="shared" si="5"/>
        <v>2.1527999999999999E-2</v>
      </c>
      <c r="M31" s="77">
        <f t="shared" si="5"/>
        <v>5.0309999999999994E-2</v>
      </c>
      <c r="N31" s="77">
        <f t="shared" si="5"/>
        <v>14.390999999999998</v>
      </c>
      <c r="O31" s="77">
        <f t="shared" si="5"/>
        <v>1719.8999999999999</v>
      </c>
      <c r="P31" s="77">
        <f t="shared" si="5"/>
        <v>0</v>
      </c>
      <c r="Q31" s="77">
        <f>(IF(Q$27="%w/w SAR",((Q$28*10)*$B31),IF(Q$27="%w/w DM",(((Q$28*10)*($B$28/100))*$B31),IF(Q$27="kg/t SAR",(Q$28*$B31),IF(Q$27="kg/t DM",((Q$28*($B$28/100))*$B31),IF(Q$27="mg/kg SAR",((Q$28*0.001)*$B31),IF(Q$27="mg/kg DM",(((Q$28*0.001)*($B$28/100))*$B31),0)))))))*2.5</f>
        <v>44.167499999999997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0.16613999999999998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250</v>
      </c>
      <c r="C32" s="77">
        <f t="shared" ref="C32:C50" si="6">IF(C$27="%w/w SAR",((C$28*10)*$B32),IF(C$27="%w/w DM",(((C$28*10)*($B$28/100))*$B32),IF(C$27="kg/t SAR",(C$28*$B32),IF(C$27="kg/t DM",((C$28*($B$28/100))*$B32),IF(C$27="mg/kg SAR",((C$28*0.001)*$B32),IF(C$27="mg/kg DM",(((C$28*0.001)*($B$28/100))*$B32),0))))))</f>
        <v>23.048999999999999</v>
      </c>
      <c r="D32" s="77">
        <f t="shared" ref="D32:D50" si="7">(IF(D$27="%w/w SAR",((D$28*10)*$B32),IF(D$27="%w/w DM",(((D$28*10)*($B$28/100))*$B32),IF(D$27="kg/t SAR",(D$28*$B32),IF(D$27="kg/t DM",((D$28*($B$28/100))*$B32),IF(D$27="mg/kg SAR",((D$28*0.001)*$B32),IF(D$27="mg/kg DM",(((D$28*0.001)*($B$28/100))*$B32),"0")))))))*2.291</f>
        <v>2.9753216999999994</v>
      </c>
      <c r="E32" s="77">
        <f t="shared" ref="E32:E50" si="8">(IF(E$27="%w/w SAR",((E$28*10)*$B32),IF(E$27="%w/w DM",(((E$28*10)*($B$28/100))*$B32),IF(E$27="kg/t SAR",(E$28*$B32),IF(E$27="kg/t DM",((E$28*($B$28/100))*$B32),IF(E$27="mg/kg SAR",((E$28*0.001)*$B32),IF(E$27="mg/kg DM",(((E$28*0.001)*($B$28/100))*$B32),"0")))))))*1.205</f>
        <v>4.4692245000000002</v>
      </c>
      <c r="F32" s="77">
        <f t="shared" ref="F32:F50" si="9">(IF(F$27="%w/w SAR",((F$28*10)*$B32),IF(F$27="%w/w DM",(((F$28*10)*($B$28/100))*$B32),IF(F$27="kg/t SAR",(F$28*$B32),IF(F$27="kg/t DM",((F$28*($B$28/100))*$B32),IF(F$27="mg/kg SAR",((F$28*0.001)*$B32),IF(F$27="mg/kg DM",(((F$28*0.001)*($B$28/100))*$B32),"0")))))))*1.658</f>
        <v>9.5635097999999967</v>
      </c>
      <c r="G32" s="77">
        <f t="shared" si="5"/>
        <v>0.11395799999999999</v>
      </c>
      <c r="H32" s="77">
        <f t="shared" si="5"/>
        <v>0.73124999999999996</v>
      </c>
      <c r="I32" s="77">
        <f t="shared" si="5"/>
        <v>7.2539999999999993E-2</v>
      </c>
      <c r="J32" s="77">
        <f t="shared" si="5"/>
        <v>2.5739999999999999E-3</v>
      </c>
      <c r="K32" s="77">
        <f t="shared" si="5"/>
        <v>5.030999999999999E-3</v>
      </c>
      <c r="L32" s="77">
        <f t="shared" si="5"/>
        <v>2.1527999999999999E-2</v>
      </c>
      <c r="M32" s="77">
        <f t="shared" si="5"/>
        <v>5.0309999999999994E-2</v>
      </c>
      <c r="N32" s="77">
        <f t="shared" si="5"/>
        <v>14.390999999999998</v>
      </c>
      <c r="O32" s="77">
        <f t="shared" si="5"/>
        <v>1719.8999999999999</v>
      </c>
      <c r="P32" s="77">
        <f t="shared" si="5"/>
        <v>0</v>
      </c>
      <c r="Q32" s="77">
        <f t="shared" ref="Q32:Q50" si="10">(IF(Q$27="%w/w SAR",((Q$28*10)*$B32),IF(Q$27="%w/w DM",(((Q$28*10)*($B$28/100))*$B32),IF(Q$27="kg/t SAR",(Q$28*$B32),IF(Q$27="kg/t DM",((Q$28*($B$28/100))*$B32),IF(Q$27="mg/kg SAR",((Q$28*0.001)*$B32),IF(Q$27="mg/kg DM",(((Q$28*0.001)*($B$28/100))*$B32),0)))))))*2.5</f>
        <v>44.167499999999997</v>
      </c>
      <c r="R32" s="77">
        <f t="shared" ref="R32:U50" si="11">IF(R$27="%w/w SAR",((R$28*10)*$B32),IF(R$27="%w/w DM",(((R$28*10)*($B$28/100))*$B32),IF(R$27="kg/t SAR",(R$28*$B32),IF(R$27="kg/t DM",((R$28*($B$28/100))*$B32),IF(R$27="mg/kg SAR",((R$28*0.001)*$B32),IF(R$27="mg/kg DM",(((R$28*0.001)*($B$28/100))*$B32),0))))))</f>
        <v>0</v>
      </c>
      <c r="S32" s="77">
        <f t="shared" si="11"/>
        <v>0.16613999999999998</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250</v>
      </c>
      <c r="C33" s="77">
        <f t="shared" si="6"/>
        <v>23.048999999999999</v>
      </c>
      <c r="D33" s="77">
        <f t="shared" si="7"/>
        <v>2.9753216999999994</v>
      </c>
      <c r="E33" s="77">
        <f t="shared" si="8"/>
        <v>4.4692245000000002</v>
      </c>
      <c r="F33" s="77">
        <f t="shared" si="9"/>
        <v>9.5635097999999967</v>
      </c>
      <c r="G33" s="77">
        <f t="shared" si="5"/>
        <v>0.11395799999999999</v>
      </c>
      <c r="H33" s="77">
        <f t="shared" si="5"/>
        <v>0.73124999999999996</v>
      </c>
      <c r="I33" s="77">
        <f t="shared" si="5"/>
        <v>7.2539999999999993E-2</v>
      </c>
      <c r="J33" s="77">
        <f t="shared" si="5"/>
        <v>2.5739999999999999E-3</v>
      </c>
      <c r="K33" s="77">
        <f t="shared" si="5"/>
        <v>5.030999999999999E-3</v>
      </c>
      <c r="L33" s="77">
        <f t="shared" si="5"/>
        <v>2.1527999999999999E-2</v>
      </c>
      <c r="M33" s="77">
        <f t="shared" si="5"/>
        <v>5.0309999999999994E-2</v>
      </c>
      <c r="N33" s="77">
        <f t="shared" si="5"/>
        <v>14.390999999999998</v>
      </c>
      <c r="O33" s="77">
        <f t="shared" si="5"/>
        <v>1719.8999999999999</v>
      </c>
      <c r="P33" s="77">
        <f t="shared" si="5"/>
        <v>0</v>
      </c>
      <c r="Q33" s="77">
        <f t="shared" si="10"/>
        <v>44.167499999999997</v>
      </c>
      <c r="R33" s="77">
        <f t="shared" si="11"/>
        <v>0</v>
      </c>
      <c r="S33" s="77">
        <f t="shared" si="11"/>
        <v>0.16613999999999998</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250</v>
      </c>
      <c r="C34" s="77">
        <f t="shared" si="6"/>
        <v>23.048999999999999</v>
      </c>
      <c r="D34" s="77">
        <f t="shared" si="7"/>
        <v>2.9753216999999994</v>
      </c>
      <c r="E34" s="77">
        <f t="shared" si="8"/>
        <v>4.4692245000000002</v>
      </c>
      <c r="F34" s="77">
        <f t="shared" si="9"/>
        <v>9.5635097999999967</v>
      </c>
      <c r="G34" s="77">
        <f t="shared" si="5"/>
        <v>0.11395799999999999</v>
      </c>
      <c r="H34" s="77">
        <f t="shared" si="5"/>
        <v>0.73124999999999996</v>
      </c>
      <c r="I34" s="77">
        <f t="shared" si="5"/>
        <v>7.2539999999999993E-2</v>
      </c>
      <c r="J34" s="77">
        <f t="shared" si="5"/>
        <v>2.5739999999999999E-3</v>
      </c>
      <c r="K34" s="77">
        <f t="shared" si="5"/>
        <v>5.030999999999999E-3</v>
      </c>
      <c r="L34" s="77">
        <f t="shared" si="5"/>
        <v>2.1527999999999999E-2</v>
      </c>
      <c r="M34" s="77">
        <f t="shared" si="5"/>
        <v>5.0309999999999994E-2</v>
      </c>
      <c r="N34" s="77">
        <f t="shared" si="5"/>
        <v>14.390999999999998</v>
      </c>
      <c r="O34" s="77">
        <f t="shared" si="5"/>
        <v>1719.8999999999999</v>
      </c>
      <c r="P34" s="77">
        <f t="shared" si="5"/>
        <v>0</v>
      </c>
      <c r="Q34" s="77">
        <f t="shared" si="10"/>
        <v>44.167499999999997</v>
      </c>
      <c r="R34" s="77">
        <f t="shared" si="11"/>
        <v>0</v>
      </c>
      <c r="S34" s="77">
        <f t="shared" si="11"/>
        <v>0.16613999999999998</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150</v>
      </c>
      <c r="C35" s="77">
        <f t="shared" si="6"/>
        <v>13.8294</v>
      </c>
      <c r="D35" s="77">
        <f t="shared" si="7"/>
        <v>1.7851930199999997</v>
      </c>
      <c r="E35" s="77">
        <f t="shared" si="8"/>
        <v>2.6815346999999998</v>
      </c>
      <c r="F35" s="77">
        <f t="shared" si="9"/>
        <v>5.7381058799999991</v>
      </c>
      <c r="G35" s="77">
        <f t="shared" si="5"/>
        <v>6.8374799999999999E-2</v>
      </c>
      <c r="H35" s="77">
        <f t="shared" si="5"/>
        <v>0.43874999999999997</v>
      </c>
      <c r="I35" s="77">
        <f t="shared" si="5"/>
        <v>4.3523999999999993E-2</v>
      </c>
      <c r="J35" s="77">
        <f t="shared" si="5"/>
        <v>1.5443999999999998E-3</v>
      </c>
      <c r="K35" s="77">
        <f t="shared" si="5"/>
        <v>3.0185999999999993E-3</v>
      </c>
      <c r="L35" s="77">
        <f t="shared" si="5"/>
        <v>1.2916799999999999E-2</v>
      </c>
      <c r="M35" s="77">
        <f t="shared" si="5"/>
        <v>3.0185999999999994E-2</v>
      </c>
      <c r="N35" s="77">
        <f t="shared" si="5"/>
        <v>8.6345999999999989</v>
      </c>
      <c r="O35" s="77">
        <f t="shared" si="5"/>
        <v>1031.9399999999998</v>
      </c>
      <c r="P35" s="77">
        <f t="shared" si="5"/>
        <v>0</v>
      </c>
      <c r="Q35" s="77">
        <f t="shared" si="10"/>
        <v>26.500499999999999</v>
      </c>
      <c r="R35" s="77">
        <f t="shared" si="11"/>
        <v>0</v>
      </c>
      <c r="S35" s="77">
        <f t="shared" si="11"/>
        <v>9.9683999999999981E-2</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150</v>
      </c>
      <c r="C36" s="77">
        <f t="shared" si="6"/>
        <v>13.8294</v>
      </c>
      <c r="D36" s="77">
        <f t="shared" si="7"/>
        <v>1.7851930199999997</v>
      </c>
      <c r="E36" s="77">
        <f t="shared" si="8"/>
        <v>2.6815346999999998</v>
      </c>
      <c r="F36" s="77">
        <f t="shared" si="9"/>
        <v>5.7381058799999991</v>
      </c>
      <c r="G36" s="77">
        <f t="shared" si="5"/>
        <v>6.8374799999999999E-2</v>
      </c>
      <c r="H36" s="77">
        <f t="shared" si="5"/>
        <v>0.43874999999999997</v>
      </c>
      <c r="I36" s="77">
        <f t="shared" si="5"/>
        <v>4.3523999999999993E-2</v>
      </c>
      <c r="J36" s="77">
        <f t="shared" si="5"/>
        <v>1.5443999999999998E-3</v>
      </c>
      <c r="K36" s="77">
        <f t="shared" si="5"/>
        <v>3.0185999999999993E-3</v>
      </c>
      <c r="L36" s="77">
        <f t="shared" si="5"/>
        <v>1.2916799999999999E-2</v>
      </c>
      <c r="M36" s="77">
        <f t="shared" si="5"/>
        <v>3.0185999999999994E-2</v>
      </c>
      <c r="N36" s="77">
        <f t="shared" si="5"/>
        <v>8.6345999999999989</v>
      </c>
      <c r="O36" s="77">
        <f t="shared" si="5"/>
        <v>1031.9399999999998</v>
      </c>
      <c r="P36" s="77">
        <f t="shared" si="5"/>
        <v>0</v>
      </c>
      <c r="Q36" s="77">
        <f t="shared" si="10"/>
        <v>26.500499999999999</v>
      </c>
      <c r="R36" s="77">
        <f t="shared" si="11"/>
        <v>0</v>
      </c>
      <c r="S36" s="77">
        <f t="shared" si="11"/>
        <v>9.9683999999999981E-2</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150</v>
      </c>
      <c r="C37" s="77">
        <f t="shared" si="6"/>
        <v>13.8294</v>
      </c>
      <c r="D37" s="77">
        <f t="shared" si="7"/>
        <v>1.7851930199999997</v>
      </c>
      <c r="E37" s="77">
        <f t="shared" si="8"/>
        <v>2.6815346999999998</v>
      </c>
      <c r="F37" s="77">
        <f t="shared" si="9"/>
        <v>5.7381058799999991</v>
      </c>
      <c r="G37" s="77">
        <f t="shared" si="5"/>
        <v>6.8374799999999999E-2</v>
      </c>
      <c r="H37" s="77">
        <f t="shared" si="5"/>
        <v>0.43874999999999997</v>
      </c>
      <c r="I37" s="77">
        <f t="shared" si="5"/>
        <v>4.3523999999999993E-2</v>
      </c>
      <c r="J37" s="77">
        <f t="shared" si="5"/>
        <v>1.5443999999999998E-3</v>
      </c>
      <c r="K37" s="77">
        <f t="shared" si="5"/>
        <v>3.0185999999999993E-3</v>
      </c>
      <c r="L37" s="77">
        <f t="shared" si="5"/>
        <v>1.2916799999999999E-2</v>
      </c>
      <c r="M37" s="77">
        <f t="shared" si="5"/>
        <v>3.0185999999999994E-2</v>
      </c>
      <c r="N37" s="77">
        <f t="shared" si="5"/>
        <v>8.6345999999999989</v>
      </c>
      <c r="O37" s="77">
        <f t="shared" si="5"/>
        <v>1031.9399999999998</v>
      </c>
      <c r="P37" s="77">
        <f t="shared" si="5"/>
        <v>0</v>
      </c>
      <c r="Q37" s="77">
        <f t="shared" si="10"/>
        <v>26.500499999999999</v>
      </c>
      <c r="R37" s="77">
        <f t="shared" si="11"/>
        <v>0</v>
      </c>
      <c r="S37" s="77">
        <f t="shared" si="11"/>
        <v>9.9683999999999981E-2</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150</v>
      </c>
      <c r="C38" s="77">
        <f t="shared" si="6"/>
        <v>13.8294</v>
      </c>
      <c r="D38" s="77">
        <f t="shared" si="7"/>
        <v>1.7851930199999997</v>
      </c>
      <c r="E38" s="77">
        <f t="shared" si="8"/>
        <v>2.6815346999999998</v>
      </c>
      <c r="F38" s="77">
        <f t="shared" si="9"/>
        <v>5.7381058799999991</v>
      </c>
      <c r="G38" s="77">
        <f t="shared" si="5"/>
        <v>6.8374799999999999E-2</v>
      </c>
      <c r="H38" s="77">
        <f t="shared" si="5"/>
        <v>0.43874999999999997</v>
      </c>
      <c r="I38" s="77">
        <f t="shared" si="5"/>
        <v>4.3523999999999993E-2</v>
      </c>
      <c r="J38" s="77">
        <f t="shared" si="5"/>
        <v>1.5443999999999998E-3</v>
      </c>
      <c r="K38" s="77">
        <f t="shared" si="5"/>
        <v>3.0185999999999993E-3</v>
      </c>
      <c r="L38" s="77">
        <f t="shared" si="5"/>
        <v>1.2916799999999999E-2</v>
      </c>
      <c r="M38" s="77">
        <f t="shared" si="5"/>
        <v>3.0185999999999994E-2</v>
      </c>
      <c r="N38" s="77">
        <f t="shared" si="5"/>
        <v>8.6345999999999989</v>
      </c>
      <c r="O38" s="77">
        <f t="shared" si="5"/>
        <v>1031.9399999999998</v>
      </c>
      <c r="P38" s="77">
        <f t="shared" si="5"/>
        <v>0</v>
      </c>
      <c r="Q38" s="77">
        <f t="shared" si="10"/>
        <v>26.500499999999999</v>
      </c>
      <c r="R38" s="77">
        <f t="shared" si="11"/>
        <v>0</v>
      </c>
      <c r="S38" s="77">
        <f t="shared" si="11"/>
        <v>9.9683999999999981E-2</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150</v>
      </c>
      <c r="C39" s="77">
        <f t="shared" si="6"/>
        <v>13.8294</v>
      </c>
      <c r="D39" s="77">
        <f t="shared" si="7"/>
        <v>1.7851930199999997</v>
      </c>
      <c r="E39" s="77">
        <f t="shared" si="8"/>
        <v>2.6815346999999998</v>
      </c>
      <c r="F39" s="77">
        <f t="shared" si="9"/>
        <v>5.7381058799999991</v>
      </c>
      <c r="G39" s="77">
        <f t="shared" si="5"/>
        <v>6.8374799999999999E-2</v>
      </c>
      <c r="H39" s="77">
        <f t="shared" si="5"/>
        <v>0.43874999999999997</v>
      </c>
      <c r="I39" s="77">
        <f t="shared" si="5"/>
        <v>4.3523999999999993E-2</v>
      </c>
      <c r="J39" s="77">
        <f t="shared" si="5"/>
        <v>1.5443999999999998E-3</v>
      </c>
      <c r="K39" s="77">
        <f t="shared" si="5"/>
        <v>3.0185999999999993E-3</v>
      </c>
      <c r="L39" s="77">
        <f t="shared" si="5"/>
        <v>1.2916799999999999E-2</v>
      </c>
      <c r="M39" s="77">
        <f t="shared" si="5"/>
        <v>3.0185999999999994E-2</v>
      </c>
      <c r="N39" s="77">
        <f t="shared" si="5"/>
        <v>8.6345999999999989</v>
      </c>
      <c r="O39" s="77">
        <f t="shared" si="5"/>
        <v>1031.9399999999998</v>
      </c>
      <c r="P39" s="77">
        <f t="shared" si="5"/>
        <v>0</v>
      </c>
      <c r="Q39" s="77">
        <f t="shared" si="10"/>
        <v>26.500499999999999</v>
      </c>
      <c r="R39" s="77">
        <f t="shared" si="11"/>
        <v>0</v>
      </c>
      <c r="S39" s="77">
        <f t="shared" si="11"/>
        <v>9.9683999999999981E-2</v>
      </c>
      <c r="T39" s="77">
        <f t="shared" si="11"/>
        <v>0</v>
      </c>
      <c r="U39" s="77">
        <f t="shared" si="11"/>
        <v>0</v>
      </c>
      <c r="AB39" s="59"/>
      <c r="AC39" s="59"/>
      <c r="AD39" s="59"/>
      <c r="AE39" s="59"/>
      <c r="AF39" s="59"/>
      <c r="AG39" s="59"/>
      <c r="AH39" s="59"/>
      <c r="AI39" s="59"/>
    </row>
    <row r="40" spans="1:35" s="72" customFormat="1" x14ac:dyDescent="0.3">
      <c r="A40" s="13">
        <f>L8</f>
        <v>3234</v>
      </c>
      <c r="B40" s="15">
        <v>250</v>
      </c>
      <c r="C40" s="77">
        <f t="shared" si="6"/>
        <v>23.048999999999999</v>
      </c>
      <c r="D40" s="77">
        <f t="shared" si="7"/>
        <v>2.9753216999999994</v>
      </c>
      <c r="E40" s="77">
        <f t="shared" si="8"/>
        <v>4.4692245000000002</v>
      </c>
      <c r="F40" s="77">
        <f t="shared" si="9"/>
        <v>9.5635097999999967</v>
      </c>
      <c r="G40" s="77">
        <f t="shared" si="5"/>
        <v>0.11395799999999999</v>
      </c>
      <c r="H40" s="77">
        <f t="shared" si="5"/>
        <v>0.73124999999999996</v>
      </c>
      <c r="I40" s="77">
        <f t="shared" si="5"/>
        <v>7.2539999999999993E-2</v>
      </c>
      <c r="J40" s="77">
        <f t="shared" si="5"/>
        <v>2.5739999999999999E-3</v>
      </c>
      <c r="K40" s="77">
        <f t="shared" si="5"/>
        <v>5.030999999999999E-3</v>
      </c>
      <c r="L40" s="77">
        <f t="shared" si="5"/>
        <v>2.1527999999999999E-2</v>
      </c>
      <c r="M40" s="77">
        <f t="shared" si="5"/>
        <v>5.0309999999999994E-2</v>
      </c>
      <c r="N40" s="77">
        <f t="shared" si="5"/>
        <v>14.390999999999998</v>
      </c>
      <c r="O40" s="77">
        <f t="shared" si="5"/>
        <v>1719.8999999999999</v>
      </c>
      <c r="P40" s="77">
        <f t="shared" si="5"/>
        <v>0</v>
      </c>
      <c r="Q40" s="77">
        <f t="shared" si="10"/>
        <v>44.167499999999997</v>
      </c>
      <c r="R40" s="77">
        <f t="shared" si="11"/>
        <v>0</v>
      </c>
      <c r="S40" s="77">
        <f t="shared" si="11"/>
        <v>0.16613999999999998</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Arable</v>
      </c>
      <c r="H58" s="13" t="str">
        <f>I16&amp;" I "&amp;(VLOOKUP(I14,Table24567[],6,FALSE))</f>
        <v>Medium/Clay I Arable</v>
      </c>
      <c r="I58" s="13" t="str">
        <f>J16&amp;" I "&amp;(VLOOKUP(J14,Table24567[],6,FALSE))</f>
        <v>Medium/Clay I Arable</v>
      </c>
      <c r="J58" s="13" t="str">
        <f>K16&amp;" I "&amp;(VLOOKUP(K14,Table24567[],6,FALSE))</f>
        <v>Medium/Clay I Arable</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5">
      <c r="A59" s="111" t="s">
        <v>132</v>
      </c>
      <c r="B59" s="76">
        <f>VLOOKUP(C$14,Table24567[],5,FALSE)</f>
        <v>6.2</v>
      </c>
      <c r="C59" s="76">
        <f>VLOOKUP(D$14,Table24567[],5,FALSE)</f>
        <v>6.2</v>
      </c>
      <c r="D59" s="76">
        <f>VLOOKUP(E$14,Table24567[],5,FALSE)</f>
        <v>6.2</v>
      </c>
      <c r="E59" s="76">
        <f>VLOOKUP(F$14,Table24567[],5,FALSE)</f>
        <v>6.2</v>
      </c>
      <c r="F59" s="76">
        <f>VLOOKUP(G$14,Table24567[],5,FALSE)</f>
        <v>6.7</v>
      </c>
      <c r="G59" s="76">
        <f>VLOOKUP(H$14,Table24567[],5,FALSE)</f>
        <v>6.7</v>
      </c>
      <c r="H59" s="76">
        <f>VLOOKUP(I$14,Table24567[],5,FALSE)</f>
        <v>6.7</v>
      </c>
      <c r="I59" s="76">
        <f>VLOOKUP(J$14,Table24567[],5,FALSE)</f>
        <v>6.7</v>
      </c>
      <c r="J59" s="76">
        <f>VLOOKUP(K$14,Table24567[],5,FALSE)</f>
        <v>6.7</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150</v>
      </c>
      <c r="G62" s="77">
        <f>B36</f>
        <v>150</v>
      </c>
      <c r="H62" s="77">
        <f>B37</f>
        <v>150</v>
      </c>
      <c r="I62" s="77">
        <f>B38</f>
        <v>150</v>
      </c>
      <c r="J62" s="77">
        <f>B39</f>
        <v>150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61" priority="37" operator="equal">
      <formula>"DECREASE"</formula>
    </cfRule>
    <cfRule type="cellIs" dxfId="60" priority="38" operator="equal">
      <formula>"INCREASE"</formula>
    </cfRule>
  </conditionalFormatting>
  <conditionalFormatting sqref="B31:B50 B62:U66">
    <cfRule type="cellIs" dxfId="59" priority="36" operator="greaterThan">
      <formula>$B$51</formula>
    </cfRule>
  </conditionalFormatting>
  <conditionalFormatting sqref="C31:C50">
    <cfRule type="cellIs" dxfId="58" priority="35" operator="greaterThan">
      <formula>$C$51</formula>
    </cfRule>
  </conditionalFormatting>
  <conditionalFormatting sqref="C18:V18">
    <cfRule type="cellIs" dxfId="57" priority="34" operator="equal">
      <formula>0</formula>
    </cfRule>
  </conditionalFormatting>
  <conditionalFormatting sqref="C17:V17">
    <cfRule type="cellIs" dxfId="56" priority="33" operator="equal">
      <formula>0</formula>
    </cfRule>
  </conditionalFormatting>
  <conditionalFormatting sqref="C19:V19">
    <cfRule type="cellIs" dxfId="55" priority="32" operator="equal">
      <formula>0</formula>
    </cfRule>
  </conditionalFormatting>
  <conditionalFormatting sqref="G31:G50">
    <cfRule type="cellIs" dxfId="54" priority="31" operator="greaterThan">
      <formula>$G$51</formula>
    </cfRule>
  </conditionalFormatting>
  <conditionalFormatting sqref="H31:H50">
    <cfRule type="cellIs" dxfId="53" priority="30" operator="greaterThan">
      <formula>$H$51</formula>
    </cfRule>
  </conditionalFormatting>
  <conditionalFormatting sqref="I31:I50">
    <cfRule type="cellIs" dxfId="52" priority="29" operator="greaterThan">
      <formula>$I$51</formula>
    </cfRule>
  </conditionalFormatting>
  <conditionalFormatting sqref="K31:K50">
    <cfRule type="cellIs" dxfId="51" priority="28" operator="greaterThan">
      <formula>$K$51</formula>
    </cfRule>
  </conditionalFormatting>
  <conditionalFormatting sqref="L31:L50">
    <cfRule type="cellIs" dxfId="50" priority="27" operator="greaterThan">
      <formula>$L$51</formula>
    </cfRule>
  </conditionalFormatting>
  <conditionalFormatting sqref="M31:M50">
    <cfRule type="cellIs" dxfId="49" priority="26" operator="greaterThan">
      <formula>$M$51</formula>
    </cfRule>
  </conditionalFormatting>
  <conditionalFormatting sqref="P31:P50">
    <cfRule type="cellIs" dxfId="48" priority="25" operator="greaterThan">
      <formula>$P$51</formula>
    </cfRule>
  </conditionalFormatting>
  <conditionalFormatting sqref="R31:R50">
    <cfRule type="cellIs" dxfId="47" priority="24" operator="greaterThan">
      <formula>$R$51</formula>
    </cfRule>
  </conditionalFormatting>
  <conditionalFormatting sqref="S31:S50">
    <cfRule type="cellIs" dxfId="46" priority="23" operator="greaterThan">
      <formula>$S$51</formula>
    </cfRule>
  </conditionalFormatting>
  <conditionalFormatting sqref="T31:T50">
    <cfRule type="cellIs" dxfId="45" priority="22" operator="greaterThan">
      <formula>$T$51</formula>
    </cfRule>
  </conditionalFormatting>
  <conditionalFormatting sqref="U31:U50">
    <cfRule type="cellIs" dxfId="44" priority="21" operator="greaterThan">
      <formula>$U$51</formula>
    </cfRule>
  </conditionalFormatting>
  <conditionalFormatting sqref="C22:V22">
    <cfRule type="cellIs" dxfId="43" priority="20" operator="equal">
      <formula>0</formula>
    </cfRule>
  </conditionalFormatting>
  <conditionalFormatting sqref="C24:V24">
    <cfRule type="cellIs" dxfId="42" priority="18" operator="equal">
      <formula>"DECREASE"</formula>
    </cfRule>
    <cfRule type="cellIs" dxfId="41" priority="19" operator="equal">
      <formula>"INCREASE"</formula>
    </cfRule>
  </conditionalFormatting>
  <conditionalFormatting sqref="C23:V23">
    <cfRule type="cellIs" dxfId="40" priority="17" operator="equal">
      <formula>0</formula>
    </cfRule>
  </conditionalFormatting>
  <conditionalFormatting sqref="C21:V21">
    <cfRule type="cellIs" dxfId="39" priority="13" operator="equal">
      <formula>0</formula>
    </cfRule>
  </conditionalFormatting>
  <conditionalFormatting sqref="B66:U66">
    <cfRule type="cellIs" dxfId="38" priority="11" operator="equal">
      <formula>"UNDER"</formula>
    </cfRule>
    <cfRule type="cellIs" dxfId="37" priority="12" operator="equal">
      <formula>"OVER"</formula>
    </cfRule>
  </conditionalFormatting>
  <conditionalFormatting sqref="J31:J50">
    <cfRule type="cellIs" dxfId="36" priority="8" operator="greaterThan">
      <formula>$J$51</formula>
    </cfRule>
  </conditionalFormatting>
  <conditionalFormatting sqref="L3">
    <cfRule type="cellIs" dxfId="35" priority="4" operator="lessThan">
      <formula>30</formula>
    </cfRule>
    <cfRule type="cellIs" dxfId="34" priority="5" operator="greaterThanOrEqual">
      <formula>30</formula>
    </cfRule>
  </conditionalFormatting>
  <conditionalFormatting sqref="I1">
    <cfRule type="cellIs" dxfId="33" priority="3" operator="between">
      <formula>0.1</formula>
      <formula>5</formula>
    </cfRule>
  </conditionalFormatting>
  <conditionalFormatting sqref="I2">
    <cfRule type="cellIs" dxfId="32" priority="2" operator="greaterThan">
      <formula>5000.1</formula>
    </cfRule>
  </conditionalFormatting>
  <conditionalFormatting sqref="I3">
    <cfRule type="cellIs" dxfId="3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I1" zoomScale="90" zoomScaleNormal="90" workbookViewId="0">
      <selection activeCell="U28" sqref="U28"/>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19" t="s">
        <v>41</v>
      </c>
      <c r="B1" s="119"/>
      <c r="C1" s="140" t="str">
        <f>Volac!C1:D1</f>
        <v xml:space="preserve">PAN-025082 </v>
      </c>
      <c r="D1" s="141"/>
      <c r="E1" s="93" t="s">
        <v>45</v>
      </c>
      <c r="F1" s="39">
        <f>Volac!F1</f>
        <v>49.9</v>
      </c>
      <c r="G1" s="120" t="s">
        <v>43</v>
      </c>
      <c r="H1" s="121"/>
      <c r="I1" s="118">
        <v>6.9</v>
      </c>
      <c r="J1" s="119" t="s">
        <v>153</v>
      </c>
      <c r="K1" s="119"/>
      <c r="L1" s="97">
        <v>857</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19" t="s">
        <v>87</v>
      </c>
      <c r="B2" s="119"/>
      <c r="C2" s="142" t="str">
        <f>Volac!C2:D2</f>
        <v>EPR/AB3891CX</v>
      </c>
      <c r="D2" s="143"/>
      <c r="E2" s="93" t="s">
        <v>109</v>
      </c>
      <c r="F2" s="96" t="s">
        <v>188</v>
      </c>
      <c r="G2" s="138" t="s">
        <v>110</v>
      </c>
      <c r="H2" s="139"/>
      <c r="I2" s="118"/>
      <c r="J2" s="119" t="s">
        <v>158</v>
      </c>
      <c r="K2" s="119"/>
      <c r="L2" s="97">
        <v>0.93</v>
      </c>
      <c r="AB2" s="30" t="s">
        <v>56</v>
      </c>
      <c r="AC2" s="17"/>
      <c r="AD2" s="30" t="s">
        <v>70</v>
      </c>
      <c r="AE2" s="17"/>
      <c r="AF2" s="17"/>
      <c r="AG2" s="44" t="s">
        <v>76</v>
      </c>
      <c r="AH2" s="18"/>
      <c r="AI2" s="45" t="s">
        <v>126</v>
      </c>
      <c r="AJ2" s="46">
        <v>0</v>
      </c>
      <c r="AK2" s="47">
        <v>0</v>
      </c>
      <c r="AL2" s="10">
        <v>0</v>
      </c>
      <c r="AM2" s="11">
        <v>0</v>
      </c>
      <c r="AN2" s="11">
        <v>0</v>
      </c>
    </row>
    <row r="3" spans="1:41" x14ac:dyDescent="0.25">
      <c r="A3" s="120" t="s">
        <v>42</v>
      </c>
      <c r="B3" s="121"/>
      <c r="C3" s="142" t="str">
        <f>Volac!C3:D3</f>
        <v>Mr Daniel James and Mrs Carys James</v>
      </c>
      <c r="D3" s="143"/>
      <c r="E3" s="93" t="s">
        <v>108</v>
      </c>
      <c r="F3" s="31" t="s">
        <v>78</v>
      </c>
      <c r="G3" s="119" t="s">
        <v>159</v>
      </c>
      <c r="H3" s="119"/>
      <c r="I3" s="118"/>
      <c r="J3" s="120" t="s">
        <v>154</v>
      </c>
      <c r="K3" s="121"/>
      <c r="L3" s="97">
        <f>(L1/(L2*10000))*100</f>
        <v>9.21505376344086</v>
      </c>
      <c r="AB3" s="30" t="s">
        <v>57</v>
      </c>
      <c r="AC3" s="17"/>
      <c r="AD3" s="30" t="s">
        <v>71</v>
      </c>
      <c r="AE3" s="17"/>
      <c r="AF3" s="17"/>
      <c r="AG3" s="44" t="s">
        <v>77</v>
      </c>
      <c r="AH3" s="18"/>
      <c r="AI3" s="48" t="s">
        <v>113</v>
      </c>
      <c r="AJ3" s="49">
        <v>1.7</v>
      </c>
      <c r="AK3" s="50">
        <v>6</v>
      </c>
      <c r="AL3" s="51">
        <v>1</v>
      </c>
      <c r="AM3" s="11">
        <v>6.2</v>
      </c>
      <c r="AN3" s="11" t="s">
        <v>112</v>
      </c>
    </row>
    <row r="4" spans="1:41" x14ac:dyDescent="0.25">
      <c r="A4" s="119" t="s">
        <v>0</v>
      </c>
      <c r="B4" s="119"/>
      <c r="C4" s="140" t="str">
        <f>Volac!C4:D4</f>
        <v>Hafod Farm Ferwig, Cardigan, SA43 1PU</v>
      </c>
      <c r="D4" s="141"/>
      <c r="E4" s="94" t="s">
        <v>1</v>
      </c>
      <c r="F4" s="96" t="s">
        <v>186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x14ac:dyDescent="0.25">
      <c r="A5" s="119" t="s">
        <v>47</v>
      </c>
      <c r="B5" s="119"/>
      <c r="C5" s="140" t="str">
        <f>Volac!C5:D5</f>
        <v>Owen Clee</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19" t="s">
        <v>2</v>
      </c>
      <c r="B8" s="119"/>
      <c r="C8" s="60" t="str">
        <f>Volac!C8</f>
        <v xml:space="preserve"> CYY 5505
</v>
      </c>
      <c r="D8" s="60" t="str">
        <f>Volac!D8</f>
        <v xml:space="preserve"> CYY 4885
</v>
      </c>
      <c r="E8" s="60" t="str">
        <f>Volac!E8</f>
        <v xml:space="preserve">  2056
</v>
      </c>
      <c r="F8" s="60" t="str">
        <f>Volac!F8</f>
        <v xml:space="preserve">0834
</v>
      </c>
      <c r="G8" s="60" t="str">
        <f>Volac!G8</f>
        <v xml:space="preserve">5928
</v>
      </c>
      <c r="H8" s="60" t="str">
        <f>Volac!H8</f>
        <v xml:space="preserve"> 3370
</v>
      </c>
      <c r="I8" s="60" t="str">
        <f>Volac!I8</f>
        <v xml:space="preserve"> Dun 2
 </v>
      </c>
      <c r="J8" s="60" t="str">
        <f>Volac!J8</f>
        <v xml:space="preserve">9155
</v>
      </c>
      <c r="K8" s="60" t="str">
        <f>Volac!K8</f>
        <v xml:space="preserve"> 2062
</v>
      </c>
      <c r="L8" s="60">
        <f>Volac!L8</f>
        <v>3234</v>
      </c>
      <c r="M8" s="60">
        <f>Volac!M8</f>
        <v>0</v>
      </c>
      <c r="N8" s="60">
        <f>Volac!N8</f>
        <v>0</v>
      </c>
      <c r="O8" s="60">
        <f>Volac!O8</f>
        <v>0</v>
      </c>
      <c r="P8" s="60">
        <f>Volac!P8</f>
        <v>0</v>
      </c>
      <c r="Q8" s="60">
        <f>Volac!Q8</f>
        <v>0</v>
      </c>
      <c r="R8" s="60">
        <f>Volac!R8</f>
        <v>0</v>
      </c>
      <c r="S8" s="60">
        <f>Volac!S8</f>
        <v>0</v>
      </c>
      <c r="T8" s="60">
        <f>Volac!T8</f>
        <v>0</v>
      </c>
      <c r="U8" s="60">
        <f>Volac!U8</f>
        <v>0</v>
      </c>
      <c r="V8" s="60">
        <f>Volac!V8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19" t="s">
        <v>3</v>
      </c>
      <c r="B9" s="119"/>
      <c r="C9" s="60" t="str">
        <f>Volac!C9</f>
        <v xml:space="preserve">Moderate </v>
      </c>
      <c r="D9" s="60" t="str">
        <f>Volac!D9</f>
        <v xml:space="preserve">Moderate </v>
      </c>
      <c r="E9" s="60" t="str">
        <f>Volac!E9</f>
        <v xml:space="preserve">Moderate </v>
      </c>
      <c r="F9" s="60" t="str">
        <f>Volac!F9</f>
        <v xml:space="preserve">Moderate </v>
      </c>
      <c r="G9" s="60">
        <f>Volac!G9</f>
        <v>1</v>
      </c>
      <c r="H9" s="60">
        <f>Volac!H9</f>
        <v>1</v>
      </c>
      <c r="I9" s="60">
        <f>Volac!I9</f>
        <v>1</v>
      </c>
      <c r="J9" s="60">
        <f>Volac!J9</f>
        <v>1</v>
      </c>
      <c r="K9" s="60">
        <f>Volac!K9</f>
        <v>1</v>
      </c>
      <c r="L9" s="60" t="str">
        <f>Volac!L9</f>
        <v>Moderate</v>
      </c>
      <c r="M9" s="60">
        <f>Volac!M9</f>
        <v>0</v>
      </c>
      <c r="N9" s="60">
        <f>Volac!N9</f>
        <v>0</v>
      </c>
      <c r="O9" s="60">
        <f>Volac!O9</f>
        <v>0</v>
      </c>
      <c r="P9" s="60">
        <f>Volac!P9</f>
        <v>0</v>
      </c>
      <c r="Q9" s="60">
        <f>Volac!Q9</f>
        <v>0</v>
      </c>
      <c r="R9" s="60">
        <f>Volac!R9</f>
        <v>0</v>
      </c>
      <c r="S9" s="60">
        <f>Volac!S9</f>
        <v>0</v>
      </c>
      <c r="T9" s="60">
        <f>Volac!T9</f>
        <v>0</v>
      </c>
      <c r="U9" s="60">
        <f>Volac!U9</f>
        <v>0</v>
      </c>
      <c r="V9" s="60">
        <f>Volac!V9</f>
        <v>0</v>
      </c>
      <c r="AB9" s="17"/>
      <c r="AC9" s="17"/>
      <c r="AD9" s="30" t="s">
        <v>137</v>
      </c>
      <c r="AE9" s="30">
        <v>4.5</v>
      </c>
      <c r="AF9" s="17"/>
      <c r="AG9" s="18"/>
      <c r="AH9" s="18"/>
      <c r="AI9" s="63" t="s">
        <v>103</v>
      </c>
      <c r="AJ9" s="64">
        <v>0.7</v>
      </c>
      <c r="AK9" s="65">
        <v>4</v>
      </c>
      <c r="AL9" s="29">
        <v>7</v>
      </c>
      <c r="AM9" s="11">
        <v>6.7</v>
      </c>
      <c r="AN9" s="11" t="s">
        <v>135</v>
      </c>
      <c r="AO9" s="99"/>
    </row>
    <row r="10" spans="1:41" x14ac:dyDescent="0.25">
      <c r="A10" s="119" t="s">
        <v>4</v>
      </c>
      <c r="B10" s="119"/>
      <c r="C10" s="60">
        <f>Volac!C10</f>
        <v>6.2</v>
      </c>
      <c r="D10" s="60">
        <f>Volac!D10</f>
        <v>6.1</v>
      </c>
      <c r="E10" s="60">
        <f>Volac!E10</f>
        <v>6</v>
      </c>
      <c r="F10" s="60">
        <f>Volac!F10</f>
        <v>6.4</v>
      </c>
      <c r="G10" s="60">
        <f>Volac!G10</f>
        <v>6.4</v>
      </c>
      <c r="H10" s="60">
        <f>Volac!H10</f>
        <v>6.1</v>
      </c>
      <c r="I10" s="60">
        <f>Volac!I10</f>
        <v>6.3</v>
      </c>
      <c r="J10" s="60">
        <f>Volac!J10</f>
        <v>5.9</v>
      </c>
      <c r="K10" s="60">
        <f>Volac!K10</f>
        <v>6</v>
      </c>
      <c r="L10" s="60">
        <f>Volac!L10</f>
        <v>6.1</v>
      </c>
      <c r="M10" s="60">
        <f>Volac!M10</f>
        <v>0</v>
      </c>
      <c r="N10" s="60">
        <f>Volac!N10</f>
        <v>0</v>
      </c>
      <c r="O10" s="60">
        <f>Volac!O10</f>
        <v>0</v>
      </c>
      <c r="P10" s="60">
        <f>Volac!P10</f>
        <v>0</v>
      </c>
      <c r="Q10" s="60">
        <f>Volac!Q10</f>
        <v>0</v>
      </c>
      <c r="R10" s="60">
        <f>Volac!R10</f>
        <v>0</v>
      </c>
      <c r="S10" s="60">
        <f>Volac!S10</f>
        <v>0</v>
      </c>
      <c r="T10" s="60">
        <f>Volac!T10</f>
        <v>0</v>
      </c>
      <c r="U10" s="60">
        <f>Volac!U10</f>
        <v>0</v>
      </c>
      <c r="V10" s="60">
        <f>Volac!V10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19" t="s">
        <v>5</v>
      </c>
      <c r="B11" s="119"/>
      <c r="C11" s="60">
        <f>Volac!C11</f>
        <v>3</v>
      </c>
      <c r="D11" s="60">
        <f>Volac!D11</f>
        <v>3</v>
      </c>
      <c r="E11" s="60">
        <f>Volac!E11</f>
        <v>3</v>
      </c>
      <c r="F11" s="60">
        <f>Volac!F11</f>
        <v>1</v>
      </c>
      <c r="G11" s="60">
        <f>Volac!G11</f>
        <v>2</v>
      </c>
      <c r="H11" s="60">
        <f>Volac!H11</f>
        <v>2</v>
      </c>
      <c r="I11" s="60">
        <f>Volac!I11</f>
        <v>3</v>
      </c>
      <c r="J11" s="60">
        <f>Volac!J11</f>
        <v>2</v>
      </c>
      <c r="K11" s="60">
        <f>Volac!K11</f>
        <v>2</v>
      </c>
      <c r="L11" s="60">
        <f>Volac!L11</f>
        <v>1</v>
      </c>
      <c r="M11" s="60">
        <f>Volac!M11</f>
        <v>0</v>
      </c>
      <c r="N11" s="60">
        <f>Volac!N11</f>
        <v>0</v>
      </c>
      <c r="O11" s="60">
        <f>Volac!O11</f>
        <v>0</v>
      </c>
      <c r="P11" s="60">
        <f>Volac!P11</f>
        <v>0</v>
      </c>
      <c r="Q11" s="60">
        <f>Volac!Q11</f>
        <v>0</v>
      </c>
      <c r="R11" s="60">
        <f>Volac!R11</f>
        <v>0</v>
      </c>
      <c r="S11" s="60">
        <f>Volac!S11</f>
        <v>0</v>
      </c>
      <c r="T11" s="60">
        <f>Volac!T11</f>
        <v>0</v>
      </c>
      <c r="U11" s="60">
        <f>Volac!U11</f>
        <v>0</v>
      </c>
      <c r="V11" s="60">
        <f>Volac!V11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19" t="s">
        <v>6</v>
      </c>
      <c r="B12" s="119"/>
      <c r="C12" s="60">
        <f>Volac!C12</f>
        <v>3</v>
      </c>
      <c r="D12" s="60">
        <f>Volac!D12</f>
        <v>3</v>
      </c>
      <c r="E12" s="60">
        <f>Volac!E12</f>
        <v>2</v>
      </c>
      <c r="F12" s="60">
        <f>Volac!F12</f>
        <v>2</v>
      </c>
      <c r="G12" s="60">
        <f>Volac!G12</f>
        <v>2</v>
      </c>
      <c r="H12" s="60">
        <f>Volac!H12</f>
        <v>1</v>
      </c>
      <c r="I12" s="60">
        <f>Volac!I12</f>
        <v>3</v>
      </c>
      <c r="J12" s="60">
        <f>Volac!J12</f>
        <v>2</v>
      </c>
      <c r="K12" s="60">
        <f>Volac!K12</f>
        <v>2</v>
      </c>
      <c r="L12" s="60">
        <f>Volac!L12</f>
        <v>2</v>
      </c>
      <c r="M12" s="60">
        <f>Volac!M12</f>
        <v>0</v>
      </c>
      <c r="N12" s="60">
        <f>Volac!N12</f>
        <v>0</v>
      </c>
      <c r="O12" s="60">
        <f>Volac!O12</f>
        <v>0</v>
      </c>
      <c r="P12" s="60">
        <f>Volac!P12</f>
        <v>0</v>
      </c>
      <c r="Q12" s="60">
        <f>Volac!Q12</f>
        <v>0</v>
      </c>
      <c r="R12" s="60">
        <f>Volac!R12</f>
        <v>0</v>
      </c>
      <c r="S12" s="60">
        <f>Volac!S12</f>
        <v>0</v>
      </c>
      <c r="T12" s="60">
        <f>Volac!T12</f>
        <v>0</v>
      </c>
      <c r="U12" s="60">
        <f>Volac!U12</f>
        <v>0</v>
      </c>
      <c r="V12" s="60">
        <f>Volac!V12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19" t="s">
        <v>7</v>
      </c>
      <c r="B13" s="119"/>
      <c r="C13" s="60">
        <f>Volac!C13</f>
        <v>3</v>
      </c>
      <c r="D13" s="60">
        <f>Volac!D13</f>
        <v>3</v>
      </c>
      <c r="E13" s="60">
        <f>Volac!E13</f>
        <v>3</v>
      </c>
      <c r="F13" s="60">
        <f>Volac!F13</f>
        <v>3</v>
      </c>
      <c r="G13" s="60">
        <f>Volac!G13</f>
        <v>2</v>
      </c>
      <c r="H13" s="60">
        <f>Volac!H13</f>
        <v>2</v>
      </c>
      <c r="I13" s="60">
        <f>Volac!I13</f>
        <v>2</v>
      </c>
      <c r="J13" s="60">
        <f>Volac!J13</f>
        <v>3</v>
      </c>
      <c r="K13" s="60">
        <f>Volac!K13</f>
        <v>5</v>
      </c>
      <c r="L13" s="60">
        <f>Volac!L13</f>
        <v>3</v>
      </c>
      <c r="M13" s="60">
        <f>Volac!M13</f>
        <v>0</v>
      </c>
      <c r="N13" s="60">
        <f>Volac!N13</f>
        <v>0</v>
      </c>
      <c r="O13" s="60">
        <f>Volac!O13</f>
        <v>0</v>
      </c>
      <c r="P13" s="60">
        <f>Volac!P13</f>
        <v>0</v>
      </c>
      <c r="Q13" s="60">
        <f>Volac!Q13</f>
        <v>0</v>
      </c>
      <c r="R13" s="60">
        <f>Volac!R13</f>
        <v>0</v>
      </c>
      <c r="S13" s="60">
        <f>Volac!S13</f>
        <v>0</v>
      </c>
      <c r="T13" s="60">
        <f>Volac!T13</f>
        <v>0</v>
      </c>
      <c r="U13" s="60">
        <f>Volac!U13</f>
        <v>0</v>
      </c>
      <c r="V13" s="60">
        <f>Volac!V13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1" t="s">
        <v>8</v>
      </c>
      <c r="B14" s="131"/>
      <c r="C14" s="102" t="str">
        <f>Volac!C14</f>
        <v xml:space="preserve">Grass Silage (25% DM) </v>
      </c>
      <c r="D14" s="102" t="str">
        <f>Volac!D14</f>
        <v xml:space="preserve">Grass Silage (25% DM) </v>
      </c>
      <c r="E14" s="102" t="str">
        <f>Volac!E14</f>
        <v xml:space="preserve">Grass Silage (25% DM) </v>
      </c>
      <c r="F14" s="102" t="str">
        <f>Volac!F14</f>
        <v xml:space="preserve">Grass Silage (25% DM) </v>
      </c>
      <c r="G14" s="102" t="str">
        <f>Volac!G14</f>
        <v>Maize- Silage (30% DM)</v>
      </c>
      <c r="H14" s="102" t="str">
        <f>Volac!H14</f>
        <v>Maize- Silage (30% DM)</v>
      </c>
      <c r="I14" s="102" t="str">
        <f>Volac!I14</f>
        <v>Spring wheat/barley</v>
      </c>
      <c r="J14" s="102" t="str">
        <f>Volac!J14</f>
        <v>Maize- Silage (30% DM)</v>
      </c>
      <c r="K14" s="102" t="str">
        <f>Volac!K14</f>
        <v>Maize- Silage (30% DM)</v>
      </c>
      <c r="L14" s="102" t="str">
        <f>Volac!L14</f>
        <v xml:space="preserve">Grass Silage (25% DM) </v>
      </c>
      <c r="M14" s="102">
        <f>Volac!M14</f>
        <v>0</v>
      </c>
      <c r="N14" s="102">
        <f>Volac!N14</f>
        <v>0</v>
      </c>
      <c r="O14" s="102">
        <f>Volac!O14</f>
        <v>0</v>
      </c>
      <c r="P14" s="102">
        <f>Volac!P14</f>
        <v>0</v>
      </c>
      <c r="Q14" s="102">
        <f>Volac!Q14</f>
        <v>0</v>
      </c>
      <c r="R14" s="102">
        <f>Volac!R14</f>
        <v>0</v>
      </c>
      <c r="S14" s="102">
        <f>Volac!S14</f>
        <v>0</v>
      </c>
      <c r="T14" s="102">
        <f>Volac!T14</f>
        <v>0</v>
      </c>
      <c r="U14" s="102">
        <f>Volac!U14</f>
        <v>0</v>
      </c>
      <c r="V14" s="102">
        <f>Volac!V14</f>
        <v>0</v>
      </c>
      <c r="AD14" s="30" t="s">
        <v>138</v>
      </c>
      <c r="AE14" s="30">
        <v>6</v>
      </c>
      <c r="AI14" s="53" t="s">
        <v>119</v>
      </c>
      <c r="AJ14" s="54">
        <v>0.8</v>
      </c>
      <c r="AK14" s="55">
        <v>1.7</v>
      </c>
      <c r="AL14" s="11">
        <v>12</v>
      </c>
      <c r="AM14" s="11">
        <v>6.7</v>
      </c>
      <c r="AN14" s="11" t="s">
        <v>135</v>
      </c>
    </row>
    <row r="15" spans="1:41" x14ac:dyDescent="0.25">
      <c r="A15" s="130" t="s">
        <v>9</v>
      </c>
      <c r="B15" s="130"/>
      <c r="C15" s="60">
        <f>Volac!C15</f>
        <v>47</v>
      </c>
      <c r="D15" s="60">
        <f>Volac!D15</f>
        <v>47</v>
      </c>
      <c r="E15" s="60">
        <f>Volac!E15</f>
        <v>47</v>
      </c>
      <c r="F15" s="60">
        <f>Volac!F15</f>
        <v>47</v>
      </c>
      <c r="G15" s="60">
        <f>Volac!G15</f>
        <v>45</v>
      </c>
      <c r="H15" s="60">
        <f>Volac!H15</f>
        <v>45</v>
      </c>
      <c r="I15" s="60">
        <f>Volac!I15</f>
        <v>30</v>
      </c>
      <c r="J15" s="60">
        <f>Volac!J15</f>
        <v>45</v>
      </c>
      <c r="K15" s="60">
        <f>Volac!K15</f>
        <v>45</v>
      </c>
      <c r="L15" s="60">
        <f>Volac!L15</f>
        <v>47</v>
      </c>
      <c r="M15" s="60">
        <f>Volac!M15</f>
        <v>0</v>
      </c>
      <c r="N15" s="60">
        <f>Volac!N15</f>
        <v>0</v>
      </c>
      <c r="O15" s="60">
        <f>Volac!O15</f>
        <v>0</v>
      </c>
      <c r="P15" s="60">
        <f>Volac!P15</f>
        <v>0</v>
      </c>
      <c r="Q15" s="60">
        <f>Volac!Q15</f>
        <v>0</v>
      </c>
      <c r="R15" s="60">
        <f>Volac!R15</f>
        <v>0</v>
      </c>
      <c r="S15" s="60">
        <f>Volac!S15</f>
        <v>0</v>
      </c>
      <c r="T15" s="60">
        <f>Volac!T15</f>
        <v>0</v>
      </c>
      <c r="U15" s="60">
        <f>Volac!U15</f>
        <v>0</v>
      </c>
      <c r="V15" s="60">
        <f>Volac!V15</f>
        <v>0</v>
      </c>
      <c r="AD15" s="30" t="s">
        <v>144</v>
      </c>
      <c r="AE15" s="30">
        <v>7</v>
      </c>
      <c r="AI15" s="53" t="s">
        <v>101</v>
      </c>
      <c r="AJ15" s="62">
        <v>1.8</v>
      </c>
      <c r="AK15" s="55">
        <v>5.4</v>
      </c>
      <c r="AL15" s="11">
        <v>13</v>
      </c>
      <c r="AM15" s="11">
        <v>6.7</v>
      </c>
      <c r="AN15" s="11" t="s">
        <v>135</v>
      </c>
    </row>
    <row r="16" spans="1:41" ht="13.8" thickBot="1" x14ac:dyDescent="0.3">
      <c r="A16" s="132" t="s">
        <v>44</v>
      </c>
      <c r="B16" s="132"/>
      <c r="C16" s="103" t="str">
        <f>Volac!C16</f>
        <v>Medium/Clay</v>
      </c>
      <c r="D16" s="103" t="str">
        <f>Volac!D16</f>
        <v>Medium/Clay</v>
      </c>
      <c r="E16" s="103" t="str">
        <f>Volac!E16</f>
        <v>Medium/Clay</v>
      </c>
      <c r="F16" s="103" t="str">
        <f>Volac!F16</f>
        <v>Medium/Clay</v>
      </c>
      <c r="G16" s="103" t="str">
        <f>Volac!G16</f>
        <v>Medium/Clay</v>
      </c>
      <c r="H16" s="103" t="str">
        <f>Volac!H16</f>
        <v>Medium/Clay</v>
      </c>
      <c r="I16" s="103" t="str">
        <f>Volac!I16</f>
        <v>Medium/Clay</v>
      </c>
      <c r="J16" s="103" t="str">
        <f>Volac!J16</f>
        <v>Medium/Clay</v>
      </c>
      <c r="K16" s="103" t="str">
        <f>Volac!K16</f>
        <v>Medium/Clay</v>
      </c>
      <c r="L16" s="103" t="str">
        <f>Volac!L16</f>
        <v>Medium/Clay</v>
      </c>
      <c r="M16" s="103">
        <f>Volac!M16</f>
        <v>0</v>
      </c>
      <c r="N16" s="103">
        <f>Volac!N16</f>
        <v>0</v>
      </c>
      <c r="O16" s="103">
        <f>Volac!O16</f>
        <v>0</v>
      </c>
      <c r="P16" s="103">
        <f>Volac!P16</f>
        <v>0</v>
      </c>
      <c r="Q16" s="103">
        <f>Volac!Q16</f>
        <v>0</v>
      </c>
      <c r="R16" s="103">
        <f>Volac!R16</f>
        <v>0</v>
      </c>
      <c r="S16" s="103">
        <f>Volac!S16</f>
        <v>0</v>
      </c>
      <c r="T16" s="103">
        <f>Volac!T16</f>
        <v>0</v>
      </c>
      <c r="U16" s="103">
        <f>Volac!U16</f>
        <v>0</v>
      </c>
      <c r="V16" s="103">
        <f>Volac!V16</f>
        <v>0</v>
      </c>
      <c r="AD16" s="52" t="s">
        <v>145</v>
      </c>
      <c r="AE16" s="30">
        <v>8</v>
      </c>
      <c r="AI16" s="53" t="s">
        <v>118</v>
      </c>
      <c r="AJ16" s="54">
        <v>8</v>
      </c>
      <c r="AK16" s="55">
        <v>5.5</v>
      </c>
      <c r="AL16" s="12">
        <v>14</v>
      </c>
      <c r="AM16" s="11">
        <v>6.7</v>
      </c>
      <c r="AN16" s="11" t="s">
        <v>135</v>
      </c>
    </row>
    <row r="17" spans="1:40"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62.999999999999993</v>
      </c>
      <c r="H17" s="28">
        <f t="shared" si="0"/>
        <v>62.999999999999993</v>
      </c>
      <c r="I17" s="28">
        <f t="shared" si="0"/>
        <v>255</v>
      </c>
      <c r="J17" s="28">
        <f t="shared" si="0"/>
        <v>62.999999999999993</v>
      </c>
      <c r="K17" s="28">
        <f t="shared" si="0"/>
        <v>62.999999999999993</v>
      </c>
      <c r="L17" s="28">
        <f t="shared" si="0"/>
        <v>79.899999999999991</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4" t="s">
        <v>23</v>
      </c>
      <c r="B18" s="125"/>
      <c r="C18" s="16">
        <f>$D31</f>
        <v>78.979017600000006</v>
      </c>
      <c r="D18" s="16">
        <f>$D32</f>
        <v>78.979017600000006</v>
      </c>
      <c r="E18" s="16">
        <f>$D33</f>
        <v>78.979017600000006</v>
      </c>
      <c r="F18" s="16">
        <f>$D34</f>
        <v>128.8605024</v>
      </c>
      <c r="G18" s="16">
        <f>$D35</f>
        <v>62.351856000000005</v>
      </c>
      <c r="H18" s="16">
        <f>$D36</f>
        <v>0</v>
      </c>
      <c r="I18" s="16">
        <f>$D37</f>
        <v>54.038275200000008</v>
      </c>
      <c r="J18" s="16">
        <f>$D38</f>
        <v>0</v>
      </c>
      <c r="K18" s="16">
        <f>$D39</f>
        <v>62.351856000000005</v>
      </c>
      <c r="L18" s="16">
        <f>$D40</f>
        <v>128.8605024</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4" t="s">
        <v>90</v>
      </c>
      <c r="B19" s="125"/>
      <c r="C19" s="16">
        <f>C18-C17</f>
        <v>-0.92098239999998555</v>
      </c>
      <c r="D19" s="16">
        <f t="shared" ref="D19:V19" si="1">D18-D17</f>
        <v>-0.92098239999998555</v>
      </c>
      <c r="E19" s="16">
        <f t="shared" si="1"/>
        <v>-0.92098239999998555</v>
      </c>
      <c r="F19" s="16">
        <f t="shared" si="1"/>
        <v>48.96050240000001</v>
      </c>
      <c r="G19" s="16">
        <f t="shared" si="1"/>
        <v>-0.64814399999998784</v>
      </c>
      <c r="H19" s="16">
        <f t="shared" si="1"/>
        <v>-62.999999999999993</v>
      </c>
      <c r="I19" s="16">
        <f t="shared" si="1"/>
        <v>-200.96172479999998</v>
      </c>
      <c r="J19" s="16">
        <f t="shared" si="1"/>
        <v>-62.999999999999993</v>
      </c>
      <c r="K19" s="16">
        <f t="shared" si="1"/>
        <v>-0.64814399999998784</v>
      </c>
      <c r="L19" s="16">
        <f t="shared" si="1"/>
        <v>48.96050240000001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2" t="s">
        <v>88</v>
      </c>
      <c r="B21" s="123"/>
      <c r="C21" s="28">
        <f>(VLOOKUP(C$14,$AI2:$AK26,3,FALSE))*C$15</f>
        <v>282</v>
      </c>
      <c r="D21" s="28">
        <f t="shared" ref="D21:V21" si="2">(VLOOKUP(D$14,$AI2:$AK26,3,FALSE))*D$15</f>
        <v>282</v>
      </c>
      <c r="E21" s="28">
        <f t="shared" si="2"/>
        <v>282</v>
      </c>
      <c r="F21" s="28">
        <f t="shared" si="2"/>
        <v>282</v>
      </c>
      <c r="G21" s="28">
        <f t="shared" si="2"/>
        <v>198.00000000000003</v>
      </c>
      <c r="H21" s="28">
        <f t="shared" si="2"/>
        <v>198.00000000000003</v>
      </c>
      <c r="I21" s="28">
        <f t="shared" si="2"/>
        <v>360</v>
      </c>
      <c r="J21" s="28">
        <f t="shared" si="2"/>
        <v>198.00000000000003</v>
      </c>
      <c r="K21" s="28">
        <f t="shared" si="2"/>
        <v>198.00000000000003</v>
      </c>
      <c r="L21" s="28">
        <f t="shared" si="2"/>
        <v>282</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4" t="s">
        <v>89</v>
      </c>
      <c r="B22" s="125"/>
      <c r="C22" s="16">
        <f>$E31</f>
        <v>13.846896000000005</v>
      </c>
      <c r="D22" s="16">
        <f>$E32</f>
        <v>13.846896000000005</v>
      </c>
      <c r="E22" s="16">
        <f>$E33</f>
        <v>13.846896000000005</v>
      </c>
      <c r="F22" s="16">
        <f>$E34</f>
        <v>22.592304000000006</v>
      </c>
      <c r="G22" s="16">
        <f>$E35</f>
        <v>10.931760000000002</v>
      </c>
      <c r="H22" s="16">
        <f>$E36</f>
        <v>0</v>
      </c>
      <c r="I22" s="16">
        <f>$E37</f>
        <v>9.4741920000000022</v>
      </c>
      <c r="J22" s="16">
        <f>$E38</f>
        <v>0</v>
      </c>
      <c r="K22" s="16">
        <f>$E39</f>
        <v>10.931760000000002</v>
      </c>
      <c r="L22" s="16">
        <f>$E40</f>
        <v>22.592304000000006</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4" t="s">
        <v>92</v>
      </c>
      <c r="B23" s="125"/>
      <c r="C23" s="16">
        <f>C22-C21</f>
        <v>-268.15310399999998</v>
      </c>
      <c r="D23" s="16">
        <f t="shared" ref="D23:V23" si="3">D22-D21</f>
        <v>-268.15310399999998</v>
      </c>
      <c r="E23" s="16">
        <f t="shared" si="3"/>
        <v>-268.15310399999998</v>
      </c>
      <c r="F23" s="16">
        <f t="shared" si="3"/>
        <v>-259.40769599999999</v>
      </c>
      <c r="G23" s="16">
        <f t="shared" si="3"/>
        <v>-187.06824000000003</v>
      </c>
      <c r="H23" s="16">
        <f t="shared" si="3"/>
        <v>-198.00000000000003</v>
      </c>
      <c r="I23" s="16">
        <f t="shared" si="3"/>
        <v>-350.52580799999998</v>
      </c>
      <c r="J23" s="16">
        <f t="shared" si="3"/>
        <v>-198.00000000000003</v>
      </c>
      <c r="K23" s="16">
        <f t="shared" si="3"/>
        <v>-187.06824000000003</v>
      </c>
      <c r="L23" s="16">
        <f t="shared" si="3"/>
        <v>-259.40769599999999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28.8</v>
      </c>
      <c r="C28" s="15">
        <v>0.93</v>
      </c>
      <c r="D28" s="15">
        <v>0.315</v>
      </c>
      <c r="E28" s="15">
        <v>0.105</v>
      </c>
      <c r="F28" s="15">
        <v>2820</v>
      </c>
      <c r="G28" s="15">
        <v>34.9</v>
      </c>
      <c r="H28" s="15">
        <v>217</v>
      </c>
      <c r="I28" s="15">
        <v>49.6</v>
      </c>
      <c r="J28" s="15">
        <v>0.19</v>
      </c>
      <c r="K28" s="23">
        <v>0.18</v>
      </c>
      <c r="L28" s="15">
        <v>23.4</v>
      </c>
      <c r="M28" s="15">
        <v>24.9</v>
      </c>
      <c r="N28" s="15">
        <v>13100</v>
      </c>
      <c r="O28" s="15">
        <v>220000</v>
      </c>
      <c r="P28" s="15"/>
      <c r="Q28" s="15">
        <v>2820</v>
      </c>
      <c r="R28" s="15"/>
      <c r="S28" s="15">
        <v>19.600000000000001</v>
      </c>
      <c r="T28" s="15"/>
      <c r="U28" s="15"/>
    </row>
    <row r="29" spans="1:40" s="7" customFormat="1" ht="28.8" x14ac:dyDescent="0.3">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t="str">
        <f>C8</f>
        <v xml:space="preserve"> CYY 5505
</v>
      </c>
      <c r="B31" s="15">
        <v>38</v>
      </c>
      <c r="C31" s="77">
        <f>IF(C$27="%w/w SAR",((C$28*10)*$B31),IF(C$27="%w/w DM",(((C$28*10)*($B$28/100))*$B31),IF(C$27="kg/t SAR",(C$28*$B31),IF(C$27="kg/t DM",((C$28*($B$28/100))*$B31),IF(C$27="mg/kg SAR",((C$28*0.001)*$B31),IF(C$27="mg/kg DM",(((C$28*0.001)*($B$28/100))*$B31),0))))))</f>
        <v>101.77920000000002</v>
      </c>
      <c r="D31" s="77">
        <f>(IF(D$27="%w/w SAR",((D$28*10)*$B31),IF(D$27="%w/w DM",(((D$28*10)*($B$28/100))*$B31),IF(D$27="kg/t SAR",(D$28*$B31),IF(D$27="kg/t DM",((D$28*($B$28/100))*$B31),IF(D$27="mg/kg SAR",((D$28*0.001)*$B31),IF(D$27="mg/kg DM",(((D$28*0.001)*($B$28/100))*$B31),"0")))))))*2.291</f>
        <v>78.979017600000006</v>
      </c>
      <c r="E31" s="77">
        <f>(IF(E$27="%w/w SAR",((E$28*10)*$B31),IF(E$27="%w/w DM",(((E$28*10)*($B$28/100))*$B31),IF(E$27="kg/t SAR",(E$28*$B31),IF(E$27="kg/t DM",((E$28*($B$28/100))*$B31),IF(E$27="mg/kg SAR",((E$28*0.001)*$B31),IF(E$27="mg/kg DM",(((E$28*0.001)*($B$28/100))*$B31),"0")))))))*1.205</f>
        <v>13.846896000000005</v>
      </c>
      <c r="F31" s="77">
        <f>(IF(F$27="%w/w SAR",((F$28*10)*$B31),IF(F$27="%w/w DM",(((F$28*10)*($B$28/100))*$B31),IF(F$27="kg/t SAR",(F$28*$B31),IF(F$27="kg/t DM",((F$28*($B$28/100))*$B31),IF(F$27="mg/kg SAR",((F$28*0.001)*$B31),IF(F$27="mg/kg DM",(((F$28*0.001)*($B$28/100))*$B31),"0")))))))*1.658</f>
        <v>51.169328640000003</v>
      </c>
      <c r="G31" s="77">
        <f t="shared" ref="G31:P46" si="5">IF(G$27="%w/w SAR",((G$28*10)*$B31),IF(G$27="%w/w DM",(((G$28*10)*($B$28/100))*$B31),IF(G$27="kg/t SAR",(G$28*$B31),IF(G$27="kg/t DM",((G$28*($B$28/100))*$B31),IF(G$27="mg/kg SAR",((G$28*0.001)*$B31),IF(G$27="mg/kg DM",(((G$28*0.001)*($B$28/100))*$B31),0))))))</f>
        <v>0.38194560000000005</v>
      </c>
      <c r="H31" s="77">
        <f t="shared" si="5"/>
        <v>2.3748480000000005</v>
      </c>
      <c r="I31" s="77">
        <f t="shared" si="5"/>
        <v>0.54282240000000015</v>
      </c>
      <c r="J31" s="77">
        <f t="shared" si="5"/>
        <v>2.0793600000000006E-3</v>
      </c>
      <c r="K31" s="77">
        <f t="shared" si="5"/>
        <v>1.96992E-3</v>
      </c>
      <c r="L31" s="77">
        <f t="shared" si="5"/>
        <v>0.25608960000000003</v>
      </c>
      <c r="M31" s="77">
        <f t="shared" si="5"/>
        <v>0.27250560000000001</v>
      </c>
      <c r="N31" s="77">
        <f t="shared" si="5"/>
        <v>143.3664</v>
      </c>
      <c r="O31" s="77">
        <f t="shared" si="5"/>
        <v>2407.6800000000003</v>
      </c>
      <c r="P31" s="77">
        <f t="shared" si="5"/>
        <v>0</v>
      </c>
      <c r="Q31" s="77">
        <f>(IF(Q$27="%w/w SAR",((Q$28*10)*$B31),IF(Q$27="%w/w DM",(((Q$28*10)*($B$28/100))*$B31),IF(Q$27="kg/t SAR",(Q$28*$B31),IF(Q$27="kg/t DM",((Q$28*($B$28/100))*$B31),IF(Q$27="mg/kg SAR",((Q$28*0.001)*$B31),IF(Q$27="mg/kg DM",(((Q$28*0.001)*($B$28/100))*$B31),0)))))))*2.5</f>
        <v>77.155200000000008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0.21450240000000007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t="str">
        <f>D8</f>
        <v xml:space="preserve"> CYY 4885
</v>
      </c>
      <c r="B32" s="15">
        <v>38</v>
      </c>
      <c r="C32" s="77">
        <f t="shared" ref="C32:C50" si="6">IF(C$27="%w/w SAR",((C$28*10)*$B32),IF(C$27="%w/w DM",(((C$28*10)*($B$28/100))*$B32),IF(C$27="kg/t SAR",(C$28*$B32),IF(C$27="kg/t DM",((C$28*($B$28/100))*$B32),IF(C$27="mg/kg SAR",((C$28*0.001)*$B32),IF(C$27="mg/kg DM",(((C$28*0.001)*($B$28/100))*$B32),0))))))</f>
        <v>101.77920000000002</v>
      </c>
      <c r="D32" s="77">
        <f t="shared" ref="D32:D50" si="7">(IF(D$27="%w/w SAR",((D$28*10)*$B32),IF(D$27="%w/w DM",(((D$28*10)*($B$28/100))*$B32),IF(D$27="kg/t SAR",(D$28*$B32),IF(D$27="kg/t DM",((D$28*($B$28/100))*$B32),IF(D$27="mg/kg SAR",((D$28*0.001)*$B32),IF(D$27="mg/kg DM",(((D$28*0.001)*($B$28/100))*$B32),"0")))))))*2.291</f>
        <v>78.979017600000006</v>
      </c>
      <c r="E32" s="77">
        <f t="shared" ref="E32:E50" si="8">(IF(E$27="%w/w SAR",((E$28*10)*$B32),IF(E$27="%w/w DM",(((E$28*10)*($B$28/100))*$B32),IF(E$27="kg/t SAR",(E$28*$B32),IF(E$27="kg/t DM",((E$28*($B$28/100))*$B32),IF(E$27="mg/kg SAR",((E$28*0.001)*$B32),IF(E$27="mg/kg DM",(((E$28*0.001)*($B$28/100))*$B32),"0")))))))*1.205</f>
        <v>13.846896000000005</v>
      </c>
      <c r="F32" s="77">
        <f t="shared" ref="F32:F50" si="9">(IF(F$27="%w/w SAR",((F$28*10)*$B32),IF(F$27="%w/w DM",(((F$28*10)*($B$28/100))*$B32),IF(F$27="kg/t SAR",(F$28*$B32),IF(F$27="kg/t DM",((F$28*($B$28/100))*$B32),IF(F$27="mg/kg SAR",((F$28*0.001)*$B32),IF(F$27="mg/kg DM",(((F$28*0.001)*($B$28/100))*$B32),"0")))))))*1.658</f>
        <v>51.169328640000003</v>
      </c>
      <c r="G32" s="77">
        <f t="shared" si="5"/>
        <v>0.38194560000000005</v>
      </c>
      <c r="H32" s="77">
        <f t="shared" si="5"/>
        <v>2.3748480000000005</v>
      </c>
      <c r="I32" s="77">
        <f t="shared" si="5"/>
        <v>0.54282240000000015</v>
      </c>
      <c r="J32" s="77">
        <f t="shared" si="5"/>
        <v>2.0793600000000006E-3</v>
      </c>
      <c r="K32" s="77">
        <f t="shared" si="5"/>
        <v>1.96992E-3</v>
      </c>
      <c r="L32" s="77">
        <f t="shared" si="5"/>
        <v>0.25608960000000003</v>
      </c>
      <c r="M32" s="77">
        <f t="shared" si="5"/>
        <v>0.27250560000000001</v>
      </c>
      <c r="N32" s="77">
        <f t="shared" si="5"/>
        <v>143.3664</v>
      </c>
      <c r="O32" s="77">
        <f t="shared" si="5"/>
        <v>2407.6800000000003</v>
      </c>
      <c r="P32" s="77">
        <f t="shared" si="5"/>
        <v>0</v>
      </c>
      <c r="Q32" s="77">
        <f t="shared" ref="Q32:Q50" si="10">(IF(Q$27="%w/w SAR",((Q$28*10)*$B32),IF(Q$27="%w/w DM",(((Q$28*10)*($B$28/100))*$B32),IF(Q$27="kg/t SAR",(Q$28*$B32),IF(Q$27="kg/t DM",((Q$28*($B$28/100))*$B32),IF(Q$27="mg/kg SAR",((Q$28*0.001)*$B32),IF(Q$27="mg/kg DM",(((Q$28*0.001)*($B$28/100))*$B32),0)))))))*2.5</f>
        <v>77.155200000000008</v>
      </c>
      <c r="R32" s="77">
        <f t="shared" ref="R32:U50" si="11">IF(R$27="%w/w SAR",((R$28*10)*$B32),IF(R$27="%w/w DM",(((R$28*10)*($B$28/100))*$B32),IF(R$27="kg/t SAR",(R$28*$B32),IF(R$27="kg/t DM",((R$28*($B$28/100))*$B32),IF(R$27="mg/kg SAR",((R$28*0.001)*$B32),IF(R$27="mg/kg DM",(((R$28*0.001)*($B$28/100))*$B32),0))))))</f>
        <v>0</v>
      </c>
      <c r="S32" s="77">
        <f t="shared" si="11"/>
        <v>0.21450240000000007</v>
      </c>
      <c r="T32" s="77">
        <f t="shared" si="11"/>
        <v>0</v>
      </c>
      <c r="U32" s="77">
        <f t="shared" si="11"/>
        <v>0</v>
      </c>
      <c r="AB32" s="59"/>
      <c r="AC32" s="59"/>
      <c r="AD32" s="59"/>
      <c r="AE32" s="59"/>
      <c r="AF32" s="59"/>
      <c r="AG32" s="59"/>
      <c r="AH32" s="59"/>
      <c r="AI32" s="59"/>
    </row>
    <row r="33" spans="1:35" s="72" customFormat="1" x14ac:dyDescent="0.3">
      <c r="A33" s="13" t="str">
        <f>E8</f>
        <v xml:space="preserve">  2056
</v>
      </c>
      <c r="B33" s="15">
        <v>38</v>
      </c>
      <c r="C33" s="77">
        <f t="shared" si="6"/>
        <v>101.77920000000002</v>
      </c>
      <c r="D33" s="77">
        <f t="shared" si="7"/>
        <v>78.979017600000006</v>
      </c>
      <c r="E33" s="77">
        <f t="shared" si="8"/>
        <v>13.846896000000005</v>
      </c>
      <c r="F33" s="77">
        <f t="shared" si="9"/>
        <v>51.169328640000003</v>
      </c>
      <c r="G33" s="77">
        <f t="shared" si="5"/>
        <v>0.38194560000000005</v>
      </c>
      <c r="H33" s="77">
        <f t="shared" si="5"/>
        <v>2.3748480000000005</v>
      </c>
      <c r="I33" s="77">
        <f t="shared" si="5"/>
        <v>0.54282240000000015</v>
      </c>
      <c r="J33" s="77">
        <f t="shared" si="5"/>
        <v>2.0793600000000006E-3</v>
      </c>
      <c r="K33" s="77">
        <f t="shared" si="5"/>
        <v>1.96992E-3</v>
      </c>
      <c r="L33" s="77">
        <f t="shared" si="5"/>
        <v>0.25608960000000003</v>
      </c>
      <c r="M33" s="77">
        <f t="shared" si="5"/>
        <v>0.27250560000000001</v>
      </c>
      <c r="N33" s="77">
        <f t="shared" si="5"/>
        <v>143.3664</v>
      </c>
      <c r="O33" s="77">
        <f t="shared" si="5"/>
        <v>2407.6800000000003</v>
      </c>
      <c r="P33" s="77">
        <f t="shared" si="5"/>
        <v>0</v>
      </c>
      <c r="Q33" s="77">
        <f t="shared" si="10"/>
        <v>77.155200000000008</v>
      </c>
      <c r="R33" s="77">
        <f t="shared" si="11"/>
        <v>0</v>
      </c>
      <c r="S33" s="77">
        <f t="shared" si="11"/>
        <v>0.21450240000000007</v>
      </c>
      <c r="T33" s="77">
        <f t="shared" si="11"/>
        <v>0</v>
      </c>
      <c r="U33" s="77">
        <f t="shared" si="11"/>
        <v>0</v>
      </c>
      <c r="AB33" s="59"/>
      <c r="AC33" s="59"/>
      <c r="AD33" s="59"/>
      <c r="AE33" s="59"/>
      <c r="AF33" s="59"/>
      <c r="AG33" s="59"/>
      <c r="AH33" s="59"/>
      <c r="AI33" s="59"/>
    </row>
    <row r="34" spans="1:35" s="72" customFormat="1" x14ac:dyDescent="0.3">
      <c r="A34" s="13" t="str">
        <f>F8</f>
        <v xml:space="preserve">0834
</v>
      </c>
      <c r="B34" s="15">
        <v>62</v>
      </c>
      <c r="C34" s="77">
        <f t="shared" si="6"/>
        <v>166.06080000000003</v>
      </c>
      <c r="D34" s="77">
        <f t="shared" si="7"/>
        <v>128.8605024</v>
      </c>
      <c r="E34" s="77">
        <f t="shared" si="8"/>
        <v>22.592304000000006</v>
      </c>
      <c r="F34" s="77">
        <f t="shared" si="9"/>
        <v>83.486799360000006</v>
      </c>
      <c r="G34" s="77">
        <f t="shared" si="5"/>
        <v>0.62317440000000013</v>
      </c>
      <c r="H34" s="77">
        <f t="shared" si="5"/>
        <v>3.8747520000000004</v>
      </c>
      <c r="I34" s="77">
        <f t="shared" si="5"/>
        <v>0.88565760000000027</v>
      </c>
      <c r="J34" s="77">
        <f t="shared" si="5"/>
        <v>3.3926400000000006E-3</v>
      </c>
      <c r="K34" s="77">
        <f t="shared" si="5"/>
        <v>3.2140799999999998E-3</v>
      </c>
      <c r="L34" s="77">
        <f t="shared" si="5"/>
        <v>0.41783040000000005</v>
      </c>
      <c r="M34" s="77">
        <f t="shared" si="5"/>
        <v>0.44461440000000008</v>
      </c>
      <c r="N34" s="77">
        <f t="shared" si="5"/>
        <v>233.9136</v>
      </c>
      <c r="O34" s="77">
        <f t="shared" si="5"/>
        <v>3928.3200000000006</v>
      </c>
      <c r="P34" s="77">
        <f t="shared" si="5"/>
        <v>0</v>
      </c>
      <c r="Q34" s="77">
        <f t="shared" si="10"/>
        <v>125.88480000000003</v>
      </c>
      <c r="R34" s="77">
        <f t="shared" si="11"/>
        <v>0</v>
      </c>
      <c r="S34" s="77">
        <f t="shared" si="11"/>
        <v>0.34997760000000011</v>
      </c>
      <c r="T34" s="77">
        <f t="shared" si="11"/>
        <v>0</v>
      </c>
      <c r="U34" s="77">
        <f t="shared" si="11"/>
        <v>0</v>
      </c>
      <c r="AB34" s="59"/>
      <c r="AC34" s="59"/>
      <c r="AD34" s="59"/>
      <c r="AE34" s="59"/>
      <c r="AF34" s="59"/>
      <c r="AG34" s="59"/>
      <c r="AH34" s="59"/>
      <c r="AI34" s="59"/>
    </row>
    <row r="35" spans="1:35" s="72" customFormat="1" x14ac:dyDescent="0.3">
      <c r="A35" s="13" t="str">
        <f>G8</f>
        <v xml:space="preserve">5928
</v>
      </c>
      <c r="B35" s="15">
        <v>30</v>
      </c>
      <c r="C35" s="77">
        <f t="shared" si="6"/>
        <v>80.352000000000004</v>
      </c>
      <c r="D35" s="77">
        <f t="shared" si="7"/>
        <v>62.351856000000005</v>
      </c>
      <c r="E35" s="77">
        <f t="shared" si="8"/>
        <v>10.931760000000002</v>
      </c>
      <c r="F35" s="77">
        <f t="shared" si="9"/>
        <v>40.3968384</v>
      </c>
      <c r="G35" s="77">
        <f t="shared" si="5"/>
        <v>0.30153600000000003</v>
      </c>
      <c r="H35" s="77">
        <f t="shared" si="5"/>
        <v>1.8748800000000003</v>
      </c>
      <c r="I35" s="77">
        <f t="shared" si="5"/>
        <v>0.42854400000000009</v>
      </c>
      <c r="J35" s="77">
        <f t="shared" si="5"/>
        <v>1.6416000000000004E-3</v>
      </c>
      <c r="K35" s="77">
        <f t="shared" si="5"/>
        <v>1.5551999999999999E-3</v>
      </c>
      <c r="L35" s="77">
        <f t="shared" si="5"/>
        <v>0.20217600000000002</v>
      </c>
      <c r="M35" s="77">
        <f t="shared" si="5"/>
        <v>0.21513600000000002</v>
      </c>
      <c r="N35" s="77">
        <f t="shared" si="5"/>
        <v>113.184</v>
      </c>
      <c r="O35" s="77">
        <f t="shared" si="5"/>
        <v>1900.8000000000002</v>
      </c>
      <c r="P35" s="77">
        <f t="shared" si="5"/>
        <v>0</v>
      </c>
      <c r="Q35" s="77">
        <f t="shared" si="10"/>
        <v>60.912000000000006</v>
      </c>
      <c r="R35" s="77">
        <f t="shared" si="11"/>
        <v>0</v>
      </c>
      <c r="S35" s="77">
        <f t="shared" si="11"/>
        <v>0.16934400000000005</v>
      </c>
      <c r="T35" s="77">
        <f t="shared" si="11"/>
        <v>0</v>
      </c>
      <c r="U35" s="77">
        <f t="shared" si="11"/>
        <v>0</v>
      </c>
      <c r="AB35" s="59"/>
      <c r="AC35" s="59"/>
      <c r="AD35" s="59"/>
      <c r="AE35" s="59"/>
      <c r="AF35" s="59"/>
      <c r="AG35" s="59"/>
      <c r="AH35" s="59"/>
      <c r="AI35" s="59"/>
    </row>
    <row r="36" spans="1:35" s="72" customFormat="1" x14ac:dyDescent="0.3">
      <c r="A36" s="13" t="str">
        <f>H8</f>
        <v xml:space="preserve"> 3370
</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t="str">
        <f>I8</f>
        <v xml:space="preserve"> Dun 2
 </v>
      </c>
      <c r="B37" s="15">
        <v>26</v>
      </c>
      <c r="C37" s="77">
        <f t="shared" si="6"/>
        <v>69.638400000000004</v>
      </c>
      <c r="D37" s="77">
        <f t="shared" si="7"/>
        <v>54.038275200000008</v>
      </c>
      <c r="E37" s="77">
        <f t="shared" si="8"/>
        <v>9.4741920000000022</v>
      </c>
      <c r="F37" s="77">
        <f t="shared" si="9"/>
        <v>35.010593280000002</v>
      </c>
      <c r="G37" s="77">
        <f t="shared" si="5"/>
        <v>0.26133120000000004</v>
      </c>
      <c r="H37" s="77">
        <f t="shared" si="5"/>
        <v>1.6248960000000003</v>
      </c>
      <c r="I37" s="77">
        <f t="shared" si="5"/>
        <v>0.37140480000000009</v>
      </c>
      <c r="J37" s="77">
        <f t="shared" si="5"/>
        <v>1.4227200000000004E-3</v>
      </c>
      <c r="K37" s="77">
        <f t="shared" si="5"/>
        <v>1.3478399999999999E-3</v>
      </c>
      <c r="L37" s="77">
        <f t="shared" si="5"/>
        <v>0.17521920000000002</v>
      </c>
      <c r="M37" s="77">
        <f t="shared" si="5"/>
        <v>0.18645120000000001</v>
      </c>
      <c r="N37" s="77">
        <f t="shared" si="5"/>
        <v>98.092800000000011</v>
      </c>
      <c r="O37" s="77">
        <f t="shared" si="5"/>
        <v>1647.3600000000001</v>
      </c>
      <c r="P37" s="77">
        <f t="shared" si="5"/>
        <v>0</v>
      </c>
      <c r="Q37" s="77">
        <f t="shared" si="10"/>
        <v>52.790400000000012</v>
      </c>
      <c r="R37" s="77">
        <f t="shared" si="11"/>
        <v>0</v>
      </c>
      <c r="S37" s="77">
        <f t="shared" si="11"/>
        <v>0.14676480000000006</v>
      </c>
      <c r="T37" s="77">
        <f t="shared" si="11"/>
        <v>0</v>
      </c>
      <c r="U37" s="77">
        <f t="shared" si="11"/>
        <v>0</v>
      </c>
      <c r="AB37" s="59"/>
      <c r="AC37" s="59"/>
      <c r="AD37" s="59"/>
      <c r="AE37" s="59"/>
      <c r="AF37" s="59"/>
      <c r="AG37" s="59"/>
      <c r="AH37" s="59"/>
      <c r="AI37" s="59"/>
    </row>
    <row r="38" spans="1:35" s="72" customFormat="1" x14ac:dyDescent="0.3">
      <c r="A38" s="13" t="str">
        <f>J8</f>
        <v xml:space="preserve">9155
</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t="str">
        <f>K8</f>
        <v xml:space="preserve"> 2062
</v>
      </c>
      <c r="B39" s="15">
        <v>30</v>
      </c>
      <c r="C39" s="77">
        <f t="shared" si="6"/>
        <v>80.352000000000004</v>
      </c>
      <c r="D39" s="77">
        <f t="shared" si="7"/>
        <v>62.351856000000005</v>
      </c>
      <c r="E39" s="77">
        <f t="shared" si="8"/>
        <v>10.931760000000002</v>
      </c>
      <c r="F39" s="77">
        <f t="shared" si="9"/>
        <v>40.3968384</v>
      </c>
      <c r="G39" s="77">
        <f t="shared" si="5"/>
        <v>0.30153600000000003</v>
      </c>
      <c r="H39" s="77">
        <f t="shared" si="5"/>
        <v>1.8748800000000003</v>
      </c>
      <c r="I39" s="77">
        <f t="shared" si="5"/>
        <v>0.42854400000000009</v>
      </c>
      <c r="J39" s="77">
        <f t="shared" si="5"/>
        <v>1.6416000000000004E-3</v>
      </c>
      <c r="K39" s="77">
        <f t="shared" si="5"/>
        <v>1.5551999999999999E-3</v>
      </c>
      <c r="L39" s="77">
        <f t="shared" si="5"/>
        <v>0.20217600000000002</v>
      </c>
      <c r="M39" s="77">
        <f t="shared" si="5"/>
        <v>0.21513600000000002</v>
      </c>
      <c r="N39" s="77">
        <f t="shared" si="5"/>
        <v>113.184</v>
      </c>
      <c r="O39" s="77">
        <f t="shared" si="5"/>
        <v>1900.8000000000002</v>
      </c>
      <c r="P39" s="77">
        <f t="shared" si="5"/>
        <v>0</v>
      </c>
      <c r="Q39" s="77">
        <f t="shared" si="10"/>
        <v>60.912000000000006</v>
      </c>
      <c r="R39" s="77">
        <f t="shared" si="11"/>
        <v>0</v>
      </c>
      <c r="S39" s="77">
        <f t="shared" si="11"/>
        <v>0.16934400000000005</v>
      </c>
      <c r="T39" s="77">
        <f t="shared" si="11"/>
        <v>0</v>
      </c>
      <c r="U39" s="77">
        <f t="shared" si="11"/>
        <v>0</v>
      </c>
      <c r="AB39" s="59"/>
      <c r="AC39" s="59"/>
      <c r="AD39" s="59"/>
      <c r="AE39" s="59"/>
      <c r="AF39" s="59"/>
      <c r="AG39" s="59"/>
      <c r="AH39" s="59"/>
      <c r="AI39" s="59"/>
    </row>
    <row r="40" spans="1:35" s="72" customFormat="1" x14ac:dyDescent="0.3">
      <c r="A40" s="13">
        <f>L8</f>
        <v>3234</v>
      </c>
      <c r="B40" s="15">
        <v>62</v>
      </c>
      <c r="C40" s="77">
        <f t="shared" si="6"/>
        <v>166.06080000000003</v>
      </c>
      <c r="D40" s="77">
        <f t="shared" si="7"/>
        <v>128.8605024</v>
      </c>
      <c r="E40" s="77">
        <f t="shared" si="8"/>
        <v>22.592304000000006</v>
      </c>
      <c r="F40" s="77">
        <f t="shared" si="9"/>
        <v>83.486799360000006</v>
      </c>
      <c r="G40" s="77">
        <f t="shared" si="5"/>
        <v>0.62317440000000013</v>
      </c>
      <c r="H40" s="77">
        <f t="shared" si="5"/>
        <v>3.8747520000000004</v>
      </c>
      <c r="I40" s="77">
        <f t="shared" si="5"/>
        <v>0.88565760000000027</v>
      </c>
      <c r="J40" s="77">
        <f t="shared" si="5"/>
        <v>3.3926400000000006E-3</v>
      </c>
      <c r="K40" s="77">
        <f t="shared" si="5"/>
        <v>3.2140799999999998E-3</v>
      </c>
      <c r="L40" s="77">
        <f t="shared" si="5"/>
        <v>0.41783040000000005</v>
      </c>
      <c r="M40" s="77">
        <f t="shared" si="5"/>
        <v>0.44461440000000008</v>
      </c>
      <c r="N40" s="77">
        <f t="shared" si="5"/>
        <v>233.9136</v>
      </c>
      <c r="O40" s="77">
        <f t="shared" si="5"/>
        <v>3928.3200000000006</v>
      </c>
      <c r="P40" s="77">
        <f t="shared" si="5"/>
        <v>0</v>
      </c>
      <c r="Q40" s="77">
        <f t="shared" si="10"/>
        <v>125.88480000000003</v>
      </c>
      <c r="R40" s="77">
        <f t="shared" si="11"/>
        <v>0</v>
      </c>
      <c r="S40" s="77">
        <f t="shared" si="11"/>
        <v>0.34997760000000011</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t="str">
        <f>C8</f>
        <v xml:space="preserve"> CYY 5505
</v>
      </c>
      <c r="C57" s="8" t="str">
        <f t="shared" ref="C57:U57" si="13">D8</f>
        <v xml:space="preserve"> CYY 4885
</v>
      </c>
      <c r="D57" s="8" t="str">
        <f t="shared" si="13"/>
        <v xml:space="preserve">  2056
</v>
      </c>
      <c r="E57" s="8" t="str">
        <f t="shared" si="13"/>
        <v xml:space="preserve">0834
</v>
      </c>
      <c r="F57" s="8" t="str">
        <f t="shared" si="13"/>
        <v xml:space="preserve">5928
</v>
      </c>
      <c r="G57" s="8" t="str">
        <f t="shared" si="13"/>
        <v xml:space="preserve"> 3370
</v>
      </c>
      <c r="H57" s="8" t="str">
        <f t="shared" si="13"/>
        <v xml:space="preserve"> Dun 2
 </v>
      </c>
      <c r="I57" s="8" t="str">
        <f t="shared" si="13"/>
        <v xml:space="preserve">9155
</v>
      </c>
      <c r="J57" s="8" t="str">
        <f t="shared" si="13"/>
        <v xml:space="preserve"> 2062
</v>
      </c>
      <c r="K57" s="8">
        <f t="shared" si="13"/>
        <v>3234</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Arable</v>
      </c>
      <c r="H58" s="13" t="str">
        <f>I16&amp;" I "&amp;(VLOOKUP(I14,Table2456[],6,FALSE))</f>
        <v>Medium/Clay I Arable</v>
      </c>
      <c r="I58" s="13" t="str">
        <f>J16&amp;" I "&amp;(VLOOKUP(J14,Table2456[],6,FALSE))</f>
        <v>Medium/Clay I Arable</v>
      </c>
      <c r="J58" s="13" t="str">
        <f>K16&amp;" I "&amp;(VLOOKUP(K14,Table2456[],6,FALSE))</f>
        <v>Medium/Clay I Arable</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5">
      <c r="A59" s="111" t="s">
        <v>132</v>
      </c>
      <c r="B59" s="76">
        <f>VLOOKUP(C$14,Table2456[],5,FALSE)</f>
        <v>6.2</v>
      </c>
      <c r="C59" s="76">
        <f>VLOOKUP(D$14,Table2456[],5,FALSE)</f>
        <v>6.2</v>
      </c>
      <c r="D59" s="76">
        <f>VLOOKUP(E$14,Table2456[],5,FALSE)</f>
        <v>6.2</v>
      </c>
      <c r="E59" s="76">
        <f>VLOOKUP(F$14,Table2456[],5,FALSE)</f>
        <v>6.2</v>
      </c>
      <c r="F59" s="76">
        <f>VLOOKUP(G$14,Table2456[],5,FALSE)</f>
        <v>6.7</v>
      </c>
      <c r="G59" s="76">
        <f>VLOOKUP(H$14,Table2456[],5,FALSE)</f>
        <v>6.7</v>
      </c>
      <c r="H59" s="76">
        <f>VLOOKUP(I$14,Table2456[],5,FALSE)</f>
        <v>6.7</v>
      </c>
      <c r="I59" s="76">
        <f>VLOOKUP(J$14,Table2456[],5,FALSE)</f>
        <v>6.7</v>
      </c>
      <c r="J59" s="76">
        <f>VLOOKUP(K$14,Table2456[],5,FALSE)</f>
        <v>6.7</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5">
      <c r="A60" s="111" t="s">
        <v>4</v>
      </c>
      <c r="B60" s="76">
        <f>C10</f>
        <v>6.2</v>
      </c>
      <c r="C60" s="76">
        <f t="shared" ref="C60:U60" si="14">D10</f>
        <v>6.1</v>
      </c>
      <c r="D60" s="76">
        <f t="shared" si="14"/>
        <v>6</v>
      </c>
      <c r="E60" s="76">
        <f t="shared" si="14"/>
        <v>6.4</v>
      </c>
      <c r="F60" s="76">
        <f t="shared" si="14"/>
        <v>6.4</v>
      </c>
      <c r="G60" s="76">
        <f t="shared" si="14"/>
        <v>6.1</v>
      </c>
      <c r="H60" s="76">
        <f t="shared" si="14"/>
        <v>6.3</v>
      </c>
      <c r="I60" s="76">
        <f t="shared" si="14"/>
        <v>5.9</v>
      </c>
      <c r="J60" s="76">
        <f t="shared" si="14"/>
        <v>6</v>
      </c>
      <c r="K60" s="76">
        <f t="shared" si="14"/>
        <v>6.1</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8</v>
      </c>
      <c r="G61" s="76">
        <f t="shared" si="15"/>
        <v>8</v>
      </c>
      <c r="H61" s="76">
        <f t="shared" si="15"/>
        <v>8</v>
      </c>
      <c r="I61" s="76">
        <f t="shared" si="15"/>
        <v>8</v>
      </c>
      <c r="J61" s="76">
        <f t="shared" si="15"/>
        <v>8</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38</v>
      </c>
      <c r="C62" s="77">
        <f>B32</f>
        <v>38</v>
      </c>
      <c r="D62" s="77">
        <f>B33</f>
        <v>38</v>
      </c>
      <c r="E62" s="77">
        <f>B34</f>
        <v>62</v>
      </c>
      <c r="F62" s="77">
        <f>B35</f>
        <v>30</v>
      </c>
      <c r="G62" s="77">
        <f>B36</f>
        <v>0</v>
      </c>
      <c r="H62" s="77">
        <f>B37</f>
        <v>26</v>
      </c>
      <c r="I62" s="77">
        <f>B38</f>
        <v>0</v>
      </c>
      <c r="J62" s="77">
        <f>B39</f>
        <v>30</v>
      </c>
      <c r="K62" s="77">
        <f>B40</f>
        <v>62</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v>
      </c>
      <c r="C64" s="77">
        <f t="shared" ref="C64:U64" si="17">(C59-C60)*C61</f>
        <v>0.6000000000000032</v>
      </c>
      <c r="D64" s="77">
        <f t="shared" si="17"/>
        <v>1.2000000000000011</v>
      </c>
      <c r="E64" s="77">
        <f t="shared" si="17"/>
        <v>-1.2000000000000011</v>
      </c>
      <c r="F64" s="77">
        <f t="shared" si="17"/>
        <v>2.3999999999999986</v>
      </c>
      <c r="G64" s="77">
        <f t="shared" si="17"/>
        <v>4.8000000000000043</v>
      </c>
      <c r="H64" s="77">
        <f t="shared" si="17"/>
        <v>3.2000000000000028</v>
      </c>
      <c r="I64" s="77">
        <f t="shared" si="17"/>
        <v>6.3999999999999986</v>
      </c>
      <c r="J64" s="77">
        <f t="shared" si="17"/>
        <v>5.6000000000000014</v>
      </c>
      <c r="K64" s="77">
        <f t="shared" si="17"/>
        <v>0.6000000000000032</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v>
      </c>
      <c r="C65" s="77">
        <f t="shared" ref="C65:U65" si="18">C63-C64</f>
        <v>-0.6000000000000032</v>
      </c>
      <c r="D65" s="77">
        <f t="shared" si="18"/>
        <v>-1.2000000000000011</v>
      </c>
      <c r="E65" s="77">
        <f t="shared" si="18"/>
        <v>1.2000000000000011</v>
      </c>
      <c r="F65" s="77">
        <f t="shared" si="18"/>
        <v>-2.3999999999999986</v>
      </c>
      <c r="G65" s="77">
        <f t="shared" si="18"/>
        <v>-4.8000000000000043</v>
      </c>
      <c r="H65" s="77">
        <f t="shared" si="18"/>
        <v>-3.2000000000000028</v>
      </c>
      <c r="I65" s="77">
        <f t="shared" si="18"/>
        <v>-6.3999999999999986</v>
      </c>
      <c r="J65" s="77">
        <f t="shared" si="18"/>
        <v>-5.6000000000000014</v>
      </c>
      <c r="K65" s="77">
        <f t="shared" si="18"/>
        <v>-0.6000000000000032</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UNDER</v>
      </c>
      <c r="D66" s="78" t="str">
        <f t="shared" si="19"/>
        <v>UNDER</v>
      </c>
      <c r="E66" s="78" t="str">
        <f t="shared" si="19"/>
        <v>OVER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0" priority="37" operator="equal">
      <formula>"DECREASE"</formula>
    </cfRule>
    <cfRule type="cellIs" dxfId="29" priority="38" operator="equal">
      <formula>"INCREASE"</formula>
    </cfRule>
  </conditionalFormatting>
  <conditionalFormatting sqref="B31:B50 B62:U66">
    <cfRule type="cellIs" dxfId="28" priority="36" operator="greaterThan">
      <formula>$B$51</formula>
    </cfRule>
  </conditionalFormatting>
  <conditionalFormatting sqref="C31:C50">
    <cfRule type="cellIs" dxfId="27" priority="35" operator="greaterThan">
      <formula>$C$51</formula>
    </cfRule>
  </conditionalFormatting>
  <conditionalFormatting sqref="C18:V18">
    <cfRule type="cellIs" dxfId="26" priority="34" operator="equal">
      <formula>0</formula>
    </cfRule>
  </conditionalFormatting>
  <conditionalFormatting sqref="C17:V17">
    <cfRule type="cellIs" dxfId="25" priority="33" operator="equal">
      <formula>0</formula>
    </cfRule>
  </conditionalFormatting>
  <conditionalFormatting sqref="C19:V19">
    <cfRule type="cellIs" dxfId="24" priority="32" operator="equal">
      <formula>0</formula>
    </cfRule>
  </conditionalFormatting>
  <conditionalFormatting sqref="G31:G50">
    <cfRule type="cellIs" dxfId="23" priority="31" operator="greaterThan">
      <formula>$G$51</formula>
    </cfRule>
  </conditionalFormatting>
  <conditionalFormatting sqref="H31:H50">
    <cfRule type="cellIs" dxfId="22" priority="30" operator="greaterThan">
      <formula>$H$51</formula>
    </cfRule>
  </conditionalFormatting>
  <conditionalFormatting sqref="I31:I50">
    <cfRule type="cellIs" dxfId="21" priority="29" operator="greaterThan">
      <formula>$I$51</formula>
    </cfRule>
  </conditionalFormatting>
  <conditionalFormatting sqref="K31:K50">
    <cfRule type="cellIs" dxfId="20" priority="28" operator="greaterThan">
      <formula>$K$51</formula>
    </cfRule>
  </conditionalFormatting>
  <conditionalFormatting sqref="L31:L50">
    <cfRule type="cellIs" dxfId="19" priority="27" operator="greaterThan">
      <formula>$L$51</formula>
    </cfRule>
  </conditionalFormatting>
  <conditionalFormatting sqref="M31:M50">
    <cfRule type="cellIs" dxfId="18" priority="26" operator="greaterThan">
      <formula>$M$51</formula>
    </cfRule>
  </conditionalFormatting>
  <conditionalFormatting sqref="P31:P50">
    <cfRule type="cellIs" dxfId="17" priority="25" operator="greaterThan">
      <formula>$P$51</formula>
    </cfRule>
  </conditionalFormatting>
  <conditionalFormatting sqref="R31:R50">
    <cfRule type="cellIs" dxfId="16" priority="24" operator="greaterThan">
      <formula>$R$51</formula>
    </cfRule>
  </conditionalFormatting>
  <conditionalFormatting sqref="S31:S50">
    <cfRule type="cellIs" dxfId="15" priority="23" operator="greaterThan">
      <formula>$S$51</formula>
    </cfRule>
  </conditionalFormatting>
  <conditionalFormatting sqref="T31:T50">
    <cfRule type="cellIs" dxfId="14" priority="22" operator="greaterThan">
      <formula>$T$51</formula>
    </cfRule>
  </conditionalFormatting>
  <conditionalFormatting sqref="U31:U50">
    <cfRule type="cellIs" dxfId="13" priority="21" operator="greaterThan">
      <formula>$U$51</formula>
    </cfRule>
  </conditionalFormatting>
  <conditionalFormatting sqref="C22:V22">
    <cfRule type="cellIs" dxfId="12" priority="20" operator="equal">
      <formula>0</formula>
    </cfRule>
  </conditionalFormatting>
  <conditionalFormatting sqref="C24:V24">
    <cfRule type="cellIs" dxfId="11" priority="18" operator="equal">
      <formula>"DECREASE"</formula>
    </cfRule>
    <cfRule type="cellIs" dxfId="10" priority="19" operator="equal">
      <formula>"INCREASE"</formula>
    </cfRule>
  </conditionalFormatting>
  <conditionalFormatting sqref="C23:V23">
    <cfRule type="cellIs" dxfId="9" priority="17" operator="equal">
      <formula>0</formula>
    </cfRule>
  </conditionalFormatting>
  <conditionalFormatting sqref="C21:V21">
    <cfRule type="cellIs" dxfId="8" priority="13" operator="equal">
      <formula>0</formula>
    </cfRule>
  </conditionalFormatting>
  <conditionalFormatting sqref="B66:U66">
    <cfRule type="cellIs" dxfId="7" priority="11" operator="equal">
      <formula>"UNDER"</formula>
    </cfRule>
    <cfRule type="cellIs" dxfId="6" priority="12" operator="equal">
      <formula>"OVER"</formula>
    </cfRule>
  </conditionalFormatting>
  <conditionalFormatting sqref="J31:J50">
    <cfRule type="cellIs" dxfId="5" priority="8" operator="greaterThan">
      <formula>$J$51</formula>
    </cfRule>
  </conditionalFormatting>
  <conditionalFormatting sqref="L3">
    <cfRule type="cellIs" dxfId="4" priority="4" operator="lessThan">
      <formula>30</formula>
    </cfRule>
    <cfRule type="cellIs" dxfId="3" priority="5" operator="greaterThanOrEqual">
      <formula>30</formula>
    </cfRule>
  </conditionalFormatting>
  <conditionalFormatting sqref="I1">
    <cfRule type="cellIs" dxfId="2" priority="3" operator="between">
      <formula>0.1</formula>
      <formula>5</formula>
    </cfRule>
  </conditionalFormatting>
  <conditionalFormatting sqref="I2">
    <cfRule type="cellIs" dxfId="1" priority="2" operator="greaterThan">
      <formula>5000.1</formula>
    </cfRule>
  </conditionalFormatting>
  <conditionalFormatting sqref="I3">
    <cfRule type="cellIs" dxfId="0"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21875" defaultRowHeight="13.2" x14ac:dyDescent="0.25"/>
  <cols>
    <col min="1" max="13" width="9.21875" style="79"/>
    <col min="14" max="14" width="9.77734375" style="79" bestFit="1" customWidth="1"/>
    <col min="15" max="19" width="9.21875" style="79"/>
    <col min="20" max="20" width="10" style="79" bestFit="1" customWidth="1"/>
    <col min="21" max="16384" width="9.21875" style="79"/>
  </cols>
  <sheetData>
    <row r="1" spans="1:21" ht="39.6" x14ac:dyDescent="0.25">
      <c r="A1" s="144" t="s">
        <v>84</v>
      </c>
      <c r="B1" s="38" t="str">
        <f>Volac!B29</f>
        <v>Application Rate</v>
      </c>
      <c r="C1" s="38" t="str">
        <f>Volac!C29</f>
        <v>Nitrogen Addition</v>
      </c>
      <c r="D1" s="38" t="str">
        <f>Volac!D29</f>
        <v>Phosphate Addition</v>
      </c>
      <c r="E1" s="38" t="str">
        <f>Volac!E29</f>
        <v>Potash  Addition</v>
      </c>
      <c r="F1" s="38" t="str">
        <f>Volac!F29</f>
        <v>Mg Oxide Addition</v>
      </c>
      <c r="G1" s="38" t="str">
        <f>Volac!G29</f>
        <v>Copper Addition</v>
      </c>
      <c r="H1" s="38" t="str">
        <f>Volac!H29</f>
        <v>Zinc Addition</v>
      </c>
      <c r="I1" s="38" t="str">
        <f>Volac!I29</f>
        <v>Lead Addition</v>
      </c>
      <c r="J1" s="38" t="str">
        <f>Volac!J29</f>
        <v>Cadmium Addition</v>
      </c>
      <c r="K1" s="38" t="str">
        <f>Volac!K29</f>
        <v>Mercury Addition</v>
      </c>
      <c r="L1" s="38" t="str">
        <f>Volac!L29</f>
        <v>Nickel Addition</v>
      </c>
      <c r="M1" s="38" t="str">
        <f>Volac!M29</f>
        <v>Chromium Addition</v>
      </c>
      <c r="N1" s="38" t="str">
        <f>Volac!N29</f>
        <v>Aluminium Addition</v>
      </c>
      <c r="O1" s="38" t="str">
        <f>Volac!O29</f>
        <v>Iron Addition</v>
      </c>
      <c r="P1" s="38" t="str">
        <f>Volac!P29</f>
        <v xml:space="preserve">Sodium Addition                 </v>
      </c>
      <c r="Q1" s="38" t="str">
        <f>Volac!Q29</f>
        <v>SO3  Addition                             kg/ha</v>
      </c>
      <c r="R1" s="38" t="str">
        <f>Volac!R29</f>
        <v xml:space="preserve">Selenium Addition </v>
      </c>
      <c r="S1" s="38" t="str">
        <f>Volac!S29</f>
        <v xml:space="preserve">Arsenic  Addition  </v>
      </c>
      <c r="T1" s="38" t="str">
        <f>Volac!T29</f>
        <v xml:space="preserve">Molybdenum Addition  </v>
      </c>
      <c r="U1" s="38" t="str">
        <f>Volac!U29</f>
        <v xml:space="preserve">Fluoride Addition </v>
      </c>
    </row>
    <row r="2" spans="1:21" ht="26.4" x14ac:dyDescent="0.25">
      <c r="A2" s="144"/>
      <c r="B2" s="38" t="str">
        <f>Volac!B30</f>
        <v>tonnes/ha</v>
      </c>
      <c r="C2" s="38" t="str">
        <f>Volac!C30</f>
        <v>kg/ha</v>
      </c>
      <c r="D2" s="38" t="str">
        <f>Volac!D30</f>
        <v>P2O5 
kg/ha</v>
      </c>
      <c r="E2" s="38" t="str">
        <f>Volac!E30</f>
        <v>K2O 
kg/ha</v>
      </c>
      <c r="F2" s="38" t="str">
        <f>Volac!F30</f>
        <v>MgO 
kg/ha</v>
      </c>
      <c r="G2" s="38" t="str">
        <f>Volac!G30</f>
        <v>kg/ha</v>
      </c>
      <c r="H2" s="38" t="str">
        <f>Volac!H30</f>
        <v>kg/ha</v>
      </c>
      <c r="I2" s="38" t="str">
        <f>Volac!I30</f>
        <v>kg/ha</v>
      </c>
      <c r="J2" s="38" t="str">
        <f>Volac!J30</f>
        <v>kg/ha</v>
      </c>
      <c r="K2" s="38" t="str">
        <f>Volac!K30</f>
        <v>kg/ha</v>
      </c>
      <c r="L2" s="38" t="str">
        <f>Volac!L30</f>
        <v>kg/ha</v>
      </c>
      <c r="M2" s="38" t="str">
        <f>Volac!M30</f>
        <v>kg/ha</v>
      </c>
      <c r="N2" s="38" t="str">
        <f>Volac!N30</f>
        <v>kg/ha</v>
      </c>
      <c r="O2" s="38" t="str">
        <f>Volac!O30</f>
        <v>kg/ha</v>
      </c>
      <c r="P2" s="38" t="str">
        <f>Volac!P30</f>
        <v>kg/ha</v>
      </c>
      <c r="Q2" s="38" t="str">
        <f>Volac!Q30</f>
        <v>kg/ha</v>
      </c>
      <c r="R2" s="38" t="str">
        <f>Volac!R30</f>
        <v>kg/ha</v>
      </c>
      <c r="S2" s="38" t="str">
        <f>Volac!S30</f>
        <v>kg/ha</v>
      </c>
      <c r="T2" s="38" t="str">
        <f>Volac!T30</f>
        <v>kg/ha</v>
      </c>
      <c r="U2" s="38" t="str">
        <f>Volac!U30</f>
        <v>kg/ha</v>
      </c>
    </row>
    <row r="3" spans="1:21" x14ac:dyDescent="0.25">
      <c r="A3" s="36">
        <v>1</v>
      </c>
      <c r="B3" s="33">
        <f>Volac!B31</f>
        <v>39</v>
      </c>
      <c r="C3" s="33">
        <f>Volac!C31</f>
        <v>42.900000000000006</v>
      </c>
      <c r="D3" s="33">
        <f>Volac!D31</f>
        <v>78.269723999999997</v>
      </c>
      <c r="E3" s="33">
        <f>Volac!E31</f>
        <v>22.698585000000001</v>
      </c>
      <c r="F3" s="33">
        <f>Volac!F31</f>
        <v>3.7633283999999998</v>
      </c>
      <c r="G3" s="33">
        <f>Volac!G31</f>
        <v>7.8000000000000005E-3</v>
      </c>
      <c r="H3" s="33">
        <f>Volac!H31</f>
        <v>8.6580000000000004E-2</v>
      </c>
      <c r="I3" s="33">
        <f>Volac!I31</f>
        <v>1.95E-2</v>
      </c>
      <c r="J3" s="33">
        <f>Volac!J31</f>
        <v>3.9000000000000005E-4</v>
      </c>
      <c r="K3" s="33">
        <f>Volac!K31</f>
        <v>1.9500000000000001E-3</v>
      </c>
      <c r="L3" s="33">
        <f>Volac!L31</f>
        <v>7.8000000000000005E-3</v>
      </c>
      <c r="M3" s="33">
        <f>Volac!M31</f>
        <v>9.3600000000000003E-3</v>
      </c>
      <c r="N3" s="33">
        <f>Volac!N31</f>
        <v>0</v>
      </c>
      <c r="O3" s="33">
        <f>Volac!O31</f>
        <v>0</v>
      </c>
      <c r="P3" s="33">
        <f>Volac!P31</f>
        <v>10.023</v>
      </c>
      <c r="Q3" s="33">
        <f>Volac!Q31</f>
        <v>10.627500000000001</v>
      </c>
      <c r="R3" s="33">
        <f>Volac!R31</f>
        <v>0</v>
      </c>
      <c r="S3" s="33">
        <f>Volac!S31</f>
        <v>0</v>
      </c>
      <c r="T3" s="33">
        <f>Volac!T31</f>
        <v>0</v>
      </c>
      <c r="U3" s="33">
        <f>Volac!U31</f>
        <v>0</v>
      </c>
    </row>
    <row r="4" spans="1:21" x14ac:dyDescent="0.25">
      <c r="A4" s="36">
        <v>2</v>
      </c>
      <c r="B4" s="33">
        <f>'Penderyn Brecon'!B31</f>
        <v>106</v>
      </c>
      <c r="C4" s="33">
        <f>'Penderyn Brecon'!C31</f>
        <v>106</v>
      </c>
      <c r="D4" s="33">
        <f>'Penderyn Brecon'!D31</f>
        <v>79.410641999999996</v>
      </c>
      <c r="E4" s="33">
        <f>'Penderyn Brecon'!E31</f>
        <v>91.71014000000001</v>
      </c>
      <c r="F4" s="33">
        <f>'Penderyn Brecon'!F31</f>
        <v>22.495743999999998</v>
      </c>
      <c r="G4" s="33">
        <f>'Penderyn Brecon'!G31</f>
        <v>5.2999999999999999E-2</v>
      </c>
      <c r="H4" s="33">
        <f>'Penderyn Brecon'!H31</f>
        <v>0.106</v>
      </c>
      <c r="I4" s="33">
        <f>'Penderyn Brecon'!I31</f>
        <v>5.2999999999999999E-2</v>
      </c>
      <c r="J4" s="33">
        <f>'Penderyn Brecon'!J31</f>
        <v>1.0600000000000002E-3</v>
      </c>
      <c r="K4" s="33">
        <f>'Penderyn Brecon'!K31</f>
        <v>5.3E-3</v>
      </c>
      <c r="L4" s="33">
        <f>'Penderyn Brecon'!L31</f>
        <v>2.12E-2</v>
      </c>
      <c r="M4" s="33">
        <f>'Penderyn Brecon'!M31</f>
        <v>2.12E-2</v>
      </c>
      <c r="N4" s="33">
        <f>'Penderyn Brecon'!N31</f>
        <v>0</v>
      </c>
      <c r="O4" s="33">
        <f>'Penderyn Brecon'!O31</f>
        <v>0</v>
      </c>
      <c r="P4" s="33">
        <f>'Penderyn Brecon'!P31</f>
        <v>32.647999999999996</v>
      </c>
      <c r="Q4" s="33">
        <f>'Penderyn Brecon'!Q31</f>
        <v>30.21</v>
      </c>
      <c r="R4" s="33">
        <f>'Penderyn Brecon'!R31</f>
        <v>0</v>
      </c>
      <c r="S4" s="33">
        <f>'Penderyn Brecon'!S31</f>
        <v>0</v>
      </c>
      <c r="T4" s="33">
        <f>'Penderyn Brecon'!T31</f>
        <v>0</v>
      </c>
      <c r="U4" s="33">
        <f>'Penderyn Brecon'!U31</f>
        <v>0</v>
      </c>
    </row>
    <row r="5" spans="1:21" x14ac:dyDescent="0.25">
      <c r="A5" s="36">
        <v>3</v>
      </c>
      <c r="B5" s="33">
        <f>'Pendeyrn Swansea'!B31</f>
        <v>123</v>
      </c>
      <c r="C5" s="33">
        <f>'Pendeyrn Swansea'!C31</f>
        <v>98.4</v>
      </c>
      <c r="D5" s="33">
        <f>'Pendeyrn Swansea'!D31</f>
        <v>79.747419000000008</v>
      </c>
      <c r="E5" s="33">
        <f>'Pendeyrn Swansea'!E31</f>
        <v>104.491575</v>
      </c>
      <c r="F5" s="33">
        <f>'Pendeyrn Swansea'!F31</f>
        <v>19.679631000000001</v>
      </c>
      <c r="G5" s="33">
        <f>'Pendeyrn Swansea'!G31</f>
        <v>0.59162999999999999</v>
      </c>
      <c r="H5" s="33">
        <f>'Pendeyrn Swansea'!H31</f>
        <v>0.12423000000000001</v>
      </c>
      <c r="I5" s="33">
        <f>'Pendeyrn Swansea'!I31</f>
        <v>6.1499999999999999E-2</v>
      </c>
      <c r="J5" s="33">
        <f>'Pendeyrn Swansea'!J31</f>
        <v>1.2300000000000002E-3</v>
      </c>
      <c r="K5" s="33">
        <f>'Pendeyrn Swansea'!K31</f>
        <v>6.1500000000000001E-3</v>
      </c>
      <c r="L5" s="33">
        <f>'Pendeyrn Swansea'!L31</f>
        <v>2.8289999999999999E-2</v>
      </c>
      <c r="M5" s="33">
        <f>'Pendeyrn Swansea'!M31</f>
        <v>2.46E-2</v>
      </c>
      <c r="N5" s="33">
        <f>'Pendeyrn Swansea'!N31</f>
        <v>0</v>
      </c>
      <c r="O5" s="33">
        <f>'Pendeyrn Swansea'!O31</f>
        <v>0</v>
      </c>
      <c r="P5" s="33">
        <f>'Pendeyrn Swansea'!P31</f>
        <v>1.9557000000000002</v>
      </c>
      <c r="Q5" s="33">
        <f>'Pendeyrn Swansea'!Q31</f>
        <v>31.057500000000001</v>
      </c>
      <c r="R5" s="33">
        <f>'Pendeyrn Swansea'!R31</f>
        <v>0</v>
      </c>
      <c r="S5" s="33">
        <f>'Pendeyrn Swansea'!S31</f>
        <v>0</v>
      </c>
      <c r="T5" s="33">
        <f>'Pendeyrn Swansea'!T31</f>
        <v>0</v>
      </c>
      <c r="U5" s="33">
        <f>'Pendeyrn Swansea'!U31</f>
        <v>0</v>
      </c>
    </row>
    <row r="6" spans="1:21" x14ac:dyDescent="0.25">
      <c r="A6" s="36">
        <v>4</v>
      </c>
      <c r="B6" s="33">
        <f>'DCWW Cefn Dryscoed'!B31</f>
        <v>250</v>
      </c>
      <c r="C6" s="33">
        <f>'DCWW Cefn Dryscoed'!C31</f>
        <v>40.361999999999995</v>
      </c>
      <c r="D6" s="33">
        <f>'DCWW Cefn Dryscoed'!D31</f>
        <v>4.2818789999999991</v>
      </c>
      <c r="E6" s="33">
        <f>'DCWW Cefn Dryscoed'!E31</f>
        <v>0.44030699999999995</v>
      </c>
      <c r="F6" s="33">
        <f>'DCWW Cefn Dryscoed'!F31</f>
        <v>1.5319919999999998</v>
      </c>
      <c r="G6" s="33">
        <f>'DCWW Cefn Dryscoed'!G31</f>
        <v>0.18984000000000001</v>
      </c>
      <c r="H6" s="33">
        <f>'DCWW Cefn Dryscoed'!H31</f>
        <v>0.44519999999999998</v>
      </c>
      <c r="I6" s="33">
        <f>'DCWW Cefn Dryscoed'!I31</f>
        <v>3.2214E-2</v>
      </c>
      <c r="J6" s="33">
        <f>'DCWW Cefn Dryscoed'!J31</f>
        <v>2.8140000000000001E-3</v>
      </c>
      <c r="K6" s="33">
        <f>'DCWW Cefn Dryscoed'!K31</f>
        <v>4.9559999999999995E-3</v>
      </c>
      <c r="L6" s="33">
        <f>'DCWW Cefn Dryscoed'!L31</f>
        <v>2.1294000000000004E-2</v>
      </c>
      <c r="M6" s="33">
        <f>'DCWW Cefn Dryscoed'!M31</f>
        <v>1.6841999999999999E-2</v>
      </c>
      <c r="N6" s="33">
        <f>'DCWW Cefn Dryscoed'!N31</f>
        <v>768.59999999999991</v>
      </c>
      <c r="O6" s="33">
        <f>'DCWW Cefn Dryscoed'!O31</f>
        <v>21.084000000000003</v>
      </c>
      <c r="P6" s="33">
        <f>'DCWW Cefn Dryscoed'!P31</f>
        <v>0</v>
      </c>
      <c r="Q6" s="33">
        <f>'DCWW Cefn Dryscoed'!Q31</f>
        <v>94.39500000000001</v>
      </c>
      <c r="R6" s="33">
        <f>'DCWW Cefn Dryscoed'!R31</f>
        <v>0</v>
      </c>
      <c r="S6" s="33">
        <f>'DCWW Cefn Dryscoed'!S31</f>
        <v>0.16968</v>
      </c>
      <c r="T6" s="33">
        <f>'DCWW Cefn Dryscoed'!T31</f>
        <v>0</v>
      </c>
      <c r="U6" s="33">
        <f>'DCWW Cefn Dryscoed'!U31</f>
        <v>0</v>
      </c>
    </row>
    <row r="7" spans="1:21" x14ac:dyDescent="0.25">
      <c r="A7" s="36">
        <v>5</v>
      </c>
      <c r="B7" s="33">
        <f>'DCWW CRAY'!B31</f>
        <v>250</v>
      </c>
      <c r="C7" s="33">
        <f>'DCWW CRAY'!C31</f>
        <v>37.128</v>
      </c>
      <c r="D7" s="33">
        <f>'DCWW CRAY'!D31</f>
        <v>9.9198009000000003</v>
      </c>
      <c r="E7" s="33">
        <f>'DCWW CRAY'!E31</f>
        <v>0.97713450000000013</v>
      </c>
      <c r="F7" s="33">
        <f>'DCWW CRAY'!F31</f>
        <v>5.0312009999999994</v>
      </c>
      <c r="G7" s="33">
        <f>'DCWW CRAY'!G31</f>
        <v>0.14331000000000005</v>
      </c>
      <c r="H7" s="33">
        <f>'DCWW CRAY'!H31</f>
        <v>0.66300000000000003</v>
      </c>
      <c r="I7" s="33">
        <f>'DCWW CRAY'!I31</f>
        <v>4.3860000000000003E-2</v>
      </c>
      <c r="J7" s="33">
        <f>'DCWW CRAY'!J31</f>
        <v>3.1110000000000001E-3</v>
      </c>
      <c r="K7" s="33">
        <f>'DCWW CRAY'!K31</f>
        <v>5.0490000000000005E-3</v>
      </c>
      <c r="L7" s="33">
        <f>'DCWW CRAY'!L31</f>
        <v>4.8959999999999997E-2</v>
      </c>
      <c r="M7" s="33">
        <f>'DCWW CRAY'!M31</f>
        <v>7.7010000000000009E-2</v>
      </c>
      <c r="N7" s="33">
        <f>'DCWW CRAY'!N31</f>
        <v>15.555000000000003</v>
      </c>
      <c r="O7" s="33">
        <f>'DCWW CRAY'!O31</f>
        <v>2300.1</v>
      </c>
      <c r="P7" s="33">
        <f>'DCWW CRAY'!P31</f>
        <v>0</v>
      </c>
      <c r="Q7" s="33">
        <f>'DCWW CRAY'!Q31</f>
        <v>33.532499999999999</v>
      </c>
      <c r="R7" s="33">
        <f>'DCWW CRAY'!R31</f>
        <v>0</v>
      </c>
      <c r="S7" s="33">
        <f>'DCWW CRAY'!S31</f>
        <v>0.19737000000000005</v>
      </c>
      <c r="T7" s="33">
        <f>'DCWW CRAY'!T31</f>
        <v>0</v>
      </c>
      <c r="U7" s="33">
        <f>'DCWW CRAY'!U31</f>
        <v>0</v>
      </c>
    </row>
    <row r="8" spans="1:21" x14ac:dyDescent="0.25">
      <c r="A8" s="36">
        <v>6</v>
      </c>
      <c r="B8" s="33">
        <f>'DCWW HIRWAUN'!B31</f>
        <v>250</v>
      </c>
      <c r="C8" s="33">
        <f>'DCWW HIRWAUN'!C31</f>
        <v>27.317250000000005</v>
      </c>
      <c r="D8" s="33">
        <f>'DCWW HIRWAUN'!D31</f>
        <v>2.3603600249999999</v>
      </c>
      <c r="E8" s="33">
        <f>'DCWW HIRWAUN'!E31</f>
        <v>0.82422000000000006</v>
      </c>
      <c r="F8" s="33">
        <f>'DCWW HIRWAUN'!F31</f>
        <v>6.4287706499999997</v>
      </c>
      <c r="G8" s="33">
        <f>'DCWW HIRWAUN'!G31</f>
        <v>0.13124250000000001</v>
      </c>
      <c r="H8" s="33">
        <f>'DCWW HIRWAUN'!H31</f>
        <v>0.80797500000000011</v>
      </c>
      <c r="I8" s="33">
        <f>'DCWW HIRWAUN'!I31</f>
        <v>8.4645000000000012E-2</v>
      </c>
      <c r="J8" s="33">
        <f>'DCWW HIRWAUN'!J31</f>
        <v>3.6765000000000001E-3</v>
      </c>
      <c r="K8" s="33">
        <f>'DCWW HIRWAUN'!K31</f>
        <v>5.0017500000000001E-3</v>
      </c>
      <c r="L8" s="33">
        <f>'DCWW HIRWAUN'!L31</f>
        <v>2.1802499999999999E-2</v>
      </c>
      <c r="M8" s="33">
        <f>'DCWW HIRWAUN'!M31</f>
        <v>4.0014000000000001E-2</v>
      </c>
      <c r="N8" s="33">
        <f>'DCWW HIRWAUN'!N31</f>
        <v>15.261750000000001</v>
      </c>
      <c r="O8" s="33">
        <f>'DCWW HIRWAUN'!O31</f>
        <v>2017.8000000000002</v>
      </c>
      <c r="P8" s="33">
        <f>'DCWW HIRWAUN'!P31</f>
        <v>0</v>
      </c>
      <c r="Q8" s="33">
        <f>'DCWW HIRWAUN'!Q31</f>
        <v>50.979375000000012</v>
      </c>
      <c r="R8" s="33">
        <f>'DCWW HIRWAUN'!R31</f>
        <v>0</v>
      </c>
      <c r="S8" s="33">
        <f>'DCWW HIRWAUN'!S31</f>
        <v>0.1226925</v>
      </c>
      <c r="T8" s="33">
        <f>'DCWW HIRWAUN'!T31</f>
        <v>0</v>
      </c>
      <c r="U8" s="33">
        <f>'DCWW HIRWAUN'!U31</f>
        <v>0</v>
      </c>
    </row>
    <row r="9" spans="1:21" x14ac:dyDescent="0.25">
      <c r="A9" s="36">
        <v>7</v>
      </c>
      <c r="B9" s="33">
        <f>'DCWW FELINDRE'!B31</f>
        <v>250</v>
      </c>
      <c r="C9" s="33">
        <f>'DCWW FELINDRE'!C31</f>
        <v>80.4405</v>
      </c>
      <c r="D9" s="33">
        <f>'DCWW FELINDRE'!D31</f>
        <v>34.860428749999997</v>
      </c>
      <c r="E9" s="33">
        <f>'DCWW FELINDRE'!E31</f>
        <v>7.542366125</v>
      </c>
      <c r="F9" s="33">
        <f>'DCWW FELINDRE'!F31</f>
        <v>20.728315999999996</v>
      </c>
      <c r="G9" s="33">
        <f>'DCWW FELINDRE'!G31</f>
        <v>0.4696475</v>
      </c>
      <c r="H9" s="33">
        <f>'DCWW FELINDRE'!H31</f>
        <v>2.6731250000000002</v>
      </c>
      <c r="I9" s="33">
        <f>'DCWW FELINDRE'!I31</f>
        <v>0.43674749999999996</v>
      </c>
      <c r="J9" s="33">
        <f>'DCWW FELINDRE'!J31</f>
        <v>1.5709750000000001E-2</v>
      </c>
      <c r="K9" s="33">
        <f>'DCWW FELINDRE'!K31</f>
        <v>1.0116749999999999E-2</v>
      </c>
      <c r="L9" s="33">
        <f>'DCWW FELINDRE'!L31</f>
        <v>0.21220499999999998</v>
      </c>
      <c r="M9" s="33">
        <f>'DCWW FELINDRE'!M31</f>
        <v>7.4436250000000009E-2</v>
      </c>
      <c r="N9" s="33">
        <f>'DCWW FELINDRE'!N31</f>
        <v>1200.8499999999999</v>
      </c>
      <c r="O9" s="33">
        <f>'DCWW FELINDRE'!O31</f>
        <v>261.55500000000001</v>
      </c>
      <c r="P9" s="33">
        <f>'DCWW FELINDRE'!P31</f>
        <v>0</v>
      </c>
      <c r="Q9" s="33">
        <f>'DCWW FELINDRE'!Q31</f>
        <v>94.793125000000003</v>
      </c>
      <c r="R9" s="33">
        <f>'DCWW FELINDRE'!R31</f>
        <v>0</v>
      </c>
      <c r="S9" s="33">
        <f>'DCWW FELINDRE'!S31</f>
        <v>0.4334575</v>
      </c>
      <c r="T9" s="33">
        <f>'DCWW FELINDRE'!T31</f>
        <v>0</v>
      </c>
      <c r="U9" s="33">
        <f>'DCWW FELINDRE'!U31</f>
        <v>0</v>
      </c>
    </row>
    <row r="10" spans="1:21" x14ac:dyDescent="0.25">
      <c r="A10" s="36">
        <v>8</v>
      </c>
      <c r="B10" s="33">
        <f>'DCWW BRYN GWYN'!B31</f>
        <v>250</v>
      </c>
      <c r="C10" s="33">
        <f>'DCWW BRYN GWYN'!C31</f>
        <v>26.302499999999998</v>
      </c>
      <c r="D10" s="33">
        <f>'DCWW BRYN GWYN'!D31</f>
        <v>2.3147118499999997</v>
      </c>
      <c r="E10" s="33">
        <f>'DCWW BRYN GWYN'!E31</f>
        <v>2.7066107500000003</v>
      </c>
      <c r="F10" s="33">
        <f>'DCWW BRYN GWYN'!F31</f>
        <v>6.6867969</v>
      </c>
      <c r="G10" s="33">
        <f>'DCWW BRYN GWYN'!G31</f>
        <v>0.12942499999999998</v>
      </c>
      <c r="H10" s="33">
        <f>'DCWW BRYN GWYN'!H31</f>
        <v>0.82247500000000007</v>
      </c>
      <c r="I10" s="33">
        <f>'DCWW BRYN GWYN'!I31</f>
        <v>5.4275000000000004E-2</v>
      </c>
      <c r="J10" s="33">
        <f>'DCWW BRYN GWYN'!J31</f>
        <v>2.9642499999999999E-3</v>
      </c>
      <c r="K10" s="33">
        <f>'DCWW BRYN GWYN'!K31</f>
        <v>5.0517499999999998E-3</v>
      </c>
      <c r="L10" s="33">
        <f>'DCWW BRYN GWYN'!L31</f>
        <v>2.166825E-2</v>
      </c>
      <c r="M10" s="33">
        <f>'DCWW BRYN GWYN'!M31</f>
        <v>3.9495500000000003E-2</v>
      </c>
      <c r="N10" s="33">
        <f>'DCWW BRYN GWYN'!N31</f>
        <v>15.197000000000001</v>
      </c>
      <c r="O10" s="33">
        <f>'DCWW BRYN GWYN'!O31</f>
        <v>1995.6499999999999</v>
      </c>
      <c r="P10" s="33">
        <f>'DCWW BRYN GWYN'!P31</f>
        <v>0</v>
      </c>
      <c r="Q10" s="33">
        <f>'DCWW BRYN GWYN'!Q31</f>
        <v>49.473750000000003</v>
      </c>
      <c r="R10" s="33">
        <f>'DCWW BRYN GWYN'!R31</f>
        <v>0</v>
      </c>
      <c r="S10" s="33">
        <f>'DCWW BRYN GWYN'!S31</f>
        <v>0.13568750000000002</v>
      </c>
      <c r="T10" s="33">
        <f>'DCWW BRYN GWYN'!T31</f>
        <v>0</v>
      </c>
      <c r="U10" s="33">
        <f>'DCWW BRYN GWYN'!U31</f>
        <v>0</v>
      </c>
    </row>
    <row r="11" spans="1:21" x14ac:dyDescent="0.25">
      <c r="A11" s="36">
        <v>9</v>
      </c>
      <c r="B11" s="33">
        <f>'DCWW CAPEL DEWI'!B31</f>
        <v>250</v>
      </c>
      <c r="C11" s="33">
        <f>'DCWW CAPEL DEWI'!C31</f>
        <v>23.048999999999999</v>
      </c>
      <c r="D11" s="33">
        <f>'DCWW CAPEL DEWI'!D31</f>
        <v>2.9753216999999994</v>
      </c>
      <c r="E11" s="33">
        <f>'DCWW CAPEL DEWI'!E31</f>
        <v>4.4692245000000002</v>
      </c>
      <c r="F11" s="33">
        <f>'DCWW CAPEL DEWI'!F31</f>
        <v>9.5635097999999967</v>
      </c>
      <c r="G11" s="33">
        <f>'DCWW CAPEL DEWI'!G31</f>
        <v>0.11395799999999999</v>
      </c>
      <c r="H11" s="33">
        <f>'DCWW CAPEL DEWI'!H31</f>
        <v>0.73124999999999996</v>
      </c>
      <c r="I11" s="33">
        <f>'DCWW CAPEL DEWI'!I31</f>
        <v>7.2539999999999993E-2</v>
      </c>
      <c r="J11" s="33">
        <f>'DCWW CAPEL DEWI'!J31</f>
        <v>2.5739999999999999E-3</v>
      </c>
      <c r="K11" s="33">
        <f>'DCWW CAPEL DEWI'!K31</f>
        <v>5.030999999999999E-3</v>
      </c>
      <c r="L11" s="33">
        <f>'DCWW CAPEL DEWI'!L31</f>
        <v>2.1527999999999999E-2</v>
      </c>
      <c r="M11" s="33">
        <f>'DCWW CAPEL DEWI'!M31</f>
        <v>5.0309999999999994E-2</v>
      </c>
      <c r="N11" s="33">
        <f>'DCWW CAPEL DEWI'!N31</f>
        <v>14.390999999999998</v>
      </c>
      <c r="O11" s="33">
        <f>'DCWW CAPEL DEWI'!O31</f>
        <v>1719.8999999999999</v>
      </c>
      <c r="P11" s="33">
        <f>'DCWW CAPEL DEWI'!P31</f>
        <v>0</v>
      </c>
      <c r="Q11" s="33">
        <f>'DCWW CAPEL DEWI'!Q31</f>
        <v>44.167499999999997</v>
      </c>
      <c r="R11" s="33">
        <f>'DCWW CAPEL DEWI'!R31</f>
        <v>0</v>
      </c>
      <c r="S11" s="33">
        <f>'DCWW CAPEL DEWI'!S31</f>
        <v>0.16613999999999998</v>
      </c>
      <c r="T11" s="33">
        <f>'DCWW CAPEL DEWI'!T31</f>
        <v>0</v>
      </c>
      <c r="U11" s="33">
        <f>'DCWW CAPEL DEWI'!U31</f>
        <v>0</v>
      </c>
    </row>
    <row r="12" spans="1:21" x14ac:dyDescent="0.25">
      <c r="A12" s="36">
        <v>10</v>
      </c>
      <c r="B12" s="33">
        <f>'DCWW LLECHRYD'!B31</f>
        <v>38</v>
      </c>
      <c r="C12" s="33">
        <f>'DCWW LLECHRYD'!C31</f>
        <v>101.77920000000002</v>
      </c>
      <c r="D12" s="33">
        <f>'DCWW LLECHRYD'!D31</f>
        <v>78.979017600000006</v>
      </c>
      <c r="E12" s="33">
        <f>'DCWW LLECHRYD'!E31</f>
        <v>13.846896000000005</v>
      </c>
      <c r="F12" s="33">
        <f>'DCWW LLECHRYD'!F31</f>
        <v>51.169328640000003</v>
      </c>
      <c r="G12" s="33">
        <f>'DCWW LLECHRYD'!G31</f>
        <v>0.38194560000000005</v>
      </c>
      <c r="H12" s="33">
        <f>'DCWW LLECHRYD'!H31</f>
        <v>2.3748480000000005</v>
      </c>
      <c r="I12" s="33">
        <f>'DCWW LLECHRYD'!I31</f>
        <v>0.54282240000000015</v>
      </c>
      <c r="J12" s="33">
        <f>'DCWW LLECHRYD'!J31</f>
        <v>2.0793600000000006E-3</v>
      </c>
      <c r="K12" s="33">
        <f>'DCWW LLECHRYD'!K31</f>
        <v>1.96992E-3</v>
      </c>
      <c r="L12" s="33">
        <f>'DCWW LLECHRYD'!L31</f>
        <v>0.25608960000000003</v>
      </c>
      <c r="M12" s="33">
        <f>'DCWW LLECHRYD'!M31</f>
        <v>0.27250560000000001</v>
      </c>
      <c r="N12" s="33">
        <f>'DCWW LLECHRYD'!N31</f>
        <v>143.3664</v>
      </c>
      <c r="O12" s="33">
        <f>'DCWW LLECHRYD'!O31</f>
        <v>2407.6800000000003</v>
      </c>
      <c r="P12" s="33">
        <f>'DCWW LLECHRYD'!P31</f>
        <v>0</v>
      </c>
      <c r="Q12" s="33">
        <f>'DCWW LLECHRYD'!Q31</f>
        <v>77.155200000000008</v>
      </c>
      <c r="R12" s="33">
        <f>'DCWW LLECHRYD'!R31</f>
        <v>0</v>
      </c>
      <c r="S12" s="33">
        <f>'DCWW LLECHRYD'!S31</f>
        <v>0.21450240000000007</v>
      </c>
      <c r="T12" s="33">
        <f>'DCWW LLECHRYD'!T31</f>
        <v>0</v>
      </c>
      <c r="U12" s="33">
        <f>'DCWW LLECHRYD'!U31</f>
        <v>0</v>
      </c>
    </row>
    <row r="13" spans="1:21" s="82" customFormat="1" ht="15.6" x14ac:dyDescent="0.3">
      <c r="A13" s="80" t="s">
        <v>85</v>
      </c>
      <c r="B13" s="81">
        <f>SUM(B3:B12)</f>
        <v>1806</v>
      </c>
      <c r="C13" s="81">
        <f t="shared" ref="C13:U13" si="0">SUM(C3:C12)</f>
        <v>583.67845</v>
      </c>
      <c r="D13" s="81">
        <f t="shared" si="0"/>
        <v>373.11930482500003</v>
      </c>
      <c r="E13" s="81">
        <f t="shared" si="0"/>
        <v>249.70705887500003</v>
      </c>
      <c r="F13" s="81">
        <f t="shared" si="0"/>
        <v>147.07861838999997</v>
      </c>
      <c r="G13" s="81">
        <f t="shared" si="0"/>
        <v>2.2117985999999998</v>
      </c>
      <c r="H13" s="81">
        <f t="shared" si="0"/>
        <v>8.8346830000000001</v>
      </c>
      <c r="I13" s="81">
        <f t="shared" si="0"/>
        <v>1.4011039000000001</v>
      </c>
      <c r="J13" s="81">
        <f t="shared" si="0"/>
        <v>3.5608860000000006E-2</v>
      </c>
      <c r="K13" s="81">
        <f t="shared" si="0"/>
        <v>5.0576170000000004E-2</v>
      </c>
      <c r="L13" s="81">
        <f t="shared" si="0"/>
        <v>0.66083734999999999</v>
      </c>
      <c r="M13" s="81">
        <f t="shared" si="0"/>
        <v>0.62577335000000001</v>
      </c>
      <c r="N13" s="81">
        <f t="shared" si="0"/>
        <v>2173.2211499999999</v>
      </c>
      <c r="O13" s="81">
        <f t="shared" si="0"/>
        <v>10723.769</v>
      </c>
      <c r="P13" s="81">
        <f t="shared" si="0"/>
        <v>44.626699999999992</v>
      </c>
      <c r="Q13" s="81">
        <f t="shared" si="0"/>
        <v>516.39145000000008</v>
      </c>
      <c r="R13" s="81">
        <f t="shared" si="0"/>
        <v>0</v>
      </c>
      <c r="S13" s="81">
        <f t="shared" si="0"/>
        <v>1.4395298999999999</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21875" defaultRowHeight="13.2" x14ac:dyDescent="0.25"/>
  <cols>
    <col min="1" max="2" width="9.21875" style="79"/>
    <col min="3" max="3" width="11" style="79" customWidth="1"/>
    <col min="4" max="4" width="9.21875" style="79"/>
    <col min="5" max="5" width="9.77734375" style="79" customWidth="1"/>
    <col min="6" max="14" width="9.21875" style="79"/>
    <col min="15" max="15" width="9.77734375" style="79" bestFit="1" customWidth="1"/>
    <col min="16" max="20" width="9.21875" style="79"/>
    <col min="21" max="21" width="10" style="79" bestFit="1" customWidth="1"/>
    <col min="22" max="16384" width="9.21875" style="79"/>
  </cols>
  <sheetData>
    <row r="1" spans="1:22" s="83" customFormat="1" ht="39.6" x14ac:dyDescent="0.3">
      <c r="A1" s="145" t="s">
        <v>84</v>
      </c>
      <c r="B1" s="34" t="s">
        <v>152</v>
      </c>
      <c r="C1" s="35" t="str">
        <f>Volac!B29</f>
        <v>Application Rate</v>
      </c>
      <c r="D1" s="35" t="str">
        <f>Volac!C29</f>
        <v>Nitrogen Addition</v>
      </c>
      <c r="E1" s="35" t="str">
        <f>Volac!D29</f>
        <v>Phosphate Addition</v>
      </c>
      <c r="F1" s="35" t="str">
        <f>Volac!E29</f>
        <v>Potash  Addition</v>
      </c>
      <c r="G1" s="35" t="str">
        <f>Volac!F29</f>
        <v>Mg Oxide Addition</v>
      </c>
      <c r="H1" s="35" t="str">
        <f>Volac!G29</f>
        <v>Copper Addition</v>
      </c>
      <c r="I1" s="35" t="str">
        <f>Volac!H29</f>
        <v>Zinc Addition</v>
      </c>
      <c r="J1" s="35" t="str">
        <f>Volac!I29</f>
        <v>Lead Addition</v>
      </c>
      <c r="K1" s="35" t="str">
        <f>Volac!J29</f>
        <v>Cadmium Addition</v>
      </c>
      <c r="L1" s="35" t="str">
        <f>Volac!K29</f>
        <v>Mercury Addition</v>
      </c>
      <c r="M1" s="35" t="str">
        <f>Volac!L29</f>
        <v>Nickel Addition</v>
      </c>
      <c r="N1" s="35" t="str">
        <f>Volac!M29</f>
        <v>Chromium Addition</v>
      </c>
      <c r="O1" s="35" t="str">
        <f>Volac!N29</f>
        <v>Aluminium Addition</v>
      </c>
      <c r="P1" s="35" t="str">
        <f>Volac!O29</f>
        <v>Iron Addition</v>
      </c>
      <c r="Q1" s="35" t="str">
        <f>Volac!P29</f>
        <v xml:space="preserve">Sodium Addition                 </v>
      </c>
      <c r="R1" s="35" t="str">
        <f>Volac!Q29</f>
        <v>SO3  Addition                             kg/ha</v>
      </c>
      <c r="S1" s="35" t="str">
        <f>Volac!R29</f>
        <v xml:space="preserve">Selenium Addition </v>
      </c>
      <c r="T1" s="35" t="str">
        <f>Volac!S29</f>
        <v xml:space="preserve">Arsenic  Addition  </v>
      </c>
      <c r="U1" s="35" t="str">
        <f>Volac!T29</f>
        <v xml:space="preserve">Molybdenum Addition  </v>
      </c>
      <c r="V1" s="35" t="str">
        <f>Volac!U29</f>
        <v xml:space="preserve">Fluoride Addition </v>
      </c>
    </row>
    <row r="2" spans="1:22" s="83" customFormat="1" ht="26.4" x14ac:dyDescent="0.3">
      <c r="A2" s="145"/>
      <c r="B2" s="32" t="s">
        <v>46</v>
      </c>
      <c r="C2" s="35" t="str">
        <f>Volac!B30</f>
        <v>tonnes/ha</v>
      </c>
      <c r="D2" s="35" t="str">
        <f>Volac!C30</f>
        <v>kg/ha</v>
      </c>
      <c r="E2" s="35" t="str">
        <f>Volac!D30</f>
        <v>P2O5 
kg/ha</v>
      </c>
      <c r="F2" s="35" t="str">
        <f>Volac!E30</f>
        <v>K2O 
kg/ha</v>
      </c>
      <c r="G2" s="35" t="str">
        <f>Volac!F30</f>
        <v>MgO 
kg/ha</v>
      </c>
      <c r="H2" s="35" t="str">
        <f>Volac!G30</f>
        <v>kg/ha</v>
      </c>
      <c r="I2" s="35" t="str">
        <f>Volac!H30</f>
        <v>kg/ha</v>
      </c>
      <c r="J2" s="35" t="str">
        <f>Volac!I30</f>
        <v>kg/ha</v>
      </c>
      <c r="K2" s="35" t="str">
        <f>Volac!J30</f>
        <v>kg/ha</v>
      </c>
      <c r="L2" s="35" t="str">
        <f>Volac!K30</f>
        <v>kg/ha</v>
      </c>
      <c r="M2" s="35" t="str">
        <f>Volac!L30</f>
        <v>kg/ha</v>
      </c>
      <c r="N2" s="35" t="str">
        <f>Volac!M30</f>
        <v>kg/ha</v>
      </c>
      <c r="O2" s="35" t="str">
        <f>Volac!N30</f>
        <v>kg/ha</v>
      </c>
      <c r="P2" s="35" t="str">
        <f>Volac!O30</f>
        <v>kg/ha</v>
      </c>
      <c r="Q2" s="35" t="str">
        <f>Volac!P30</f>
        <v>kg/ha</v>
      </c>
      <c r="R2" s="35" t="str">
        <f>Volac!Q30</f>
        <v>kg/ha</v>
      </c>
      <c r="S2" s="35" t="str">
        <f>Volac!R30</f>
        <v>kg/ha</v>
      </c>
      <c r="T2" s="35" t="str">
        <f>Volac!S30</f>
        <v>kg/ha</v>
      </c>
      <c r="U2" s="35" t="str">
        <f>Volac!T30</f>
        <v>kg/ha</v>
      </c>
      <c r="V2" s="35" t="str">
        <f>Volac!U30</f>
        <v>kg/ha</v>
      </c>
    </row>
    <row r="3" spans="1:22" x14ac:dyDescent="0.25">
      <c r="A3" s="36">
        <v>1</v>
      </c>
      <c r="B3" s="91"/>
      <c r="C3" s="33">
        <f>Volac!B31</f>
        <v>39</v>
      </c>
      <c r="D3" s="33">
        <f>Volac!C31</f>
        <v>42.900000000000006</v>
      </c>
      <c r="E3" s="33">
        <f>Volac!D31</f>
        <v>78.269723999999997</v>
      </c>
      <c r="F3" s="33">
        <f>Volac!E31</f>
        <v>22.698585000000001</v>
      </c>
      <c r="G3" s="33">
        <f>Volac!F31</f>
        <v>3.7633283999999998</v>
      </c>
      <c r="H3" s="33">
        <f>Volac!G31</f>
        <v>7.8000000000000005E-3</v>
      </c>
      <c r="I3" s="33">
        <f>Volac!H31</f>
        <v>8.6580000000000004E-2</v>
      </c>
      <c r="J3" s="33">
        <f>Volac!I31</f>
        <v>1.95E-2</v>
      </c>
      <c r="K3" s="33">
        <f>Volac!J31</f>
        <v>3.9000000000000005E-4</v>
      </c>
      <c r="L3" s="33">
        <f>Volac!K31</f>
        <v>1.9500000000000001E-3</v>
      </c>
      <c r="M3" s="33">
        <f>Volac!L31</f>
        <v>7.8000000000000005E-3</v>
      </c>
      <c r="N3" s="33">
        <f>Volac!M31</f>
        <v>9.3600000000000003E-3</v>
      </c>
      <c r="O3" s="33">
        <f>Volac!N31</f>
        <v>0</v>
      </c>
      <c r="P3" s="33">
        <f>Volac!O31</f>
        <v>0</v>
      </c>
      <c r="Q3" s="33">
        <f>Volac!P31</f>
        <v>10.023</v>
      </c>
      <c r="R3" s="33">
        <f>Volac!Q31</f>
        <v>10.627500000000001</v>
      </c>
      <c r="S3" s="33">
        <f>Volac!R31</f>
        <v>0</v>
      </c>
      <c r="T3" s="33">
        <f>Volac!S31</f>
        <v>0</v>
      </c>
      <c r="U3" s="33">
        <f>Volac!T31</f>
        <v>0</v>
      </c>
      <c r="V3" s="33">
        <f>Volac!U31</f>
        <v>0</v>
      </c>
    </row>
    <row r="4" spans="1:22" x14ac:dyDescent="0.25">
      <c r="A4" s="36">
        <v>2</v>
      </c>
      <c r="B4" s="91"/>
      <c r="C4" s="33">
        <f>'Penderyn Brecon'!B31</f>
        <v>106</v>
      </c>
      <c r="D4" s="33">
        <f>'Penderyn Brecon'!C31</f>
        <v>106</v>
      </c>
      <c r="E4" s="33">
        <f>'Penderyn Brecon'!D31</f>
        <v>79.410641999999996</v>
      </c>
      <c r="F4" s="33">
        <f>'Penderyn Brecon'!E31</f>
        <v>91.71014000000001</v>
      </c>
      <c r="G4" s="33">
        <f>'Penderyn Brecon'!F31</f>
        <v>22.495743999999998</v>
      </c>
      <c r="H4" s="33">
        <f>'Penderyn Brecon'!G31</f>
        <v>5.2999999999999999E-2</v>
      </c>
      <c r="I4" s="33">
        <f>'Penderyn Brecon'!H31</f>
        <v>0.106</v>
      </c>
      <c r="J4" s="33">
        <f>'Penderyn Brecon'!I31</f>
        <v>5.2999999999999999E-2</v>
      </c>
      <c r="K4" s="33">
        <f>'Penderyn Brecon'!J31</f>
        <v>1.0600000000000002E-3</v>
      </c>
      <c r="L4" s="33">
        <f>'Penderyn Brecon'!K31</f>
        <v>5.3E-3</v>
      </c>
      <c r="M4" s="33">
        <f>'Penderyn Brecon'!L31</f>
        <v>2.12E-2</v>
      </c>
      <c r="N4" s="33">
        <f>'Penderyn Brecon'!M31</f>
        <v>2.12E-2</v>
      </c>
      <c r="O4" s="33">
        <f>'Penderyn Brecon'!N31</f>
        <v>0</v>
      </c>
      <c r="P4" s="33">
        <f>'Penderyn Brecon'!O31</f>
        <v>0</v>
      </c>
      <c r="Q4" s="33">
        <f>'Penderyn Brecon'!P31</f>
        <v>32.647999999999996</v>
      </c>
      <c r="R4" s="33">
        <f>'Penderyn Brecon'!Q31</f>
        <v>30.21</v>
      </c>
      <c r="S4" s="33">
        <f>'Penderyn Brecon'!R31</f>
        <v>0</v>
      </c>
      <c r="T4" s="33">
        <f>'Penderyn Brecon'!S31</f>
        <v>0</v>
      </c>
      <c r="U4" s="33">
        <f>'Penderyn Brecon'!T31</f>
        <v>0</v>
      </c>
      <c r="V4" s="33">
        <f>'Penderyn Brecon'!U31</f>
        <v>0</v>
      </c>
    </row>
    <row r="5" spans="1:22" x14ac:dyDescent="0.25">
      <c r="A5" s="36">
        <v>3</v>
      </c>
      <c r="B5" s="91"/>
      <c r="C5" s="33">
        <f>'Pendeyrn Swansea'!B31</f>
        <v>123</v>
      </c>
      <c r="D5" s="33">
        <f>'Pendeyrn Swansea'!C31</f>
        <v>98.4</v>
      </c>
      <c r="E5" s="33">
        <f>'Pendeyrn Swansea'!D31</f>
        <v>79.747419000000008</v>
      </c>
      <c r="F5" s="33">
        <f>'Pendeyrn Swansea'!E31</f>
        <v>104.491575</v>
      </c>
      <c r="G5" s="33">
        <f>'Pendeyrn Swansea'!F31</f>
        <v>19.679631000000001</v>
      </c>
      <c r="H5" s="33">
        <f>'Pendeyrn Swansea'!G31</f>
        <v>0.59162999999999999</v>
      </c>
      <c r="I5" s="33">
        <f>'Pendeyrn Swansea'!H31</f>
        <v>0.12423000000000001</v>
      </c>
      <c r="J5" s="33">
        <f>'Pendeyrn Swansea'!I31</f>
        <v>6.1499999999999999E-2</v>
      </c>
      <c r="K5" s="33">
        <f>'Pendeyrn Swansea'!J31</f>
        <v>1.2300000000000002E-3</v>
      </c>
      <c r="L5" s="33">
        <f>'Pendeyrn Swansea'!K31</f>
        <v>6.1500000000000001E-3</v>
      </c>
      <c r="M5" s="33">
        <f>'Pendeyrn Swansea'!L31</f>
        <v>2.8289999999999999E-2</v>
      </c>
      <c r="N5" s="33">
        <f>'Pendeyrn Swansea'!M31</f>
        <v>2.46E-2</v>
      </c>
      <c r="O5" s="33">
        <f>'Pendeyrn Swansea'!N31</f>
        <v>0</v>
      </c>
      <c r="P5" s="33">
        <f>'Pendeyrn Swansea'!O31</f>
        <v>0</v>
      </c>
      <c r="Q5" s="33">
        <f>'Pendeyrn Swansea'!P31</f>
        <v>1.9557000000000002</v>
      </c>
      <c r="R5" s="33">
        <f>'Pendeyrn Swansea'!Q31</f>
        <v>31.057500000000001</v>
      </c>
      <c r="S5" s="33">
        <f>'Pendeyrn Swansea'!R31</f>
        <v>0</v>
      </c>
      <c r="T5" s="33">
        <f>'Pendeyrn Swansea'!S31</f>
        <v>0</v>
      </c>
      <c r="U5" s="33">
        <f>'Pendeyrn Swansea'!T31</f>
        <v>0</v>
      </c>
      <c r="V5" s="33">
        <f>'Pendeyrn Swansea'!U31</f>
        <v>0</v>
      </c>
    </row>
    <row r="6" spans="1:22" x14ac:dyDescent="0.25">
      <c r="A6" s="36">
        <v>4</v>
      </c>
      <c r="B6" s="91"/>
      <c r="C6" s="33">
        <f>'DCWW Cefn Dryscoed'!B31</f>
        <v>250</v>
      </c>
      <c r="D6" s="33">
        <f>'DCWW Cefn Dryscoed'!C31</f>
        <v>40.361999999999995</v>
      </c>
      <c r="E6" s="33">
        <f>'DCWW Cefn Dryscoed'!D31</f>
        <v>4.2818789999999991</v>
      </c>
      <c r="F6" s="33">
        <f>'DCWW Cefn Dryscoed'!E31</f>
        <v>0.44030699999999995</v>
      </c>
      <c r="G6" s="33">
        <f>'DCWW Cefn Dryscoed'!F31</f>
        <v>1.5319919999999998</v>
      </c>
      <c r="H6" s="33">
        <f>'DCWW Cefn Dryscoed'!G31</f>
        <v>0.18984000000000001</v>
      </c>
      <c r="I6" s="33">
        <f>'DCWW Cefn Dryscoed'!H31</f>
        <v>0.44519999999999998</v>
      </c>
      <c r="J6" s="33">
        <f>'DCWW Cefn Dryscoed'!I31</f>
        <v>3.2214E-2</v>
      </c>
      <c r="K6" s="33">
        <f>'DCWW Cefn Dryscoed'!J31</f>
        <v>2.8140000000000001E-3</v>
      </c>
      <c r="L6" s="33">
        <f>'DCWW Cefn Dryscoed'!K31</f>
        <v>4.9559999999999995E-3</v>
      </c>
      <c r="M6" s="33">
        <f>'DCWW Cefn Dryscoed'!L31</f>
        <v>2.1294000000000004E-2</v>
      </c>
      <c r="N6" s="33">
        <f>'DCWW Cefn Dryscoed'!M31</f>
        <v>1.6841999999999999E-2</v>
      </c>
      <c r="O6" s="33">
        <f>'DCWW Cefn Dryscoed'!N31</f>
        <v>768.59999999999991</v>
      </c>
      <c r="P6" s="33">
        <f>'DCWW Cefn Dryscoed'!O31</f>
        <v>21.084000000000003</v>
      </c>
      <c r="Q6" s="33">
        <f>'DCWW Cefn Dryscoed'!P31</f>
        <v>0</v>
      </c>
      <c r="R6" s="33">
        <f>'DCWW Cefn Dryscoed'!Q31</f>
        <v>94.39500000000001</v>
      </c>
      <c r="S6" s="33">
        <f>'DCWW Cefn Dryscoed'!R31</f>
        <v>0</v>
      </c>
      <c r="T6" s="33">
        <f>'DCWW Cefn Dryscoed'!S31</f>
        <v>0.16968</v>
      </c>
      <c r="U6" s="33">
        <f>'DCWW Cefn Dryscoed'!T31</f>
        <v>0</v>
      </c>
      <c r="V6" s="33">
        <f>'DCWW Cefn Dryscoed'!U31</f>
        <v>0</v>
      </c>
    </row>
    <row r="7" spans="1:22" x14ac:dyDescent="0.25">
      <c r="A7" s="36">
        <v>5</v>
      </c>
      <c r="B7" s="91"/>
      <c r="C7" s="33">
        <f>'DCWW CRAY'!B31</f>
        <v>250</v>
      </c>
      <c r="D7" s="33">
        <f>'DCWW CRAY'!C31</f>
        <v>37.128</v>
      </c>
      <c r="E7" s="33">
        <f>'DCWW CRAY'!D31</f>
        <v>9.9198009000000003</v>
      </c>
      <c r="F7" s="33">
        <f>'DCWW CRAY'!E31</f>
        <v>0.97713450000000013</v>
      </c>
      <c r="G7" s="33">
        <f>'DCWW CRAY'!F31</f>
        <v>5.0312009999999994</v>
      </c>
      <c r="H7" s="33">
        <f>'DCWW CRAY'!G31</f>
        <v>0.14331000000000005</v>
      </c>
      <c r="I7" s="33">
        <f>'DCWW CRAY'!H31</f>
        <v>0.66300000000000003</v>
      </c>
      <c r="J7" s="33">
        <f>'DCWW CRAY'!I31</f>
        <v>4.3860000000000003E-2</v>
      </c>
      <c r="K7" s="33">
        <f>'DCWW CRAY'!J31</f>
        <v>3.1110000000000001E-3</v>
      </c>
      <c r="L7" s="33">
        <f>'DCWW CRAY'!K31</f>
        <v>5.0490000000000005E-3</v>
      </c>
      <c r="M7" s="33">
        <f>'DCWW CRAY'!L31</f>
        <v>4.8959999999999997E-2</v>
      </c>
      <c r="N7" s="33">
        <f>'DCWW CRAY'!M31</f>
        <v>7.7010000000000009E-2</v>
      </c>
      <c r="O7" s="33">
        <f>'DCWW CRAY'!N31</f>
        <v>15.555000000000003</v>
      </c>
      <c r="P7" s="33">
        <f>'DCWW CRAY'!O31</f>
        <v>2300.1</v>
      </c>
      <c r="Q7" s="33">
        <f>'DCWW CRAY'!P31</f>
        <v>0</v>
      </c>
      <c r="R7" s="33">
        <f>'DCWW CRAY'!Q31</f>
        <v>33.532499999999999</v>
      </c>
      <c r="S7" s="33">
        <f>'DCWW CRAY'!R31</f>
        <v>0</v>
      </c>
      <c r="T7" s="33">
        <f>'DCWW CRAY'!S31</f>
        <v>0.19737000000000005</v>
      </c>
      <c r="U7" s="33">
        <f>'DCWW CRAY'!T31</f>
        <v>0</v>
      </c>
      <c r="V7" s="33">
        <f>'DCWW CRAY'!U31</f>
        <v>0</v>
      </c>
    </row>
    <row r="8" spans="1:22" x14ac:dyDescent="0.25">
      <c r="A8" s="36">
        <v>6</v>
      </c>
      <c r="B8" s="91"/>
      <c r="C8" s="33">
        <f>'DCWW HIRWAUN'!B31</f>
        <v>250</v>
      </c>
      <c r="D8" s="33">
        <f>'DCWW HIRWAUN'!C31</f>
        <v>27.317250000000005</v>
      </c>
      <c r="E8" s="33">
        <f>'DCWW HIRWAUN'!D31</f>
        <v>2.3603600249999999</v>
      </c>
      <c r="F8" s="33">
        <f>'DCWW HIRWAUN'!E31</f>
        <v>0.82422000000000006</v>
      </c>
      <c r="G8" s="33">
        <f>'DCWW HIRWAUN'!F31</f>
        <v>6.4287706499999997</v>
      </c>
      <c r="H8" s="33">
        <f>'DCWW HIRWAUN'!G31</f>
        <v>0.13124250000000001</v>
      </c>
      <c r="I8" s="33">
        <f>'DCWW HIRWAUN'!H31</f>
        <v>0.80797500000000011</v>
      </c>
      <c r="J8" s="33">
        <f>'DCWW HIRWAUN'!I31</f>
        <v>8.4645000000000012E-2</v>
      </c>
      <c r="K8" s="33">
        <f>'DCWW HIRWAUN'!J31</f>
        <v>3.6765000000000001E-3</v>
      </c>
      <c r="L8" s="33">
        <f>'DCWW HIRWAUN'!K31</f>
        <v>5.0017500000000001E-3</v>
      </c>
      <c r="M8" s="33">
        <f>'DCWW HIRWAUN'!L31</f>
        <v>2.1802499999999999E-2</v>
      </c>
      <c r="N8" s="33">
        <f>'DCWW HIRWAUN'!M31</f>
        <v>4.0014000000000001E-2</v>
      </c>
      <c r="O8" s="33">
        <f>'DCWW HIRWAUN'!N31</f>
        <v>15.261750000000001</v>
      </c>
      <c r="P8" s="33">
        <f>'DCWW HIRWAUN'!O31</f>
        <v>2017.8000000000002</v>
      </c>
      <c r="Q8" s="33">
        <f>'DCWW HIRWAUN'!P31</f>
        <v>0</v>
      </c>
      <c r="R8" s="33">
        <f>'DCWW HIRWAUN'!Q31</f>
        <v>50.979375000000012</v>
      </c>
      <c r="S8" s="33">
        <f>'DCWW HIRWAUN'!R31</f>
        <v>0</v>
      </c>
      <c r="T8" s="33">
        <f>'DCWW HIRWAUN'!S31</f>
        <v>0.1226925</v>
      </c>
      <c r="U8" s="33">
        <f>'DCWW HIRWAUN'!T31</f>
        <v>0</v>
      </c>
      <c r="V8" s="33">
        <f>'DCWW HIRWAUN'!U31</f>
        <v>0</v>
      </c>
    </row>
    <row r="9" spans="1:22" x14ac:dyDescent="0.25">
      <c r="A9" s="36">
        <v>7</v>
      </c>
      <c r="B9" s="91"/>
      <c r="C9" s="33">
        <f>'DCWW FELINDRE'!B31</f>
        <v>250</v>
      </c>
      <c r="D9" s="33">
        <f>'DCWW FELINDRE'!C31</f>
        <v>80.4405</v>
      </c>
      <c r="E9" s="33">
        <f>'DCWW FELINDRE'!D31</f>
        <v>34.860428749999997</v>
      </c>
      <c r="F9" s="33">
        <f>'DCWW FELINDRE'!E31</f>
        <v>7.542366125</v>
      </c>
      <c r="G9" s="33">
        <f>'DCWW FELINDRE'!F31</f>
        <v>20.728315999999996</v>
      </c>
      <c r="H9" s="33">
        <f>'DCWW FELINDRE'!G31</f>
        <v>0.4696475</v>
      </c>
      <c r="I9" s="33">
        <f>'DCWW FELINDRE'!H31</f>
        <v>2.6731250000000002</v>
      </c>
      <c r="J9" s="33">
        <f>'DCWW FELINDRE'!I31</f>
        <v>0.43674749999999996</v>
      </c>
      <c r="K9" s="33">
        <f>'DCWW FELINDRE'!J31</f>
        <v>1.5709750000000001E-2</v>
      </c>
      <c r="L9" s="33">
        <f>'DCWW FELINDRE'!K31</f>
        <v>1.0116749999999999E-2</v>
      </c>
      <c r="M9" s="33">
        <f>'DCWW FELINDRE'!L31</f>
        <v>0.21220499999999998</v>
      </c>
      <c r="N9" s="33">
        <f>'DCWW FELINDRE'!M31</f>
        <v>7.4436250000000009E-2</v>
      </c>
      <c r="O9" s="33">
        <f>'DCWW FELINDRE'!N31</f>
        <v>1200.8499999999999</v>
      </c>
      <c r="P9" s="33">
        <f>'DCWW FELINDRE'!O31</f>
        <v>261.55500000000001</v>
      </c>
      <c r="Q9" s="33">
        <f>'DCWW FELINDRE'!P31</f>
        <v>0</v>
      </c>
      <c r="R9" s="33">
        <f>'DCWW FELINDRE'!Q31</f>
        <v>94.793125000000003</v>
      </c>
      <c r="S9" s="33">
        <f>'DCWW FELINDRE'!R31</f>
        <v>0</v>
      </c>
      <c r="T9" s="33">
        <f>'DCWW FELINDRE'!S31</f>
        <v>0.4334575</v>
      </c>
      <c r="U9" s="33">
        <f>'DCWW FELINDRE'!T31</f>
        <v>0</v>
      </c>
      <c r="V9" s="33">
        <f>'DCWW FELINDRE'!U31</f>
        <v>0</v>
      </c>
    </row>
    <row r="10" spans="1:22" x14ac:dyDescent="0.25">
      <c r="A10" s="36">
        <v>8</v>
      </c>
      <c r="B10" s="91"/>
      <c r="C10" s="33">
        <f>'DCWW BRYN GWYN'!B31</f>
        <v>250</v>
      </c>
      <c r="D10" s="33">
        <f>'DCWW BRYN GWYN'!C31</f>
        <v>26.302499999999998</v>
      </c>
      <c r="E10" s="33">
        <f>'DCWW BRYN GWYN'!D31</f>
        <v>2.3147118499999997</v>
      </c>
      <c r="F10" s="33">
        <f>'DCWW BRYN GWYN'!E31</f>
        <v>2.7066107500000003</v>
      </c>
      <c r="G10" s="33">
        <f>'DCWW BRYN GWYN'!F31</f>
        <v>6.6867969</v>
      </c>
      <c r="H10" s="33">
        <f>'DCWW BRYN GWYN'!G31</f>
        <v>0.12942499999999998</v>
      </c>
      <c r="I10" s="33">
        <f>'DCWW BRYN GWYN'!H31</f>
        <v>0.82247500000000007</v>
      </c>
      <c r="J10" s="33">
        <f>'DCWW BRYN GWYN'!I31</f>
        <v>5.4275000000000004E-2</v>
      </c>
      <c r="K10" s="33">
        <f>'DCWW BRYN GWYN'!J31</f>
        <v>2.9642499999999999E-3</v>
      </c>
      <c r="L10" s="33">
        <f>'DCWW BRYN GWYN'!K31</f>
        <v>5.0517499999999998E-3</v>
      </c>
      <c r="M10" s="33">
        <f>'DCWW BRYN GWYN'!L31</f>
        <v>2.166825E-2</v>
      </c>
      <c r="N10" s="33">
        <f>'DCWW BRYN GWYN'!M31</f>
        <v>3.9495500000000003E-2</v>
      </c>
      <c r="O10" s="33">
        <f>'DCWW BRYN GWYN'!N31</f>
        <v>15.197000000000001</v>
      </c>
      <c r="P10" s="33">
        <f>'DCWW BRYN GWYN'!O31</f>
        <v>1995.6499999999999</v>
      </c>
      <c r="Q10" s="33">
        <f>'DCWW BRYN GWYN'!P31</f>
        <v>0</v>
      </c>
      <c r="R10" s="33">
        <f>'DCWW BRYN GWYN'!Q31</f>
        <v>49.473750000000003</v>
      </c>
      <c r="S10" s="33">
        <f>'DCWW BRYN GWYN'!R31</f>
        <v>0</v>
      </c>
      <c r="T10" s="33">
        <f>'DCWW BRYN GWYN'!S31</f>
        <v>0.13568750000000002</v>
      </c>
      <c r="U10" s="33">
        <f>'DCWW BRYN GWYN'!T31</f>
        <v>0</v>
      </c>
      <c r="V10" s="33">
        <f>'DCWW BRYN GWYN'!U31</f>
        <v>0</v>
      </c>
    </row>
    <row r="11" spans="1:22" x14ac:dyDescent="0.25">
      <c r="A11" s="36">
        <v>9</v>
      </c>
      <c r="B11" s="91"/>
      <c r="C11" s="33">
        <f>'DCWW CAPEL DEWI'!B31</f>
        <v>250</v>
      </c>
      <c r="D11" s="33">
        <f>'DCWW CAPEL DEWI'!C31</f>
        <v>23.048999999999999</v>
      </c>
      <c r="E11" s="33">
        <f>'DCWW CAPEL DEWI'!D31</f>
        <v>2.9753216999999994</v>
      </c>
      <c r="F11" s="33">
        <f>'DCWW CAPEL DEWI'!E31</f>
        <v>4.4692245000000002</v>
      </c>
      <c r="G11" s="33">
        <f>'DCWW CAPEL DEWI'!F31</f>
        <v>9.5635097999999967</v>
      </c>
      <c r="H11" s="33">
        <f>'DCWW CAPEL DEWI'!G31</f>
        <v>0.11395799999999999</v>
      </c>
      <c r="I11" s="33">
        <f>'DCWW CAPEL DEWI'!H31</f>
        <v>0.73124999999999996</v>
      </c>
      <c r="J11" s="33">
        <f>'DCWW CAPEL DEWI'!I31</f>
        <v>7.2539999999999993E-2</v>
      </c>
      <c r="K11" s="33">
        <f>'DCWW CAPEL DEWI'!J31</f>
        <v>2.5739999999999999E-3</v>
      </c>
      <c r="L11" s="33">
        <f>'DCWW CAPEL DEWI'!K31</f>
        <v>5.030999999999999E-3</v>
      </c>
      <c r="M11" s="33">
        <f>'DCWW CAPEL DEWI'!L31</f>
        <v>2.1527999999999999E-2</v>
      </c>
      <c r="N11" s="33">
        <f>'DCWW CAPEL DEWI'!M31</f>
        <v>5.0309999999999994E-2</v>
      </c>
      <c r="O11" s="33">
        <f>'DCWW CAPEL DEWI'!N31</f>
        <v>14.390999999999998</v>
      </c>
      <c r="P11" s="33">
        <f>'DCWW CAPEL DEWI'!O31</f>
        <v>1719.8999999999999</v>
      </c>
      <c r="Q11" s="33">
        <f>'DCWW CAPEL DEWI'!P31</f>
        <v>0</v>
      </c>
      <c r="R11" s="33">
        <f>'DCWW CAPEL DEWI'!Q31</f>
        <v>44.167499999999997</v>
      </c>
      <c r="S11" s="33">
        <f>'DCWW CAPEL DEWI'!R31</f>
        <v>0</v>
      </c>
      <c r="T11" s="33">
        <f>'DCWW CAPEL DEWI'!S31</f>
        <v>0.16613999999999998</v>
      </c>
      <c r="U11" s="33">
        <f>'DCWW CAPEL DEWI'!T31</f>
        <v>0</v>
      </c>
      <c r="V11" s="33">
        <f>'DCWW CAPEL DEWI'!U31</f>
        <v>0</v>
      </c>
    </row>
    <row r="12" spans="1:22" x14ac:dyDescent="0.25">
      <c r="A12" s="36">
        <v>10</v>
      </c>
      <c r="B12" s="91"/>
      <c r="C12" s="33">
        <f>'DCWW LLECHRYD'!B31</f>
        <v>38</v>
      </c>
      <c r="D12" s="33">
        <f>'DCWW LLECHRYD'!C31</f>
        <v>101.77920000000002</v>
      </c>
      <c r="E12" s="33">
        <f>'DCWW LLECHRYD'!D31</f>
        <v>78.979017600000006</v>
      </c>
      <c r="F12" s="33">
        <f>'DCWW LLECHRYD'!E31</f>
        <v>13.846896000000005</v>
      </c>
      <c r="G12" s="33">
        <f>'DCWW LLECHRYD'!F31</f>
        <v>51.169328640000003</v>
      </c>
      <c r="H12" s="33">
        <f>'DCWW LLECHRYD'!G31</f>
        <v>0.38194560000000005</v>
      </c>
      <c r="I12" s="33">
        <f>'DCWW LLECHRYD'!H31</f>
        <v>2.3748480000000005</v>
      </c>
      <c r="J12" s="33">
        <f>'DCWW LLECHRYD'!I31</f>
        <v>0.54282240000000015</v>
      </c>
      <c r="K12" s="33">
        <f>'DCWW LLECHRYD'!J31</f>
        <v>2.0793600000000006E-3</v>
      </c>
      <c r="L12" s="33">
        <f>'DCWW LLECHRYD'!K31</f>
        <v>1.96992E-3</v>
      </c>
      <c r="M12" s="33">
        <f>'DCWW LLECHRYD'!L31</f>
        <v>0.25608960000000003</v>
      </c>
      <c r="N12" s="33">
        <f>'DCWW LLECHRYD'!M31</f>
        <v>0.27250560000000001</v>
      </c>
      <c r="O12" s="33">
        <f>'DCWW LLECHRYD'!N31</f>
        <v>143.3664</v>
      </c>
      <c r="P12" s="33">
        <f>'DCWW LLECHRYD'!O31</f>
        <v>2407.6800000000003</v>
      </c>
      <c r="Q12" s="33">
        <f>'DCWW LLECHRYD'!P31</f>
        <v>0</v>
      </c>
      <c r="R12" s="33">
        <f>'DCWW LLECHRYD'!Q31</f>
        <v>77.155200000000008</v>
      </c>
      <c r="S12" s="33">
        <f>'DCWW LLECHRYD'!R31</f>
        <v>0</v>
      </c>
      <c r="T12" s="33">
        <f>'DCWW LLECHRYD'!S31</f>
        <v>0.21450240000000007</v>
      </c>
      <c r="U12" s="33">
        <f>'DCWW LLECHRYD'!T31</f>
        <v>0</v>
      </c>
      <c r="V12" s="33">
        <f>'DCWW LLECHRYD'!U31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4" t="s">
        <v>84</v>
      </c>
      <c r="B15" s="35" t="s">
        <v>152</v>
      </c>
      <c r="C15" s="35">
        <f>Volac!B43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4"/>
      <c r="B16" s="32" t="s">
        <v>46</v>
      </c>
      <c r="C16" s="35">
        <f>Volac!B44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106</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123</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38</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6" x14ac:dyDescent="0.3">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REGU-195-6581699</_dlc_DocId>
    <_dlc_DocIdUrl xmlns="9be56660-2c31-41ef-bc00-23e72f632f2a">
      <Url>https://cyfoethnaturiolcymru.sharepoint.com/teams/Regulatory/Permitting/_layouts/15/DocIdRedir.aspx?ID=REGU-195-6581699</Url>
      <Description>REGU-195-6581699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2024-05-20T23:00:00+00:00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2" ma:contentTypeDescription="Permitting &amp; Compliance Word Document" ma:contentTypeScope="" ma:versionID="e431386f76c31407f27919025ac844a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ce431996211967840af05ce04e3e8c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F3C66A-83B0-4C64-8786-7ACC0A3E658F}"/>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CF4BC9F6-D4D4-4918-8E41-EFE29B3D173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Volac</vt:lpstr>
      <vt:lpstr>Penderyn Brecon</vt:lpstr>
      <vt:lpstr>Pendeyrn Swansea</vt:lpstr>
      <vt:lpstr>DCWW Cefn Dryscoed</vt:lpstr>
      <vt:lpstr>DCWW CRAY</vt:lpstr>
      <vt:lpstr>DCWW HIRWAUN</vt:lpstr>
      <vt:lpstr>DCWW FELINDRE</vt:lpstr>
      <vt:lpstr>DCWW BRYN GWYN</vt:lpstr>
      <vt:lpstr>DCWW CAPEL DEWI</vt:lpstr>
      <vt:lpstr>DCWW LLECHRYD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2024-05-07T15:55:26Z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01bfd445-f9fd-47ee-a84e-d691496dce16</vt:lpwstr>
  </property>
  <property fmtid="{D5CDD505-2E9C-101B-9397-08002B2CF9AE}" pid="4" name="MediaServiceImageTags">
    <vt:lpwstr/>
  </property>
</Properties>
</file>