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5174/"/>
    </mc:Choice>
  </mc:AlternateContent>
  <xr:revisionPtr revIDLastSave="0" documentId="13_ncr:1_{AAA09EE5-AC1F-47E2-8314-C5DD6EFD8F8C}" xr6:coauthVersionLast="47" xr6:coauthVersionMax="47" xr10:uidLastSave="{00000000-0000-0000-0000-000000000000}"/>
  <bookViews>
    <workbookView xWindow="28680" yWindow="-120" windowWidth="29040" windowHeight="15840" tabRatio="870" activeTab="1" xr2:uid="{00000000-000D-0000-FFFF-FFFF00000000}"/>
  </bookViews>
  <sheets>
    <sheet name="Cefn Dryscoed" sheetId="1" r:id="rId1"/>
    <sheet name="Elan Valley" sheetId="21" r:id="rId2"/>
    <sheet name="Llyswen" sheetId="27" r:id="rId3"/>
    <sheet name="Talybont" sheetId="28" r:id="rId4"/>
    <sheet name="Whitbourne" sheetId="30" r:id="rId5"/>
    <sheet name="Additions" sheetId="20" r:id="rId6"/>
    <sheet name="Ratios" sheetId="19"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30" l="1"/>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V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V20" i="28"/>
  <c r="U20" i="28"/>
  <c r="T20" i="28"/>
  <c r="S20" i="28"/>
  <c r="R20" i="28"/>
  <c r="Q20" i="28"/>
  <c r="P20" i="28"/>
  <c r="O20"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U18" i="27"/>
  <c r="T18" i="27"/>
  <c r="L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V18"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L65" i="21" s="1"/>
  <c r="D58" i="21"/>
  <c r="D61" i="21"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19" i="28" s="1"/>
  <c r="E20" i="28" s="1"/>
  <c r="E21" i="28"/>
  <c r="E23" i="28" s="1"/>
  <c r="E24" i="28" s="1"/>
  <c r="L59" i="28"/>
  <c r="M17" i="28"/>
  <c r="M19" i="28" s="1"/>
  <c r="M20" i="28" s="1"/>
  <c r="M21" i="28"/>
  <c r="M23" i="28" s="1"/>
  <c r="M24" i="28" s="1"/>
  <c r="T59" i="28"/>
  <c r="U17" i="28"/>
  <c r="U21" i="28"/>
  <c r="U23" i="28" s="1"/>
  <c r="U24" i="28"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J59" i="28"/>
  <c r="K17" i="28"/>
  <c r="K19" i="28" s="1"/>
  <c r="K20" i="28" s="1"/>
  <c r="K21" i="28"/>
  <c r="K23" i="28" s="1"/>
  <c r="K24" i="28" s="1"/>
  <c r="R59" i="28"/>
  <c r="S17" i="28"/>
  <c r="S21" i="28"/>
  <c r="S23" i="28" s="1"/>
  <c r="S24" i="28" s="1"/>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K59" i="27"/>
  <c r="L17" i="27"/>
  <c r="L19" i="27" s="1"/>
  <c r="L20" i="27" s="1"/>
  <c r="S59" i="27"/>
  <c r="T17" i="27"/>
  <c r="T19" i="27" s="1"/>
  <c r="C59" i="28"/>
  <c r="D21" i="28"/>
  <c r="D23" i="28" s="1"/>
  <c r="D24" i="28" s="1"/>
  <c r="D17" i="28"/>
  <c r="D19" i="28" s="1"/>
  <c r="D20" i="28" s="1"/>
  <c r="K59" i="28"/>
  <c r="L21" i="28"/>
  <c r="L17" i="28"/>
  <c r="L19" i="28" s="1"/>
  <c r="L20" i="28" s="1"/>
  <c r="S59" i="28"/>
  <c r="T21" i="28"/>
  <c r="T23" i="28" s="1"/>
  <c r="T24" i="28" s="1"/>
  <c r="T17" i="28"/>
  <c r="T19" i="28" s="1"/>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O65" i="21" s="1"/>
  <c r="P21" i="21"/>
  <c r="P23" i="21" s="1"/>
  <c r="P24" i="21" s="1"/>
  <c r="P17" i="21"/>
  <c r="H21" i="21"/>
  <c r="H17" i="21"/>
  <c r="H19" i="21" s="1"/>
  <c r="H20" i="21" s="1"/>
  <c r="E59" i="27"/>
  <c r="F17" i="27"/>
  <c r="F19" i="27" s="1"/>
  <c r="F20" i="27" s="1"/>
  <c r="M59" i="27"/>
  <c r="N17" i="27"/>
  <c r="U59" i="27"/>
  <c r="V17" i="27"/>
  <c r="E59" i="28"/>
  <c r="F17" i="28"/>
  <c r="F19" i="28" s="1"/>
  <c r="F20" i="28" s="1"/>
  <c r="F21" i="28"/>
  <c r="F23" i="28" s="1"/>
  <c r="F24" i="28" s="1"/>
  <c r="M59" i="28"/>
  <c r="N17" i="28"/>
  <c r="N19" i="28" s="1"/>
  <c r="N20" i="28" s="1"/>
  <c r="N21" i="28"/>
  <c r="N23" i="28" s="1"/>
  <c r="N24" i="28" s="1"/>
  <c r="U59" i="28"/>
  <c r="V17" i="28"/>
  <c r="V21" i="28"/>
  <c r="C59" i="30"/>
  <c r="D17" i="30"/>
  <c r="D19" i="30" s="1"/>
  <c r="D20" i="30" s="1"/>
  <c r="D21" i="30"/>
  <c r="D23" i="30" s="1"/>
  <c r="D24" i="30" s="1"/>
  <c r="K59" i="30"/>
  <c r="L17" i="30"/>
  <c r="L19" i="30" s="1"/>
  <c r="L20" i="30" s="1"/>
  <c r="L21" i="30"/>
  <c r="L23" i="30" s="1"/>
  <c r="L24" i="30" s="1"/>
  <c r="S59" i="30"/>
  <c r="T17" i="30"/>
  <c r="T19" i="30" s="1"/>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S23" i="30" s="1"/>
  <c r="S24" i="30" s="1"/>
  <c r="A34" i="21"/>
  <c r="N59" i="21"/>
  <c r="N64" i="21" s="1"/>
  <c r="O21" i="21"/>
  <c r="O23" i="21" s="1"/>
  <c r="O24" i="21" s="1"/>
  <c r="O17" i="21"/>
  <c r="O19" i="21" s="1"/>
  <c r="F59" i="21"/>
  <c r="G21" i="21"/>
  <c r="G23" i="21" s="1"/>
  <c r="G24" i="21" s="1"/>
  <c r="G17" i="21"/>
  <c r="F59" i="28"/>
  <c r="G17" i="28"/>
  <c r="G19" i="28" s="1"/>
  <c r="G20" i="28" s="1"/>
  <c r="G21" i="28"/>
  <c r="G23" i="28" s="1"/>
  <c r="G24" i="28" s="1"/>
  <c r="N59" i="28"/>
  <c r="O17" i="28"/>
  <c r="O19" i="28" s="1"/>
  <c r="O21" i="28"/>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H17" i="27"/>
  <c r="H19" i="27" s="1"/>
  <c r="H20" i="27" s="1"/>
  <c r="P17" i="27"/>
  <c r="P19" i="27" s="1"/>
  <c r="H21" i="28"/>
  <c r="H23" i="28" s="1"/>
  <c r="H24" i="28" s="1"/>
  <c r="H17" i="28"/>
  <c r="H19" i="28" s="1"/>
  <c r="H20" i="28" s="1"/>
  <c r="P21" i="28"/>
  <c r="P17" i="28"/>
  <c r="P19" i="28" s="1"/>
  <c r="E59" i="30"/>
  <c r="F21" i="30"/>
  <c r="F23" i="30" s="1"/>
  <c r="F24" i="30" s="1"/>
  <c r="F17" i="30"/>
  <c r="F19" i="30" s="1"/>
  <c r="F20" i="30" s="1"/>
  <c r="M59" i="30"/>
  <c r="N21" i="30"/>
  <c r="N23" i="30" s="1"/>
  <c r="N24" i="30" s="1"/>
  <c r="N17" i="30"/>
  <c r="U59" i="30"/>
  <c r="V21" i="30"/>
  <c r="V23" i="30" s="1"/>
  <c r="V24" i="30" s="1"/>
  <c r="V17" i="30"/>
  <c r="V19" i="30"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T65"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I21" i="28"/>
  <c r="I23" i="28" s="1"/>
  <c r="I24" i="28" s="1"/>
  <c r="I17" i="28"/>
  <c r="I19" i="28" s="1"/>
  <c r="I20" i="28" s="1"/>
  <c r="Q21" i="28"/>
  <c r="Q23" i="28" s="1"/>
  <c r="Q24" i="28" s="1"/>
  <c r="Q17" i="28"/>
  <c r="Q19" i="28" s="1"/>
  <c r="G21" i="30"/>
  <c r="G17" i="30"/>
  <c r="G19" i="30" s="1"/>
  <c r="G20" i="30" s="1"/>
  <c r="O21" i="30"/>
  <c r="O23" i="30" s="1"/>
  <c r="O24"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R19" i="27" s="1"/>
  <c r="I59" i="28"/>
  <c r="J17" i="28"/>
  <c r="J19" i="28" s="1"/>
  <c r="J20" i="28" s="1"/>
  <c r="J21" i="28"/>
  <c r="J23" i="28" s="1"/>
  <c r="J24" i="28" s="1"/>
  <c r="Q59" i="28"/>
  <c r="R21" i="28"/>
  <c r="R23" i="28" s="1"/>
  <c r="R24" i="28" s="1"/>
  <c r="R17" i="28"/>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1"/>
  <c r="C21" i="21"/>
  <c r="C17" i="21"/>
  <c r="C19" i="21" s="1"/>
  <c r="C20" i="21" s="1"/>
  <c r="S58" i="21"/>
  <c r="S61" i="21" s="1"/>
  <c r="C58" i="21"/>
  <c r="C61" i="21" s="1"/>
  <c r="C64" i="21" s="1"/>
  <c r="K58" i="21"/>
  <c r="K61" i="21" s="1"/>
  <c r="I21" i="27"/>
  <c r="I23" i="27" s="1"/>
  <c r="I24" i="27" s="1"/>
  <c r="Q21" i="27"/>
  <c r="R58" i="21"/>
  <c r="R61" i="21" s="1"/>
  <c r="R64" i="21" s="1"/>
  <c r="R65" i="21" s="1"/>
  <c r="O57" i="21"/>
  <c r="A43" i="21"/>
  <c r="J58" i="21"/>
  <c r="J61" i="21" s="1"/>
  <c r="G21" i="27"/>
  <c r="G23" i="27" s="1"/>
  <c r="G24" i="27" s="1"/>
  <c r="O21" i="27"/>
  <c r="O23" i="27" s="1"/>
  <c r="O24" i="27" s="1"/>
  <c r="D58" i="30"/>
  <c r="D61" i="30" s="1"/>
  <c r="D64" i="30" s="1"/>
  <c r="L58" i="30"/>
  <c r="L61" i="30" s="1"/>
  <c r="H21" i="27"/>
  <c r="H23" i="27" s="1"/>
  <c r="H24" i="27" s="1"/>
  <c r="P21" i="27"/>
  <c r="J58" i="27"/>
  <c r="J61" i="27" s="1"/>
  <c r="R58" i="27"/>
  <c r="R61" i="27" s="1"/>
  <c r="R64" i="27" s="1"/>
  <c r="R65" i="27" s="1"/>
  <c r="R58" i="28"/>
  <c r="R61" i="28" s="1"/>
  <c r="R64" i="28" s="1"/>
  <c r="R65" i="28" s="1"/>
  <c r="D19" i="27"/>
  <c r="D20" i="27" s="1"/>
  <c r="L21" i="27"/>
  <c r="L23" i="27" s="1"/>
  <c r="L24" i="27" s="1"/>
  <c r="T21" i="27"/>
  <c r="P58" i="21"/>
  <c r="P61" i="21" s="1"/>
  <c r="P64" i="21" s="1"/>
  <c r="P65" i="21" s="1"/>
  <c r="H58" i="21"/>
  <c r="H61" i="21" s="1"/>
  <c r="R57" i="21"/>
  <c r="Q23" i="30"/>
  <c r="Q24" i="30" s="1"/>
  <c r="U23" i="30"/>
  <c r="U24" i="30" s="1"/>
  <c r="J58" i="28"/>
  <c r="J61" i="28" s="1"/>
  <c r="J64" i="28" s="1"/>
  <c r="T58" i="30"/>
  <c r="T61" i="30" s="1"/>
  <c r="T64" i="30" s="1"/>
  <c r="T65" i="30" s="1"/>
  <c r="D58" i="27"/>
  <c r="D61" i="27" s="1"/>
  <c r="D64" i="27" s="1"/>
  <c r="D65" i="27" s="1"/>
  <c r="L58" i="27"/>
  <c r="L61" i="27" s="1"/>
  <c r="T58" i="27"/>
  <c r="T61" i="27" s="1"/>
  <c r="T64" i="27" s="1"/>
  <c r="T65" i="27" s="1"/>
  <c r="J58" i="30"/>
  <c r="J61" i="30" s="1"/>
  <c r="R58" i="30"/>
  <c r="R61" i="30" s="1"/>
  <c r="R64" i="30" s="1"/>
  <c r="R65" i="30" s="1"/>
  <c r="P57" i="30"/>
  <c r="J57" i="21"/>
  <c r="H59" i="21"/>
  <c r="R21" i="27"/>
  <c r="R23" i="27" s="1"/>
  <c r="R24" i="27" s="1"/>
  <c r="E58" i="27"/>
  <c r="E61" i="27" s="1"/>
  <c r="M58" i="27"/>
  <c r="M61" i="27" s="1"/>
  <c r="U58" i="27"/>
  <c r="U61" i="27" s="1"/>
  <c r="F58" i="30"/>
  <c r="F61" i="30" s="1"/>
  <c r="N58" i="30"/>
  <c r="N61" i="30" s="1"/>
  <c r="G59" i="21"/>
  <c r="F58" i="27"/>
  <c r="F61" i="27" s="1"/>
  <c r="N58" i="27"/>
  <c r="N61" i="27" s="1"/>
  <c r="C58" i="28"/>
  <c r="C61" i="28" s="1"/>
  <c r="K58" i="28"/>
  <c r="K61" i="28" s="1"/>
  <c r="S58" i="28"/>
  <c r="S61" i="28" s="1"/>
  <c r="G58" i="30"/>
  <c r="G61" i="30" s="1"/>
  <c r="O58" i="30"/>
  <c r="O61" i="30" s="1"/>
  <c r="Q57" i="30"/>
  <c r="G58" i="27"/>
  <c r="G61" i="27" s="1"/>
  <c r="T58" i="28"/>
  <c r="T61" i="28" s="1"/>
  <c r="T64" i="28" s="1"/>
  <c r="T65" i="28" s="1"/>
  <c r="H58" i="30"/>
  <c r="H61" i="30" s="1"/>
  <c r="H64" i="30" s="1"/>
  <c r="N59" i="30"/>
  <c r="Q57" i="21"/>
  <c r="B58" i="21"/>
  <c r="B61" i="21" s="1"/>
  <c r="H58" i="27"/>
  <c r="H61" i="27" s="1"/>
  <c r="P58" i="27"/>
  <c r="P61" i="27" s="1"/>
  <c r="F57" i="27"/>
  <c r="E58" i="28"/>
  <c r="E61" i="28" s="1"/>
  <c r="M58" i="28"/>
  <c r="M61" i="28" s="1"/>
  <c r="U58" i="28"/>
  <c r="U61" i="28" s="1"/>
  <c r="I58" i="30"/>
  <c r="I61" i="30" s="1"/>
  <c r="Q58" i="30"/>
  <c r="Q61" i="30" s="1"/>
  <c r="Q64" i="30" s="1"/>
  <c r="Q65" i="30" s="1"/>
  <c r="P59" i="30"/>
  <c r="O58" i="27"/>
  <c r="O61" i="27" s="1"/>
  <c r="A38" i="21"/>
  <c r="I58" i="27"/>
  <c r="I61" i="27" s="1"/>
  <c r="Q58" i="27"/>
  <c r="Q61" i="27" s="1"/>
  <c r="Q64" i="27" s="1"/>
  <c r="Q65" i="27" s="1"/>
  <c r="H57" i="27"/>
  <c r="F59" i="27"/>
  <c r="O23" i="28"/>
  <c r="O24" i="28" s="1"/>
  <c r="F58" i="28"/>
  <c r="F61" i="28" s="1"/>
  <c r="N58" i="28"/>
  <c r="N61" i="28" s="1"/>
  <c r="F57" i="30"/>
  <c r="L58" i="28"/>
  <c r="L61" i="28" s="1"/>
  <c r="P19" i="21"/>
  <c r="P23" i="27"/>
  <c r="P24" i="27" s="1"/>
  <c r="N57" i="27"/>
  <c r="H59" i="27"/>
  <c r="G58" i="28"/>
  <c r="G61" i="28" s="1"/>
  <c r="O58" i="28"/>
  <c r="O61" i="28" s="1"/>
  <c r="F57" i="28"/>
  <c r="C58" i="30"/>
  <c r="C61" i="30" s="1"/>
  <c r="K58" i="30"/>
  <c r="K61" i="30" s="1"/>
  <c r="K64" i="30" s="1"/>
  <c r="K65" i="30" s="1"/>
  <c r="S58" i="30"/>
  <c r="S61" i="30" s="1"/>
  <c r="H57" i="30"/>
  <c r="D58" i="28"/>
  <c r="D61" i="28" s="1"/>
  <c r="D64" i="28" s="1"/>
  <c r="P58" i="30"/>
  <c r="P61" i="30" s="1"/>
  <c r="Q58" i="21"/>
  <c r="Q61" i="21" s="1"/>
  <c r="Q64" i="21" s="1"/>
  <c r="Q65" i="21" s="1"/>
  <c r="I58" i="21"/>
  <c r="I61" i="21" s="1"/>
  <c r="C58" i="27"/>
  <c r="C61" i="27" s="1"/>
  <c r="C64" i="27" s="1"/>
  <c r="K58" i="27"/>
  <c r="K61" i="27" s="1"/>
  <c r="K64" i="27" s="1"/>
  <c r="S58" i="27"/>
  <c r="S61" i="27" s="1"/>
  <c r="S64" i="27" s="1"/>
  <c r="S65" i="27" s="1"/>
  <c r="P57" i="27"/>
  <c r="N59" i="27"/>
  <c r="H58" i="28"/>
  <c r="H61" i="28" s="1"/>
  <c r="P58" i="28"/>
  <c r="P61" i="28" s="1"/>
  <c r="N57" i="28"/>
  <c r="I57" i="30"/>
  <c r="G57" i="21"/>
  <c r="P59" i="27"/>
  <c r="I58" i="28"/>
  <c r="I61" i="28" s="1"/>
  <c r="Q58" i="28"/>
  <c r="Q61" i="28" s="1"/>
  <c r="Q64" i="28" s="1"/>
  <c r="Q65" i="28" s="1"/>
  <c r="P23" i="28"/>
  <c r="P24" i="28" s="1"/>
  <c r="E58" i="30"/>
  <c r="E61" i="30" s="1"/>
  <c r="M58" i="30"/>
  <c r="M61" i="30" s="1"/>
  <c r="U58" i="30"/>
  <c r="U61" i="30" s="1"/>
  <c r="U64" i="30" s="1"/>
  <c r="N57" i="30"/>
  <c r="F59" i="30"/>
  <c r="B58" i="30"/>
  <c r="B61" i="30" s="1"/>
  <c r="B58" i="27"/>
  <c r="B61" i="27" s="1"/>
  <c r="B58" i="28"/>
  <c r="B61" i="28" s="1"/>
  <c r="D5" i="20"/>
  <c r="D6" i="20"/>
  <c r="D4" i="20"/>
  <c r="E9" i="20"/>
  <c r="D9" i="20"/>
  <c r="E11" i="20"/>
  <c r="D11" i="20"/>
  <c r="E8" i="20"/>
  <c r="D8" i="20"/>
  <c r="E10" i="20"/>
  <c r="D10" i="20"/>
  <c r="E7" i="20"/>
  <c r="D7" i="20"/>
  <c r="E6" i="20"/>
  <c r="E5" i="20"/>
  <c r="E4" i="20"/>
  <c r="G23" i="30"/>
  <c r="G24" i="30" s="1"/>
  <c r="R19" i="30"/>
  <c r="F63" i="30"/>
  <c r="N63" i="30"/>
  <c r="S19" i="30"/>
  <c r="A31" i="30"/>
  <c r="A33" i="30"/>
  <c r="A39" i="30"/>
  <c r="A41" i="30"/>
  <c r="A47" i="30"/>
  <c r="A49" i="30"/>
  <c r="G57" i="30"/>
  <c r="O57" i="30"/>
  <c r="G59" i="30"/>
  <c r="O59" i="30"/>
  <c r="G63" i="30"/>
  <c r="O63" i="30"/>
  <c r="P63" i="30"/>
  <c r="I63" i="30"/>
  <c r="Q63" i="30"/>
  <c r="N19" i="30"/>
  <c r="N20" i="30" s="1"/>
  <c r="B63" i="30"/>
  <c r="J63" i="30"/>
  <c r="R63" i="30"/>
  <c r="A32" i="30"/>
  <c r="A34" i="30"/>
  <c r="A40" i="30"/>
  <c r="A42" i="30"/>
  <c r="A48" i="30"/>
  <c r="A50" i="30"/>
  <c r="C63" i="30"/>
  <c r="K63" i="30"/>
  <c r="S63" i="30"/>
  <c r="P19" i="30"/>
  <c r="D63" i="30"/>
  <c r="L63" i="30"/>
  <c r="T63" i="30"/>
  <c r="H63" i="30"/>
  <c r="Q19" i="30"/>
  <c r="E63" i="30"/>
  <c r="M63" i="30"/>
  <c r="S19" i="28"/>
  <c r="A31" i="28"/>
  <c r="A33" i="28"/>
  <c r="A37" i="28"/>
  <c r="A39" i="28"/>
  <c r="A41" i="28"/>
  <c r="A45" i="28"/>
  <c r="A47" i="28"/>
  <c r="A49" i="28"/>
  <c r="G57" i="28"/>
  <c r="O57" i="28"/>
  <c r="G59" i="28"/>
  <c r="O59" i="28"/>
  <c r="G63" i="28"/>
  <c r="O63" i="28"/>
  <c r="L23" i="28"/>
  <c r="L24" i="28" s="1"/>
  <c r="H59" i="28"/>
  <c r="P59" i="28"/>
  <c r="H63" i="28"/>
  <c r="P63" i="28"/>
  <c r="U19" i="28"/>
  <c r="I57" i="28"/>
  <c r="Q57" i="28"/>
  <c r="I63" i="28"/>
  <c r="Q63" i="28"/>
  <c r="R19" i="28"/>
  <c r="V19" i="28"/>
  <c r="V23" i="28"/>
  <c r="V24" i="28" s="1"/>
  <c r="B63" i="28"/>
  <c r="J63" i="28"/>
  <c r="R63" i="28"/>
  <c r="A32" i="28"/>
  <c r="A34" i="28"/>
  <c r="A40" i="28"/>
  <c r="A42" i="28"/>
  <c r="A48" i="28"/>
  <c r="A50" i="28"/>
  <c r="C63" i="28"/>
  <c r="K63" i="28"/>
  <c r="S63" i="28"/>
  <c r="D63" i="28"/>
  <c r="L63" i="28"/>
  <c r="T63" i="28"/>
  <c r="E63" i="28"/>
  <c r="M63" i="28"/>
  <c r="Q23" i="27"/>
  <c r="Q24"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D63" i="27"/>
  <c r="L63" i="27"/>
  <c r="T63" i="27"/>
  <c r="H63" i="27"/>
  <c r="Q19" i="27"/>
  <c r="E63" i="27"/>
  <c r="M63" i="27"/>
  <c r="H23" i="21"/>
  <c r="H24" i="21" s="1"/>
  <c r="N23" i="21"/>
  <c r="N24" i="21" s="1"/>
  <c r="A33" i="21"/>
  <c r="A37" i="21"/>
  <c r="A41" i="21"/>
  <c r="A45" i="21"/>
  <c r="A49" i="21"/>
  <c r="E58" i="21"/>
  <c r="E61" i="21" s="1"/>
  <c r="M58" i="21"/>
  <c r="M61" i="21" s="1"/>
  <c r="U58" i="21"/>
  <c r="U61" i="21" s="1"/>
  <c r="S19" i="21"/>
  <c r="I23" i="21"/>
  <c r="I24" i="21" s="1"/>
  <c r="C57" i="21"/>
  <c r="K57" i="21"/>
  <c r="S57" i="21"/>
  <c r="G19" i="21"/>
  <c r="G20" i="21" s="1"/>
  <c r="Q19" i="21"/>
  <c r="J23" i="21"/>
  <c r="J24" i="21" s="1"/>
  <c r="R23" i="21"/>
  <c r="R24" i="21" s="1"/>
  <c r="I19" i="21"/>
  <c r="I20" i="21" s="1"/>
  <c r="L19" i="21"/>
  <c r="L20" i="21" s="1"/>
  <c r="R19" i="21"/>
  <c r="A31" i="21"/>
  <c r="D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D65" i="30" l="1"/>
  <c r="H65" i="30"/>
  <c r="J65" i="28"/>
  <c r="D65" i="28"/>
  <c r="K65" i="27"/>
  <c r="C65" i="27"/>
  <c r="C23" i="21"/>
  <c r="C24" i="21" s="1"/>
  <c r="D65" i="21"/>
  <c r="C65" i="21"/>
  <c r="U64" i="21"/>
  <c r="U66" i="21"/>
  <c r="U65" i="21"/>
  <c r="N66" i="21"/>
  <c r="N65" i="21"/>
  <c r="U66" i="30"/>
  <c r="U65" i="30"/>
  <c r="C64" i="30"/>
  <c r="C65" i="30" s="1"/>
  <c r="L64" i="30"/>
  <c r="L65" i="30" s="1"/>
  <c r="L64" i="28"/>
  <c r="L65" i="28" s="1"/>
  <c r="K64" i="21"/>
  <c r="K65" i="21" s="1"/>
  <c r="K64" i="28"/>
  <c r="K65" i="28" s="1"/>
  <c r="J64" i="30"/>
  <c r="J65" i="30" s="1"/>
  <c r="J64" i="27"/>
  <c r="J65" i="27" s="1"/>
  <c r="I64" i="28"/>
  <c r="I65" i="28" s="1"/>
  <c r="I64" i="30"/>
  <c r="I65" i="30" s="1"/>
  <c r="I64" i="27"/>
  <c r="I65" i="27" s="1"/>
  <c r="G64" i="30"/>
  <c r="G65" i="30" s="1"/>
  <c r="E64" i="27"/>
  <c r="E65" i="27" s="1"/>
  <c r="E64" i="30"/>
  <c r="E65" i="30" s="1"/>
  <c r="B64" i="30"/>
  <c r="B65" i="30" s="1"/>
  <c r="M64" i="28"/>
  <c r="M65" i="28" s="1"/>
  <c r="S64" i="28"/>
  <c r="S65" i="28" s="1"/>
  <c r="P64" i="27"/>
  <c r="P65" i="27" s="1"/>
  <c r="G64" i="21"/>
  <c r="S64" i="21"/>
  <c r="E64" i="21"/>
  <c r="F64" i="21"/>
  <c r="N64" i="28"/>
  <c r="J64" i="21"/>
  <c r="F64" i="28"/>
  <c r="S64" i="30"/>
  <c r="F64" i="30"/>
  <c r="H64" i="21"/>
  <c r="H65" i="21" s="1"/>
  <c r="H64" i="28"/>
  <c r="G64" i="28"/>
  <c r="E64" i="28"/>
  <c r="M64" i="27"/>
  <c r="H64" i="27"/>
  <c r="O66" i="21"/>
  <c r="M64" i="30"/>
  <c r="C64" i="28"/>
  <c r="L64" i="27"/>
  <c r="M64" i="21"/>
  <c r="M65" i="21" s="1"/>
  <c r="P64" i="28"/>
  <c r="I64" i="21"/>
  <c r="U64" i="28"/>
  <c r="U64" i="27"/>
  <c r="S66" i="27"/>
  <c r="D66" i="30"/>
  <c r="Q66" i="30"/>
  <c r="B64" i="28"/>
  <c r="B64" i="27"/>
  <c r="B64" i="21"/>
  <c r="O64" i="27"/>
  <c r="O64" i="28"/>
  <c r="N64" i="27"/>
  <c r="N64" i="30"/>
  <c r="J66" i="28"/>
  <c r="P64" i="30"/>
  <c r="Q66" i="21"/>
  <c r="P66" i="21"/>
  <c r="K66" i="27"/>
  <c r="R66" i="27"/>
  <c r="C66" i="27"/>
  <c r="G64" i="27"/>
  <c r="F64" i="27"/>
  <c r="T66" i="27"/>
  <c r="T66" i="21"/>
  <c r="H66" i="30"/>
  <c r="E66" i="30"/>
  <c r="L66" i="21"/>
  <c r="T66" i="30"/>
  <c r="R66" i="28"/>
  <c r="S64" i="1"/>
  <c r="D66" i="27"/>
  <c r="R66" i="30"/>
  <c r="R64" i="1"/>
  <c r="Q64" i="1"/>
  <c r="U64" i="1"/>
  <c r="P64" i="1"/>
  <c r="O64" i="30"/>
  <c r="K66" i="30"/>
  <c r="C66" i="30"/>
  <c r="T66" i="28"/>
  <c r="D66" i="28"/>
  <c r="Q66" i="28"/>
  <c r="S66" i="28"/>
  <c r="Q66" i="27"/>
  <c r="I66" i="27"/>
  <c r="P66" i="27"/>
  <c r="C66" i="21"/>
  <c r="D66" i="21"/>
  <c r="R66" i="21"/>
  <c r="N64" i="1"/>
  <c r="M64" i="1"/>
  <c r="T64" i="1"/>
  <c r="L64" i="1"/>
  <c r="L65" i="1" s="1"/>
  <c r="J64" i="1"/>
  <c r="J65" i="1" s="1"/>
  <c r="K64" i="1"/>
  <c r="K65" i="1" s="1"/>
  <c r="O64" i="1"/>
  <c r="C64" i="1"/>
  <c r="C65" i="1" s="1"/>
  <c r="I64" i="1"/>
  <c r="H64" i="1"/>
  <c r="G64" i="1"/>
  <c r="F64" i="1"/>
  <c r="F65" i="1" s="1"/>
  <c r="E64" i="1"/>
  <c r="E65" i="1" s="1"/>
  <c r="D64" i="1"/>
  <c r="D65" i="1" s="1"/>
  <c r="B64" i="1"/>
  <c r="D63" i="1"/>
  <c r="L63" i="1"/>
  <c r="F63" i="1"/>
  <c r="R63" i="1"/>
  <c r="J63" i="1"/>
  <c r="Q63" i="1"/>
  <c r="I63" i="1"/>
  <c r="C63" i="1"/>
  <c r="K63" i="1"/>
  <c r="P63" i="1"/>
  <c r="P65" i="1" s="1"/>
  <c r="H63" i="1"/>
  <c r="T63" i="1"/>
  <c r="S63" i="1"/>
  <c r="S65" i="1" s="1"/>
  <c r="O63" i="1"/>
  <c r="O65" i="1" s="1"/>
  <c r="G63" i="1"/>
  <c r="N63" i="1"/>
  <c r="E63" i="1"/>
  <c r="B63" i="1"/>
  <c r="U63" i="1"/>
  <c r="M63" i="1"/>
  <c r="I66" i="30" l="1"/>
  <c r="R65" i="1"/>
  <c r="U65" i="1"/>
  <c r="T66" i="1"/>
  <c r="T65" i="1"/>
  <c r="N65" i="1"/>
  <c r="Q66" i="1"/>
  <c r="Q65" i="1"/>
  <c r="O66" i="28"/>
  <c r="O65" i="28"/>
  <c r="S66" i="30"/>
  <c r="S65" i="30"/>
  <c r="O66" i="27"/>
  <c r="O65" i="27"/>
  <c r="J66" i="27"/>
  <c r="U66" i="28"/>
  <c r="U65" i="28"/>
  <c r="S66" i="21"/>
  <c r="S65" i="21"/>
  <c r="P66" i="28"/>
  <c r="P65" i="28"/>
  <c r="P66" i="30"/>
  <c r="P65" i="30"/>
  <c r="N66" i="28"/>
  <c r="N65" i="28"/>
  <c r="O66" i="30"/>
  <c r="O65" i="30"/>
  <c r="N66" i="30"/>
  <c r="N65" i="30"/>
  <c r="N66" i="27"/>
  <c r="N65" i="27"/>
  <c r="U66" i="27"/>
  <c r="U65" i="27"/>
  <c r="G65" i="1"/>
  <c r="H65" i="1"/>
  <c r="M65" i="1"/>
  <c r="I65" i="1"/>
  <c r="B65" i="1"/>
  <c r="L66" i="28"/>
  <c r="K66" i="21"/>
  <c r="J66" i="30"/>
  <c r="B66" i="30"/>
  <c r="L66" i="30"/>
  <c r="M66" i="21"/>
  <c r="M66" i="27"/>
  <c r="M65" i="27"/>
  <c r="M66" i="30"/>
  <c r="M65" i="30"/>
  <c r="M66" i="28"/>
  <c r="L66" i="27"/>
  <c r="L65" i="27"/>
  <c r="K66" i="28"/>
  <c r="J66" i="21"/>
  <c r="J65" i="21"/>
  <c r="I66" i="28"/>
  <c r="H66" i="21"/>
  <c r="H66" i="27"/>
  <c r="H65" i="27"/>
  <c r="H66" i="28"/>
  <c r="H65" i="28"/>
  <c r="G66" i="30"/>
  <c r="G66" i="21"/>
  <c r="G65" i="21"/>
  <c r="G66" i="27"/>
  <c r="G65" i="27"/>
  <c r="G66" i="28"/>
  <c r="G65" i="28"/>
  <c r="F66" i="21"/>
  <c r="F65" i="21"/>
  <c r="F66" i="30"/>
  <c r="F65" i="30"/>
  <c r="F66" i="27"/>
  <c r="F65" i="27"/>
  <c r="F66" i="28"/>
  <c r="F65" i="28"/>
  <c r="E66" i="27"/>
  <c r="E66" i="28"/>
  <c r="E65" i="28"/>
  <c r="E66" i="21"/>
  <c r="E65" i="21"/>
  <c r="C66" i="28"/>
  <c r="C65" i="28"/>
  <c r="B66" i="27"/>
  <c r="B65" i="27"/>
  <c r="B66" i="28"/>
  <c r="B65" i="28"/>
  <c r="B66" i="21"/>
  <c r="B65" i="21"/>
  <c r="I66" i="21"/>
  <c r="I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<sst xmlns="http://schemas.openxmlformats.org/spreadsheetml/2006/main" count="1161" uniqueCount="187">
  <si>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</si>
  <si>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</si>
  <si>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</si>
  <si>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</si>
  <si>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</si>
  <si>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</si>
  <si>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</si>
  <si>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</si>
  <si>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</si>
  <si>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</si>
  <si>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</si>
  <si>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</si>
  <si>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</si>
  <si>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</si>
  <si>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</si>
  <si>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</si>
  <si>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</si>
  <si>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</si>
  <si>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</si>
  <si>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</si>
  <si>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</si>
  <si>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</si>
  <si>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</si>
  <si>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</si>
  <si>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</si>
  <si>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</si>
  <si>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</si>
  <si>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</si>
  <si>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</si>
  <si>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</si>
  <si>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</si>
  <si>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</si>
  <si>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</si>
  <si>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</si>
  <si>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</si>
  <si>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</si>
  <si>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</si>
  <si>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</si>
  <si>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</si>
  <si>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</si>
  <si>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</si>
  <si>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</si>
  <si>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</si>
  <si>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</si>
  <si>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</si>
  <si>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</si>
  <si>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</si>
  <si>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</si>
  <si>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</si>
  <si>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</si>
  <si>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</si>
  <si>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</si>
  <si>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</si>
  <si>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</si>
  <si>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</si>
  <si>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</si>
  <si>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</si>
  <si>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</si>
  <si>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</si>
  <si>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</si>
  <si>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</si>
  <si>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</si>
  <si>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</si>
  <si>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</si>
  <si>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</si>
  <si>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</si>
  <si>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</si>
  <si>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</si>
  <si>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</si>
  <si>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</si>
  <si>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</si>
  <si>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</si>
  <si>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</si>
  <si>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</si>
  <si>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</si>
  <si>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</si>
  <si>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</si>
  <si>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</si>
  <si>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</si>
  <si>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</si>
  <si>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</si>
  <si>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</si>
  <si>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</si>
  <si>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</si>
  <si>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</si>
  <si>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</si>
  <si>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</si>
  <si>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</si>
  <si>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</si>
  <si>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</si>
  <si>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</si>
  <si>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</si>
  <si>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</si>
  <si>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</si>
  <si>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</si>
  <si>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</si>
  <si>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</si>
  <si>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</si>
  <si>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</si>
  <si>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</si>
  <si>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</si>
  <si>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</si>
  <si>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</si>
  <si>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</si>
  <si>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</si>
  <si>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</si>
  <si>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</si>
  <si>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</si>
  <si>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</si>
  <si>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</si>
  <si>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</si>
  <si>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</si>
  <si>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</si>
  <si>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</si>
  <si>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</si>
  <si>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</si>
  <si>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</si>
  <si>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</si>
  <si>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</si>
  <si>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</si>
  <si>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</si>
  <si>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</si>
  <si>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</si>
  <si>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</si>
  <si>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</si>
  <si>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</si>
  <si>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</si>
  <si>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</si>
  <si>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</si>
  <si>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</si>
  <si>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</si>
  <si>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</si>
  <si>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</si>
  <si>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</si>
  <si>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</si>
  <si>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</si>
  <si>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</si>
  <si>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</si>
  <si>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</si>
  <si>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</si>
  <si>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</si>
  <si>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</si>
  <si>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</si>
  <si>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</si>
  <si>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</si>
  <si>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</si>
  <si>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</si>
  <si>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</si>
  <si>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</si>
  <si>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</si>
  <si>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</si>
  <si>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</si>
  <si>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</si>
  <si>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</si>
  <si>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</si>
  <si>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</si>
  <si>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</si>
  <si>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</si>
  <si>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</si>
  <si>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</si>
  <si>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PAN-025174</t>
  </si>
  <si>
    <t>EPR/GP3792SK</t>
  </si>
  <si>
    <t xml:space="preserve">ByProduct Recovery LTD </t>
  </si>
  <si>
    <t>Pentwyn Farm, Brecon, Powys, LD3 0SW</t>
  </si>
  <si>
    <t xml:space="preserve">Megan Tucker </t>
  </si>
  <si>
    <t xml:space="preserve">19 09 02 </t>
  </si>
  <si>
    <t xml:space="preserve">Cefn Dryscoed </t>
  </si>
  <si>
    <t>17 Acres</t>
  </si>
  <si>
    <t>Top Pentwyn</t>
  </si>
  <si>
    <t xml:space="preserve">Bottom Pentwyn </t>
  </si>
  <si>
    <t xml:space="preserve">Lodge </t>
  </si>
  <si>
    <t>Pentwyn Corner</t>
  </si>
  <si>
    <t>16 Acres</t>
  </si>
  <si>
    <t>A</t>
  </si>
  <si>
    <t>B</t>
  </si>
  <si>
    <t>C</t>
  </si>
  <si>
    <t>Sheep Shed</t>
  </si>
  <si>
    <t>Long meadow</t>
  </si>
  <si>
    <t>Badger Burry</t>
  </si>
  <si>
    <t>Medium</t>
  </si>
  <si>
    <t xml:space="preserve">Medium </t>
  </si>
  <si>
    <t>Meidum</t>
  </si>
  <si>
    <t>19 09 02</t>
  </si>
  <si>
    <t>Elan Valley</t>
  </si>
  <si>
    <t>Llyswen</t>
  </si>
  <si>
    <t>Talybont</t>
  </si>
  <si>
    <t>Whitbourne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</si>
</sst>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2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09" dataDxfId="207" headerRowBorderDxfId="208" tableBorderDxfId="206" totalsRowBorderDxfId="205">
  <autoFilter ref="AI1:AN26" xr:uid="{F8B5EC87-3095-445A-A980-2CFAA0A7B9A2}"/>
  <sortState xmlns:xlrd2="http://schemas.microsoft.com/office/spreadsheetml/2017/richdata2" ref="AI2:AL25">
    <sortCondition ref="AL1:AL25"/>
  </sortState>
  <tableColumns count="6">
    <tableColumn id="1" xr3:uid="{360F44E4-7249-415F-8D5E-41D249F9A162}" name="Crop" dataDxfId="204"/>
    <tableColumn id="2" xr3:uid="{55E07717-B4EC-4E8A-B9A9-34F3CF85E32D}" name="P Offtake" dataDxfId="203"/>
    <tableColumn id="3" xr3:uid="{7B25FA52-8104-4FE3-AED4-B53CBFDF89B2}" name="K Offtake" dataDxfId="202"/>
    <tableColumn id="4" xr3:uid="{0DBAE461-2D09-43C8-9342-3980D552AE4D}" name="Order" dataDxfId="201"/>
    <tableColumn id="5" xr3:uid="{52CACE7B-0CBA-46FC-9F24-02CBD6100239}" name="Lime pH requirement" dataDxfId="200"/>
    <tableColumn id="6" xr3:uid="{F1432630-9B16-4266-8147-CE754A715307}" name="Column1" dataDxfId="19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98" dataDxfId="196" headerRowBorderDxfId="197" tableBorderDxfId="195" totalsRowBorderDxfId="194">
  <autoFilter ref="AI1:AN26" xr:uid="{F8B5EC87-3095-445A-A980-2CFAA0A7B9A2}"/>
  <sortState xmlns:xlrd2="http://schemas.microsoft.com/office/spreadsheetml/2017/richdata2" ref="AI2:AL25">
    <sortCondition ref="AL1:AL25"/>
  </sortState>
  <tableColumns count="6">
    <tableColumn id="1" xr3:uid="{7E96A84B-948F-445F-BD6E-30CC8E6E6DD1}" name="Crop" dataDxfId="193"/>
    <tableColumn id="2" xr3:uid="{12657DDB-F680-47DE-ABB1-8675D5F91E41}" name="P Offtake" dataDxfId="192"/>
    <tableColumn id="3" xr3:uid="{DEB99109-D325-4F98-8A71-E70C03433437}" name="K Offtake" dataDxfId="191"/>
    <tableColumn id="4" xr3:uid="{E96A561F-7E7F-4FB3-97AA-0B35D8C8E93A}" name="Order" dataDxfId="190"/>
    <tableColumn id="5" xr3:uid="{181DD475-0A71-4C52-AF1A-8BFF46F5A827}" name="Lime pH requirement" dataDxfId="189"/>
    <tableColumn id="6" xr3:uid="{AC3FA7E8-D76B-43A3-B715-04446DFF63C6}" name="Column1" dataDxfId="18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87" dataDxfId="185" headerRowBorderDxfId="186" tableBorderDxfId="184" totalsRowBorderDxfId="183">
  <autoFilter ref="AI1:AN26" xr:uid="{F8B5EC87-3095-445A-A980-2CFAA0A7B9A2}"/>
  <sortState xmlns:xlrd2="http://schemas.microsoft.com/office/spreadsheetml/2017/richdata2" ref="AI2:AL25">
    <sortCondition ref="AL1:AL25"/>
  </sortState>
  <tableColumns count="6">
    <tableColumn id="1" xr3:uid="{06008BA1-A1E9-4286-B67A-352533C06A26}" name="Crop" dataDxfId="182"/>
    <tableColumn id="2" xr3:uid="{2AEB5EEB-C9D1-41DC-913E-953A33D1A4AF}" name="P Offtake" dataDxfId="181"/>
    <tableColumn id="3" xr3:uid="{8FA16A0B-1017-4CEE-862E-0A8CBD8EB3D3}" name="K Offtake" dataDxfId="180"/>
    <tableColumn id="4" xr3:uid="{E7A3B8CD-4036-47F4-B818-C3F22E80C749}" name="Order" dataDxfId="179"/>
    <tableColumn id="5" xr3:uid="{8F3EBD84-7904-4559-9B5C-63088B792C98}" name="Lime pH requirement" dataDxfId="178"/>
    <tableColumn id="6" xr3:uid="{A21DD95A-C955-4510-9114-E3F1CB645370}" name="Column1" dataDxfId="1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76" dataDxfId="174" headerRowBorderDxfId="175" tableBorderDxfId="173" totalsRowBorderDxfId="172">
  <autoFilter ref="AI1:AN26" xr:uid="{F8B5EC87-3095-445A-A980-2CFAA0A7B9A2}"/>
  <sortState xmlns:xlrd2="http://schemas.microsoft.com/office/spreadsheetml/2017/richdata2" ref="AI2:AL25">
    <sortCondition ref="AL1:AL25"/>
  </sortState>
  <tableColumns count="6">
    <tableColumn id="1" xr3:uid="{11579FCC-3D9F-49AD-888D-5D79B801F6AE}" name="Crop" dataDxfId="171"/>
    <tableColumn id="2" xr3:uid="{05C08116-56D5-4CC6-A649-B06AF891B931}" name="P Offtake" dataDxfId="170"/>
    <tableColumn id="3" xr3:uid="{59CDE959-192B-4757-9203-A0F691CF0F96}" name="K Offtake" dataDxfId="169"/>
    <tableColumn id="4" xr3:uid="{9FB8E4F7-B91F-4CE0-AF39-D4895D0ECF2F}" name="Order" dataDxfId="168"/>
    <tableColumn id="5" xr3:uid="{688FF2A4-D7C6-4425-A915-A9ADD700A9EE}" name="Lime pH requirement" dataDxfId="167"/>
    <tableColumn id="6" xr3:uid="{05FC5CFF-3D81-4B5F-87C7-2364076F2714}" name="Column1" dataDxfId="16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65" dataDxfId="163" headerRowBorderDxfId="164" tableBorderDxfId="162" totalsRowBorderDxfId="161">
  <autoFilter ref="AI1:AN26" xr:uid="{F8B5EC87-3095-445A-A980-2CFAA0A7B9A2}"/>
  <sortState xmlns:xlrd2="http://schemas.microsoft.com/office/spreadsheetml/2017/richdata2" ref="AI2:AL25">
    <sortCondition ref="AL1:AL25"/>
  </sortState>
  <tableColumns count="6">
    <tableColumn id="1" xr3:uid="{973D7FFB-D248-4199-9B2E-B3C6CC09D382}" name="Crop" dataDxfId="160"/>
    <tableColumn id="2" xr3:uid="{7F2A3986-EC86-4CF9-BD10-791170BA6682}" name="P Offtake" dataDxfId="159"/>
    <tableColumn id="3" xr3:uid="{D6129C35-9DC6-42E5-AE3F-EA3A083168E6}" name="K Offtake" dataDxfId="158"/>
    <tableColumn id="4" xr3:uid="{C1CC42B5-564A-4DE7-B817-B7D686FE9A11}" name="Order" dataDxfId="157"/>
    <tableColumn id="5" xr3:uid="{620F3ABD-564C-411A-8DEA-CE1A34F9FC36}" name="Lime pH requirement" dataDxfId="156"/>
    <tableColumn id="6" xr3:uid="{76C9BC4F-4FF3-4AFB-8E7B-16DC0CC3E97C}" name="Column1" dataDxfId="15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4" zoomScale="90" zoomScaleNormal="90" workbookViewId="0">
      <selection activeCell="F32" sqref="F3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49.24</v>
      </c>
      <c r="G1" s="123" t="s">
        <v>43</v>
      </c>
      <c r="H1" s="124"/>
      <c r="I1" s="96">
        <v>6.3</v>
      </c>
      <c r="J1" s="127" t="s">
        <v>153</v>
      </c>
      <c r="K1" s="127"/>
      <c r="L1" s="96">
        <v>364</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c r="J2" s="127" t="s">
        <v>158</v>
      </c>
      <c r="K2" s="127"/>
      <c r="L2" s="96">
        <v>0.96099999999999997</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3.787721123829344</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167</v>
      </c>
      <c r="D8" s="15" t="s">
        <v>168</v>
      </c>
      <c r="E8" s="15" t="s">
        <v>169</v>
      </c>
      <c r="F8" s="15" t="s">
        <v>170</v>
      </c>
      <c r="G8" s="15" t="s">
        <v>171</v>
      </c>
      <c r="H8" s="15" t="s">
        <v>172</v>
      </c>
      <c r="I8" s="15" t="s">
        <v>173</v>
      </c>
      <c r="J8" s="15" t="s">
        <v>174</v>
      </c>
      <c r="K8" s="15" t="s">
        <v>175</v>
      </c>
      <c r="L8" s="15" t="s">
        <v>176</v>
      </c>
      <c r="M8" s="15" t="s">
        <v>178</v>
      </c>
      <c r="N8" s="15" t="s">
        <v>177</v>
      </c>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179</v>
      </c>
      <c r="D9" s="15" t="s">
        <v>179</v>
      </c>
      <c r="E9" s="15" t="s">
        <v>180</v>
      </c>
      <c r="F9" s="15"/>
      <c r="G9" s="15" t="s">
        <v>179</v>
      </c>
      <c r="H9" s="15" t="s">
        <v>179</v>
      </c>
      <c r="I9" s="15" t="s">
        <v>179</v>
      </c>
      <c r="J9" s="15" t="s">
        <v>179</v>
      </c>
      <c r="K9" s="15" t="s">
        <v>179</v>
      </c>
      <c r="L9" s="15" t="s">
        <v>181</v>
      </c>
      <c r="M9" s="15">
        <v>1</v>
      </c>
      <c r="N9" s="15" t="s">
        <v>180</v>
      </c>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6.5</v>
      </c>
      <c r="D10" s="15">
        <v>6.6</v>
      </c>
      <c r="E10" s="15">
        <v>6.9</v>
      </c>
      <c r="F10" s="15">
        <v>5.6</v>
      </c>
      <c r="G10" s="15">
        <v>6.4</v>
      </c>
      <c r="H10" s="15">
        <v>6.5</v>
      </c>
      <c r="I10" s="15">
        <v>6.1</v>
      </c>
      <c r="J10" s="15">
        <v>6.3</v>
      </c>
      <c r="K10" s="15">
        <v>6.2</v>
      </c>
      <c r="L10" s="15">
        <v>6.1</v>
      </c>
      <c r="M10" s="15">
        <v>6.3</v>
      </c>
      <c r="N10" s="15">
        <v>6.2</v>
      </c>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2</v>
      </c>
      <c r="E11" s="15">
        <v>2</v>
      </c>
      <c r="F11" s="15">
        <v>3</v>
      </c>
      <c r="G11" s="15">
        <v>3</v>
      </c>
      <c r="H11" s="15">
        <v>3</v>
      </c>
      <c r="I11" s="15">
        <v>3</v>
      </c>
      <c r="J11" s="15">
        <v>3</v>
      </c>
      <c r="K11" s="15">
        <v>3</v>
      </c>
      <c r="L11" s="15">
        <v>2</v>
      </c>
      <c r="M11" s="15">
        <v>3</v>
      </c>
      <c r="N11" s="15">
        <v>2</v>
      </c>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2</v>
      </c>
      <c r="E12" s="15">
        <v>2</v>
      </c>
      <c r="F12" s="15">
        <v>2</v>
      </c>
      <c r="G12" s="15">
        <v>3</v>
      </c>
      <c r="H12" s="15">
        <v>2</v>
      </c>
      <c r="I12" s="15">
        <v>2</v>
      </c>
      <c r="J12" s="15">
        <v>2</v>
      </c>
      <c r="K12" s="15">
        <v>2</v>
      </c>
      <c r="L12" s="15">
        <v>2</v>
      </c>
      <c r="M12" s="15">
        <v>4</v>
      </c>
      <c r="N12" s="15">
        <v>2</v>
      </c>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3</v>
      </c>
      <c r="H13" s="15">
        <v>2</v>
      </c>
      <c r="I13" s="15">
        <v>3</v>
      </c>
      <c r="J13" s="15">
        <v>3</v>
      </c>
      <c r="K13" s="15">
        <v>3</v>
      </c>
      <c r="L13" s="15">
        <v>2</v>
      </c>
      <c r="M13" s="15">
        <v>2</v>
      </c>
      <c r="N13" s="15">
        <v>2</v>
      </c>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114</v>
      </c>
      <c r="D14" s="100" t="s">
        <v>114</v>
      </c>
      <c r="E14" s="100" t="s">
        <v>114</v>
      </c>
      <c r="F14" s="100" t="s">
        <v>114</v>
      </c>
      <c r="G14" s="100" t="s">
        <v>114</v>
      </c>
      <c r="H14" s="100" t="s">
        <v>114</v>
      </c>
      <c r="I14" s="100" t="s">
        <v>114</v>
      </c>
      <c r="J14" s="100" t="s">
        <v>114</v>
      </c>
      <c r="K14" s="100" t="s">
        <v>114</v>
      </c>
      <c r="L14" s="100" t="s">
        <v>114</v>
      </c>
      <c r="M14" s="100" t="s">
        <v>68</v>
      </c>
      <c r="N14" s="100" t="s">
        <v>114</v>
      </c>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v>38</v>
      </c>
      <c r="H15" s="15">
        <v>38</v>
      </c>
      <c r="I15" s="15">
        <v>38</v>
      </c>
      <c r="J15" s="15">
        <v>38</v>
      </c>
      <c r="K15" s="15">
        <v>38</v>
      </c>
      <c r="L15" s="15">
        <v>38</v>
      </c>
      <c r="M15" s="15">
        <v>5.5</v>
      </c>
      <c r="N15" s="15">
        <v>38</v>
      </c>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t="s">
        <v>72</v>
      </c>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f t="shared" si="0"/>
        <v>46.75</v>
      </c>
      <c r="N17" s="28">
        <f t="shared" si="0"/>
        <v>79.8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4.2818789999999991</v>
      </c>
      <c r="D18" s="16">
        <f>$D32</f>
        <v>4.2818789999999991</v>
      </c>
      <c r="E18" s="16">
        <f>$D33</f>
        <v>4.2818789999999991</v>
      </c>
      <c r="F18" s="16">
        <f>$D34</f>
        <v>0</v>
      </c>
      <c r="G18" s="16">
        <f>$D35</f>
        <v>4.2818789999999991</v>
      </c>
      <c r="H18" s="16">
        <f>$D36</f>
        <v>4.2818789999999991</v>
      </c>
      <c r="I18" s="16">
        <f>$D37</f>
        <v>4.2818789999999991</v>
      </c>
      <c r="J18" s="16">
        <f>$D38</f>
        <v>4.2818789999999991</v>
      </c>
      <c r="K18" s="16">
        <f>$D39</f>
        <v>4.2818789999999991</v>
      </c>
      <c r="L18" s="16">
        <f>$D40</f>
        <v>4.2818789999999991</v>
      </c>
      <c r="M18" s="16">
        <f>$D41</f>
        <v>4.2818789999999991</v>
      </c>
      <c r="N18" s="16">
        <f>$D42</f>
        <v>4.2818789999999991</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-75.518120999999994</v>
      </c>
      <c r="D19" s="16">
        <f t="shared" ref="D19:V19" si="1">D18-D17</f>
        <v>-75.518120999999994</v>
      </c>
      <c r="E19" s="16">
        <f t="shared" si="1"/>
        <v>-75.518120999999994</v>
      </c>
      <c r="F19" s="16">
        <f t="shared" si="1"/>
        <v>-79.8</v>
      </c>
      <c r="G19" s="16">
        <f t="shared" si="1"/>
        <v>-75.518120999999994</v>
      </c>
      <c r="H19" s="16">
        <f t="shared" si="1"/>
        <v>-75.518120999999994</v>
      </c>
      <c r="I19" s="16">
        <f t="shared" si="1"/>
        <v>-75.518120999999994</v>
      </c>
      <c r="J19" s="16">
        <f t="shared" si="1"/>
        <v>-75.518120999999994</v>
      </c>
      <c r="K19" s="16">
        <f t="shared" si="1"/>
        <v>-75.518120999999994</v>
      </c>
      <c r="L19" s="16">
        <f t="shared" si="1"/>
        <v>-75.518120999999994</v>
      </c>
      <c r="M19" s="16">
        <f t="shared" si="1"/>
        <v>-42.468121000000004</v>
      </c>
      <c r="N19" s="16">
        <f t="shared" si="1"/>
        <v>-75.518120999999994</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f t="shared" si="2"/>
        <v>66</v>
      </c>
      <c r="N21" s="28">
        <f t="shared" si="2"/>
        <v>273.60000000000002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0.44030699999999995</v>
      </c>
      <c r="D22" s="16">
        <f>$E32</f>
        <v>0.44030699999999995</v>
      </c>
      <c r="E22" s="16">
        <f>$E33</f>
        <v>0.44030699999999995</v>
      </c>
      <c r="F22" s="16">
        <f>$E34</f>
        <v>0</v>
      </c>
      <c r="G22" s="16">
        <f>$E35</f>
        <v>0.44030699999999995</v>
      </c>
      <c r="H22" s="16">
        <f>$E36</f>
        <v>0.44030699999999995</v>
      </c>
      <c r="I22" s="16">
        <f>$E37</f>
        <v>0.44030699999999995</v>
      </c>
      <c r="J22" s="16">
        <f>$E38</f>
        <v>0.44030699999999995</v>
      </c>
      <c r="K22" s="16">
        <f>$E39</f>
        <v>0.44030699999999995</v>
      </c>
      <c r="L22" s="16">
        <f>$E40</f>
        <v>0.44030699999999995</v>
      </c>
      <c r="M22" s="16">
        <f>$E41</f>
        <v>0.44030699999999995</v>
      </c>
      <c r="N22" s="16">
        <f>$E42</f>
        <v>0.44030699999999995</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-273.159693</v>
      </c>
      <c r="D23" s="16">
        <f t="shared" ref="D23:V23" si="3">D22-D21</f>
        <v>-273.159693</v>
      </c>
      <c r="E23" s="16">
        <f t="shared" si="3"/>
        <v>-273.159693</v>
      </c>
      <c r="F23" s="16">
        <f t="shared" si="3"/>
        <v>-273.60000000000002</v>
      </c>
      <c r="G23" s="16">
        <f t="shared" si="3"/>
        <v>-273.159693</v>
      </c>
      <c r="H23" s="16">
        <f t="shared" si="3"/>
        <v>-273.159693</v>
      </c>
      <c r="I23" s="16">
        <f t="shared" si="3"/>
        <v>-273.159693</v>
      </c>
      <c r="J23" s="16">
        <f t="shared" si="3"/>
        <v>-273.159693</v>
      </c>
      <c r="K23" s="16">
        <f t="shared" si="3"/>
        <v>-273.159693</v>
      </c>
      <c r="L23" s="16">
        <f t="shared" si="3"/>
        <v>-273.159693</v>
      </c>
      <c r="M23" s="16">
        <f t="shared" si="3"/>
        <v>-65.559692999999996</v>
      </c>
      <c r="N23" s="16">
        <f t="shared" si="3"/>
        <v>-273.159693</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1.68</v>
      </c>
      <c r="C28" s="15">
        <v>0.96099999999999997</v>
      </c>
      <c r="D28" s="15">
        <v>4.4499999999999998E-2</v>
      </c>
      <c r="E28" s="15">
        <v>8.6999999999999994E-3</v>
      </c>
      <c r="F28" s="15">
        <v>220</v>
      </c>
      <c r="G28" s="15">
        <v>45.2</v>
      </c>
      <c r="H28" s="15">
        <v>106</v>
      </c>
      <c r="I28" s="15">
        <v>7.67</v>
      </c>
      <c r="J28" s="15">
        <v>0.67</v>
      </c>
      <c r="K28" s="23">
        <v>1.18</v>
      </c>
      <c r="L28" s="15">
        <v>5.07</v>
      </c>
      <c r="M28" s="15">
        <v>4.01</v>
      </c>
      <c r="N28" s="15">
        <v>183000</v>
      </c>
      <c r="O28" s="15">
        <v>5020</v>
      </c>
      <c r="P28" s="15"/>
      <c r="Q28" s="15">
        <v>8990</v>
      </c>
      <c r="R28" s="15"/>
      <c r="S28" s="15">
        <v>40.4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17 Acres</v>
      </c>
      <c r="B31" s="15">
        <v>250</v>
      </c>
      <c r="C31" s="77">
        <f>IF(C$27="%w/w SAR",((C$28*10)*$B31),IF(C$27="%w/w DM",(((C$28*10)*($B$28/100))*$B31),IF(C$27="kg/t SAR",(C$28*$B31),IF(C$27="kg/t DM",((C$28*($B$28/100))*$B31),IF(C$27="mg/kg SAR",((C$28*0.001)*$B31),IF(C$27="mg/kg DM",(((C$28*0.001)*($B$28/100))*$B31),0))))))</f>
        <v>40.361999999999995</v>
      </c>
      <c r="D31" s="77">
        <f>(IF(D$27="%w/w SAR",((D$28*10)*$B31),IF(D$27="%w/w DM",(((D$28*10)*($B$28/100))*$B31),IF(D$27="kg/t SAR",(D$28*$B31),IF(D$27="kg/t DM",((D$28*($B$28/100))*$B31),IF(D$27="mg/kg SAR",((D$28*0.001)*$B31),IF(D$27="mg/kg DM",(((D$28*0.001)*($B$28/100))*$B31),"0")))))))*2.291</f>
        <v>4.2818789999999991</v>
      </c>
      <c r="E31" s="77">
        <f>(IF(E$27="%w/w SAR",((E$28*10)*$B31),IF(E$27="%w/w DM",(((E$28*10)*($B$28/100))*$B31),IF(E$27="kg/t SAR",(E$28*$B31),IF(E$27="kg/t DM",((E$28*($B$28/100))*$B31),IF(E$27="mg/kg SAR",((E$28*0.001)*$B31),IF(E$27="mg/kg DM",(((E$28*0.001)*($B$28/100))*$B31),"0")))))))*1.205</f>
        <v>0.44030699999999995</v>
      </c>
      <c r="F31" s="77">
        <f>(IF(F$27="%w/w SAR",((F$28*10)*$B31),IF(F$27="%w/w DM",(((F$28*10)*($B$28/100))*$B31),IF(F$27="kg/t SAR",(F$28*$B31),IF(F$27="kg/t DM",((F$28*($B$28/100))*$B31),IF(F$27="mg/kg SAR",((F$28*0.001)*$B31),IF(F$27="mg/kg DM",(((F$28*0.001)*($B$28/100))*$B31),"0")))))))*1.658</f>
        <v>1.5319919999999998</v>
      </c>
      <c r="G31" s="77">
        <f t="shared" ref="G31:P31" si="5">IF(G$27="%w/w SAR",((G$28*10)*$B31),IF(G$27="%w/w DM",(((G$28*10)*($B$28/100))*$B31),IF(G$27="kg/t SAR",(G$28*$B31),IF(G$27="kg/t DM",((G$28*($B$28/100))*$B31),IF(G$27="mg/kg SAR",((G$28*0.001)*$B31),IF(G$27="mg/kg DM",(((G$28*0.001)*($B$28/100))*$B31),0))))))</f>
        <v>0.18984000000000001</v>
      </c>
      <c r="H31" s="77">
        <f t="shared" si="5"/>
        <v>0.44519999999999998</v>
      </c>
      <c r="I31" s="77">
        <f t="shared" si="5"/>
        <v>3.2214E-2</v>
      </c>
      <c r="J31" s="77">
        <f t="shared" si="5"/>
        <v>2.8140000000000001E-3</v>
      </c>
      <c r="K31" s="77">
        <f t="shared" si="5"/>
        <v>4.9559999999999995E-3</v>
      </c>
      <c r="L31" s="77">
        <f t="shared" si="5"/>
        <v>2.1294000000000004E-2</v>
      </c>
      <c r="M31" s="77">
        <f t="shared" si="5"/>
        <v>1.6841999999999999E-2</v>
      </c>
      <c r="N31" s="77">
        <f t="shared" si="5"/>
        <v>768.59999999999991</v>
      </c>
      <c r="O31" s="77">
        <f t="shared" si="5"/>
        <v>21.084000000000003</v>
      </c>
      <c r="P31" s="77">
        <f t="shared" si="5"/>
        <v>0</v>
      </c>
      <c r="Q31" s="77">
        <f>(IF(Q$27="%w/w SAR",((Q$28*10)*$B31),IF(Q$27="%w/w DM",(((Q$28*10)*($B$28/100))*$B31),IF(Q$27="kg/t SAR",(Q$28*$B31),IF(Q$27="kg/t DM",((Q$28*($B$28/100))*$B31),IF(Q$27="mg/kg SAR",((Q$28*0.001)*$B31),IF(Q$27="mg/kg DM",(((Q$28*0.001)*($B$28/100))*$B31),0)))))))*2.5</f>
        <v>94.39500000000001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0.16968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Top Pentwyn</v>
      </c>
      <c r="B32" s="15">
        <v>250</v>
      </c>
      <c r="C32" s="77">
        <f>IF(C$27="%w/w SAR",((C$28*10)*$B32),IF(C$27="%w/w DM",(((C$28*10)*($B$28/100))*$B32),IF(C$27="kg/t SAR",(C$28*$B32),IF(C$27="kg/t DM",((C$28*($B$28/100))*$B32),IF(C$27="mg/kg SAR",((C$28*0.001)*$B32),IF(C$27="mg/kg DM",(((C$28*0.001)*($B$28/100))*$B32),0))))))</f>
        <v>40.361999999999995</v>
      </c>
      <c r="D32" s="77">
        <f t="shared" ref="D32:D50" si="6">(IF(D$27="%w/w SAR",((D$28*10)*$B32),IF(D$27="%w/w DM",(((D$28*10)*($B$28/100))*$B32),IF(D$27="kg/t SAR",(D$28*$B32),IF(D$27="kg/t DM",((D$28*($B$28/100))*$B32),IF(D$27="mg/kg SAR",((D$28*0.001)*$B32),IF(D$27="mg/kg DM",(((D$28*0.001)*($B$28/100))*$B32),"0")))))))*2.291</f>
        <v>4.2818789999999991</v>
      </c>
      <c r="E32" s="77">
        <f t="shared" ref="E32:E50" si="7">(IF(E$27="%w/w SAR",((E$28*10)*$B32),IF(E$27="%w/w DM",(((E$28*10)*($B$28/100))*$B32),IF(E$27="kg/t SAR",(E$28*$B32),IF(E$27="kg/t DM",((E$28*($B$28/100))*$B32),IF(E$27="mg/kg SAR",((E$28*0.001)*$B32),IF(E$27="mg/kg DM",(((E$28*0.001)*($B$28/100))*$B32),"0")))))))*1.205</f>
        <v>0.44030699999999995</v>
      </c>
      <c r="F32" s="77">
        <f t="shared" ref="F32:F50" si="8">(IF(F$27="%w/w SAR",((F$28*10)*$B32),IF(F$27="%w/w DM",(((F$28*10)*($B$28/100))*$B32),IF(F$27="kg/t SAR",(F$28*$B32),IF(F$27="kg/t DM",((F$28*($B$28/100))*$B32),IF(F$27="mg/kg SAR",((F$28*0.001)*$B32),IF(F$27="mg/kg DM",(((F$28*0.001)*($B$28/100))*$B32),"0")))))))*1.658</f>
        <v>1.5319919999999998</v>
      </c>
      <c r="G32" s="77">
        <f t="shared" ref="G32:P50" si="9">IF(G$27="%w/w SAR",((G$28*10)*$B32),IF(G$27="%w/w DM",(((G$28*10)*($B$28/100))*$B32),IF(G$27="kg/t SAR",(G$28*$B32),IF(G$27="kg/t DM",((G$28*($B$28/100))*$B32),IF(G$27="mg/kg SAR",((G$28*0.001)*$B32),IF(G$27="mg/kg DM",(((G$28*0.001)*($B$28/100))*$B32),0))))))</f>
        <v>0.18984000000000001</v>
      </c>
      <c r="H32" s="77">
        <f t="shared" si="9"/>
        <v>0.44519999999999998</v>
      </c>
      <c r="I32" s="77">
        <f t="shared" si="9"/>
        <v>3.2214E-2</v>
      </c>
      <c r="J32" s="77">
        <f t="shared" si="9"/>
        <v>2.8140000000000001E-3</v>
      </c>
      <c r="K32" s="77">
        <f t="shared" si="9"/>
        <v>4.9559999999999995E-3</v>
      </c>
      <c r="L32" s="77">
        <f t="shared" si="9"/>
        <v>2.1294000000000004E-2</v>
      </c>
      <c r="M32" s="77">
        <f t="shared" si="9"/>
        <v>1.6841999999999999E-2</v>
      </c>
      <c r="N32" s="77">
        <f t="shared" si="9"/>
        <v>768.59999999999991</v>
      </c>
      <c r="O32" s="77">
        <f t="shared" si="9"/>
        <v>21.084000000000003</v>
      </c>
      <c r="P32" s="77">
        <f t="shared" si="9"/>
        <v>0</v>
      </c>
      <c r="Q32" s="77">
        <f t="shared" ref="Q32:Q50" si="10">(IF(Q$27="%w/w SAR",((Q$28*10)*$B32),IF(Q$27="%w/w DM",(((Q$28*10)*($B$28/100))*$B32),IF(Q$27="kg/t SAR",(Q$28*$B32),IF(Q$27="kg/t DM",((Q$28*($B$28/100))*$B32),IF(Q$27="mg/kg SAR",((Q$28*0.001)*$B32),IF(Q$27="mg/kg DM",(((Q$28*0.001)*($B$28/100))*$B32),0)))))))*2.5</f>
        <v>94.39500000000001</v>
      </c>
      <c r="R32" s="77">
        <f t="shared" ref="R32:U50" si="11">IF(R$27="%w/w SAR",((R$28*10)*$B32),IF(R$27="%w/w DM",(((R$28*10)*($B$28/100))*$B32),IF(R$27="kg/t SAR",(R$28*$B32),IF(R$27="kg/t DM",((R$28*($B$28/100))*$B32),IF(R$27="mg/kg SAR",((R$28*0.001)*$B32),IF(R$27="mg/kg DM",(((R$28*0.001)*($B$28/100))*$B32),0))))))</f>
        <v>0</v>
      </c>
      <c r="S32" s="77">
        <f t="shared" si="11"/>
        <v>0.16968</v>
      </c>
      <c r="T32" s="77">
        <f t="shared" si="11"/>
        <v>0</v>
      </c>
      <c r="U32" s="77">
        <f t="shared" si="11"/>
        <v>0</v>
      </c>
      <c r="AB32" s="59"/>
      <c r="AC32" s="59"/>
      <c r="AD32" s="59"/>
      <c r="AE32" s="59"/>
      <c r="AF32" s="59"/>
      <c r="AG32" s="59"/>
      <c r="AH32" s="59"/>
      <c r="AI32" s="59"/>
    </row>
    <row r="33" spans="1:35" s="72" customFormat="1" ht="13" x14ac:dyDescent="0.35">
      <c r="A33" s="13" t="str">
        <f>E8</f>
        <v xml:space="preserve">Bottom Pentwyn </v>
      </c>
      <c r="B33" s="15">
        <v>250</v>
      </c>
      <c r="C33" s="77">
        <f>IF(C$27="%w/w SAR",((C$28*10)*$B33),IF(C$27="%w/w DM",(((C$28*10)*($B$28/100))*$B33),IF(C$27="kg/t SAR",(C$28*$B33),IF(C$27="kg/t DM",((C$28*($B$28/100))*$B33),IF(C$27="mg/kg SAR",((C$28*0.001)*$B33),IF(C$27="mg/kg DM",(((C$28*0.001)*($B$28/100))*$B33),0))))))</f>
        <v>40.361999999999995</v>
      </c>
      <c r="D33" s="77">
        <f t="shared" si="6"/>
        <v>4.2818789999999991</v>
      </c>
      <c r="E33" s="77">
        <f t="shared" si="7"/>
        <v>0.44030699999999995</v>
      </c>
      <c r="F33" s="77">
        <f t="shared" si="8"/>
        <v>1.5319919999999998</v>
      </c>
      <c r="G33" s="77">
        <f t="shared" si="9"/>
        <v>0.18984000000000001</v>
      </c>
      <c r="H33" s="77">
        <f t="shared" si="9"/>
        <v>0.44519999999999998</v>
      </c>
      <c r="I33" s="77">
        <f t="shared" si="9"/>
        <v>3.2214E-2</v>
      </c>
      <c r="J33" s="77">
        <f t="shared" si="9"/>
        <v>2.8140000000000001E-3</v>
      </c>
      <c r="K33" s="77">
        <f t="shared" si="9"/>
        <v>4.9559999999999995E-3</v>
      </c>
      <c r="L33" s="77">
        <f t="shared" si="9"/>
        <v>2.1294000000000004E-2</v>
      </c>
      <c r="M33" s="77">
        <f t="shared" si="9"/>
        <v>1.6841999999999999E-2</v>
      </c>
      <c r="N33" s="77">
        <f t="shared" si="9"/>
        <v>768.59999999999991</v>
      </c>
      <c r="O33" s="77">
        <f t="shared" si="9"/>
        <v>21.084000000000003</v>
      </c>
      <c r="P33" s="77">
        <f t="shared" si="9"/>
        <v>0</v>
      </c>
      <c r="Q33" s="77">
        <f t="shared" si="10"/>
        <v>94.39500000000001</v>
      </c>
      <c r="R33" s="77">
        <f t="shared" si="11"/>
        <v>0</v>
      </c>
      <c r="S33" s="77">
        <f t="shared" si="11"/>
        <v>0.16968</v>
      </c>
      <c r="T33" s="77">
        <f t="shared" si="11"/>
        <v>0</v>
      </c>
      <c r="U33" s="77">
        <f t="shared" si="11"/>
        <v>0</v>
      </c>
      <c r="AB33" s="59"/>
      <c r="AC33" s="59"/>
      <c r="AD33" s="59"/>
      <c r="AE33" s="59"/>
      <c r="AF33" s="59"/>
      <c r="AG33" s="59"/>
      <c r="AH33" s="59"/>
      <c r="AI33" s="59"/>
    </row>
    <row r="34" spans="1:35" s="72" customFormat="1" ht="13" x14ac:dyDescent="0.35">
      <c r="A34" s="13" t="str">
        <f>F8</f>
        <v xml:space="preserve">Lodge </v>
      </c>
      <c r="B34" s="15"/>
      <c r="C34" s="77">
        <f>IF(C$27="%w/w SAR",((C$28*10)*$B34),IF(C$27="%w/w DM",(((C$28*10)*($B$28/100))*$B34),IF(C$27="kg/t SAR",(C$28*$B34),IF(C$27="kg/t DM",((C$28*($B$28/100))*$B34),IF(C$27="mg/kg SAR",((C$28*0.001)*$B34),IF(C$27="mg/kg DM",(((C$28*0.001)*($B$28/100))*$B34),0))))))</f>
        <v>0</v>
      </c>
      <c r="D34" s="77">
        <f t="shared" si="6"/>
        <v>0</v>
      </c>
      <c r="E34" s="77">
        <f t="shared" si="7"/>
        <v>0</v>
      </c>
      <c r="F34" s="77">
        <f t="shared" si="8"/>
        <v>0</v>
      </c>
      <c r="G34" s="77">
        <f t="shared" si="9"/>
        <v>0</v>
      </c>
      <c r="H34" s="77">
        <f t="shared" si="9"/>
        <v>0</v>
      </c>
      <c r="I34" s="77">
        <f t="shared" si="9"/>
        <v>0</v>
      </c>
      <c r="J34" s="77">
        <f t="shared" si="9"/>
        <v>0</v>
      </c>
      <c r="K34" s="77">
        <f t="shared" si="9"/>
        <v>0</v>
      </c>
      <c r="L34" s="77">
        <f t="shared" si="9"/>
        <v>0</v>
      </c>
      <c r="M34" s="77">
        <f t="shared" si="9"/>
        <v>0</v>
      </c>
      <c r="N34" s="77">
        <f t="shared" si="9"/>
        <v>0</v>
      </c>
      <c r="O34" s="77">
        <f t="shared" si="9"/>
        <v>0</v>
      </c>
      <c r="P34" s="77">
        <f t="shared" si="9"/>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Pentwyn Corner</v>
      </c>
      <c r="B35" s="15">
        <v>250</v>
      </c>
      <c r="C35" s="77">
        <f>IF(C$27="%w/w SAR",((C$28*10)*$B35),IF(C$27="%w/w DM",(((C$28*10)*($B$28/100))*$B35),IF(C$27="kg/t SAR",(C$28*$B35),IF(C$27="kg/t DM",((C$28*($B$28/100))*$B35),IF(C$27="mg/kg SAR",((C$28*0.001)*$B35),IF(C$27="mg/kg DM",(((C$28*0.001)*($B$28/100))*$B35),0))))))</f>
        <v>40.361999999999995</v>
      </c>
      <c r="D35" s="77">
        <f t="shared" si="6"/>
        <v>4.2818789999999991</v>
      </c>
      <c r="E35" s="77">
        <f t="shared" si="7"/>
        <v>0.44030699999999995</v>
      </c>
      <c r="F35" s="77">
        <f t="shared" si="8"/>
        <v>1.5319919999999998</v>
      </c>
      <c r="G35" s="77">
        <f t="shared" si="9"/>
        <v>0.18984000000000001</v>
      </c>
      <c r="H35" s="77">
        <f t="shared" si="9"/>
        <v>0.44519999999999998</v>
      </c>
      <c r="I35" s="77">
        <f t="shared" si="9"/>
        <v>3.2214E-2</v>
      </c>
      <c r="J35" s="77">
        <f t="shared" si="9"/>
        <v>2.8140000000000001E-3</v>
      </c>
      <c r="K35" s="77">
        <f t="shared" si="9"/>
        <v>4.9559999999999995E-3</v>
      </c>
      <c r="L35" s="77">
        <f t="shared" si="9"/>
        <v>2.1294000000000004E-2</v>
      </c>
      <c r="M35" s="77">
        <f t="shared" si="9"/>
        <v>1.6841999999999999E-2</v>
      </c>
      <c r="N35" s="77">
        <f t="shared" si="9"/>
        <v>768.59999999999991</v>
      </c>
      <c r="O35" s="77">
        <f t="shared" si="9"/>
        <v>21.084000000000003</v>
      </c>
      <c r="P35" s="77">
        <f t="shared" si="9"/>
        <v>0</v>
      </c>
      <c r="Q35" s="77">
        <f t="shared" si="10"/>
        <v>94.39500000000001</v>
      </c>
      <c r="R35" s="77">
        <f t="shared" si="11"/>
        <v>0</v>
      </c>
      <c r="S35" s="77">
        <f t="shared" si="11"/>
        <v>0.16968</v>
      </c>
      <c r="T35" s="77">
        <f t="shared" si="11"/>
        <v>0</v>
      </c>
      <c r="U35" s="77">
        <f t="shared" si="11"/>
        <v>0</v>
      </c>
      <c r="AB35" s="59"/>
      <c r="AC35" s="59"/>
      <c r="AD35" s="59"/>
      <c r="AE35" s="59"/>
      <c r="AF35" s="59"/>
      <c r="AG35" s="59"/>
      <c r="AH35" s="59"/>
      <c r="AI35" s="59"/>
    </row>
    <row r="36" spans="1:35" s="72" customFormat="1" ht="13" x14ac:dyDescent="0.35">
      <c r="A36" s="13" t="str">
        <f>H8</f>
        <v>16 Acres</v>
      </c>
      <c r="B36" s="15">
        <v>250</v>
      </c>
      <c r="C36" s="77">
        <f>IF(C$27="%w/w SAR",((C$28*10)*$B36),IF(C$27="%w/w DM",(((C$28*10)*($B$28/100))*$B36),IF(C$27="kg/t SAR",(C$28*$B36),IF(C$27="kg/t DM",((C$28*($B$28/100))*$B36),IF(C$27="mg/kg SAR",((C$28*0.001)*$B36),IF(C$27="mg/kg DM",(((C$28*0.001)*($B$28/100))*$B36),0))))))</f>
        <v>40.361999999999995</v>
      </c>
      <c r="D36" s="77">
        <f t="shared" si="6"/>
        <v>4.2818789999999991</v>
      </c>
      <c r="E36" s="77">
        <f t="shared" si="7"/>
        <v>0.44030699999999995</v>
      </c>
      <c r="F36" s="77">
        <f t="shared" si="8"/>
        <v>1.5319919999999998</v>
      </c>
      <c r="G36" s="77">
        <f t="shared" si="9"/>
        <v>0.18984000000000001</v>
      </c>
      <c r="H36" s="77">
        <f t="shared" si="9"/>
        <v>0.44519999999999998</v>
      </c>
      <c r="I36" s="77">
        <f t="shared" si="9"/>
        <v>3.2214E-2</v>
      </c>
      <c r="J36" s="77">
        <f t="shared" si="9"/>
        <v>2.8140000000000001E-3</v>
      </c>
      <c r="K36" s="77">
        <f t="shared" si="9"/>
        <v>4.9559999999999995E-3</v>
      </c>
      <c r="L36" s="77">
        <f t="shared" si="9"/>
        <v>2.1294000000000004E-2</v>
      </c>
      <c r="M36" s="77">
        <f t="shared" si="9"/>
        <v>1.6841999999999999E-2</v>
      </c>
      <c r="N36" s="77">
        <f t="shared" si="9"/>
        <v>768.59999999999991</v>
      </c>
      <c r="O36" s="77">
        <f t="shared" si="9"/>
        <v>21.084000000000003</v>
      </c>
      <c r="P36" s="77">
        <f t="shared" si="9"/>
        <v>0</v>
      </c>
      <c r="Q36" s="77">
        <f t="shared" si="10"/>
        <v>94.39500000000001</v>
      </c>
      <c r="R36" s="77">
        <f t="shared" si="11"/>
        <v>0</v>
      </c>
      <c r="S36" s="77">
        <f t="shared" si="11"/>
        <v>0.16968</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IF(C$27="%w/w SAR",((C$28*10)*$B37),IF(C$27="%w/w DM",(((C$28*10)*($B$28/100))*$B37),IF(C$27="kg/t SAR",(C$28*$B37),IF(C$27="kg/t DM",((C$28*($B$28/100))*$B37),IF(C$27="mg/kg SAR",((C$28*0.001)*$B37),IF(C$27="mg/kg DM",(((C$28*0.001)*($B$28/100))*$B37),0))))))</f>
        <v>40.361999999999995</v>
      </c>
      <c r="D37" s="77">
        <f t="shared" si="6"/>
        <v>4.2818789999999991</v>
      </c>
      <c r="E37" s="77">
        <f t="shared" si="7"/>
        <v>0.44030699999999995</v>
      </c>
      <c r="F37" s="77">
        <f t="shared" si="8"/>
        <v>1.5319919999999998</v>
      </c>
      <c r="G37" s="77">
        <f t="shared" si="9"/>
        <v>0.18984000000000001</v>
      </c>
      <c r="H37" s="77">
        <f t="shared" si="9"/>
        <v>0.44519999999999998</v>
      </c>
      <c r="I37" s="77">
        <f t="shared" si="9"/>
        <v>3.2214E-2</v>
      </c>
      <c r="J37" s="77">
        <f t="shared" si="9"/>
        <v>2.8140000000000001E-3</v>
      </c>
      <c r="K37" s="77">
        <f t="shared" si="9"/>
        <v>4.9559999999999995E-3</v>
      </c>
      <c r="L37" s="77">
        <f t="shared" si="9"/>
        <v>2.1294000000000004E-2</v>
      </c>
      <c r="M37" s="77">
        <f t="shared" si="9"/>
        <v>1.6841999999999999E-2</v>
      </c>
      <c r="N37" s="77">
        <f t="shared" si="9"/>
        <v>768.59999999999991</v>
      </c>
      <c r="O37" s="77">
        <f t="shared" si="9"/>
        <v>21.084000000000003</v>
      </c>
      <c r="P37" s="77">
        <f t="shared" si="9"/>
        <v>0</v>
      </c>
      <c r="Q37" s="77">
        <f t="shared" si="10"/>
        <v>94.39500000000001</v>
      </c>
      <c r="R37" s="77">
        <f t="shared" si="11"/>
        <v>0</v>
      </c>
      <c r="S37" s="77">
        <f t="shared" si="11"/>
        <v>0.16968</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IF(C$27="%w/w SAR",((C$28*10)*$B38),IF(C$27="%w/w DM",(((C$28*10)*($B$28/100))*$B38),IF(C$27="kg/t SAR",(C$28*$B38),IF(C$27="kg/t DM",((C$28*($B$28/100))*$B38),IF(C$27="mg/kg SAR",((C$28*0.001)*$B38),IF(C$27="mg/kg DM",(((C$28*0.001)*($B$28/100))*$B38),0))))))</f>
        <v>40.361999999999995</v>
      </c>
      <c r="D38" s="77">
        <f t="shared" si="6"/>
        <v>4.2818789999999991</v>
      </c>
      <c r="E38" s="77">
        <f t="shared" si="7"/>
        <v>0.44030699999999995</v>
      </c>
      <c r="F38" s="77">
        <f t="shared" si="8"/>
        <v>1.5319919999999998</v>
      </c>
      <c r="G38" s="77">
        <f t="shared" si="9"/>
        <v>0.18984000000000001</v>
      </c>
      <c r="H38" s="77">
        <f t="shared" si="9"/>
        <v>0.44519999999999998</v>
      </c>
      <c r="I38" s="77">
        <f t="shared" si="9"/>
        <v>3.2214E-2</v>
      </c>
      <c r="J38" s="77">
        <f t="shared" si="9"/>
        <v>2.8140000000000001E-3</v>
      </c>
      <c r="K38" s="77">
        <f t="shared" si="9"/>
        <v>4.9559999999999995E-3</v>
      </c>
      <c r="L38" s="77">
        <f t="shared" si="9"/>
        <v>2.1294000000000004E-2</v>
      </c>
      <c r="M38" s="77">
        <f t="shared" si="9"/>
        <v>1.6841999999999999E-2</v>
      </c>
      <c r="N38" s="77">
        <f t="shared" si="9"/>
        <v>768.59999999999991</v>
      </c>
      <c r="O38" s="77">
        <f t="shared" si="9"/>
        <v>21.084000000000003</v>
      </c>
      <c r="P38" s="77">
        <f t="shared" si="9"/>
        <v>0</v>
      </c>
      <c r="Q38" s="77">
        <f t="shared" si="10"/>
        <v>94.39500000000001</v>
      </c>
      <c r="R38" s="77">
        <f t="shared" si="11"/>
        <v>0</v>
      </c>
      <c r="S38" s="77">
        <f t="shared" si="11"/>
        <v>0.16968</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IF(C$27="%w/w SAR",((C$28*10)*$B39),IF(C$27="%w/w DM",(((C$28*10)*($B$28/100))*$B39),IF(C$27="kg/t SAR",(C$28*$B39),IF(C$27="kg/t DM",((C$28*($B$28/100))*$B39),IF(C$27="mg/kg SAR",((C$28*0.001)*$B39),IF(C$27="mg/kg DM",(((C$28*0.001)*($B$28/100))*$B39),0))))))</f>
        <v>40.361999999999995</v>
      </c>
      <c r="D39" s="77">
        <f t="shared" si="6"/>
        <v>4.2818789999999991</v>
      </c>
      <c r="E39" s="77">
        <f t="shared" si="7"/>
        <v>0.44030699999999995</v>
      </c>
      <c r="F39" s="77">
        <f t="shared" si="8"/>
        <v>1.5319919999999998</v>
      </c>
      <c r="G39" s="77">
        <f t="shared" si="9"/>
        <v>0.18984000000000001</v>
      </c>
      <c r="H39" s="77">
        <f t="shared" si="9"/>
        <v>0.44519999999999998</v>
      </c>
      <c r="I39" s="77">
        <f t="shared" si="9"/>
        <v>3.2214E-2</v>
      </c>
      <c r="J39" s="77">
        <f t="shared" si="9"/>
        <v>2.8140000000000001E-3</v>
      </c>
      <c r="K39" s="77">
        <f t="shared" si="9"/>
        <v>4.9559999999999995E-3</v>
      </c>
      <c r="L39" s="77">
        <f t="shared" si="9"/>
        <v>2.1294000000000004E-2</v>
      </c>
      <c r="M39" s="77">
        <f t="shared" si="9"/>
        <v>1.6841999999999999E-2</v>
      </c>
      <c r="N39" s="77">
        <f t="shared" si="9"/>
        <v>768.59999999999991</v>
      </c>
      <c r="O39" s="77">
        <f t="shared" si="9"/>
        <v>21.084000000000003</v>
      </c>
      <c r="P39" s="77">
        <f t="shared" si="9"/>
        <v>0</v>
      </c>
      <c r="Q39" s="77">
        <f t="shared" si="10"/>
        <v>94.39500000000001</v>
      </c>
      <c r="R39" s="77">
        <f t="shared" si="11"/>
        <v>0</v>
      </c>
      <c r="S39" s="77">
        <f t="shared" si="11"/>
        <v>0.16968</v>
      </c>
      <c r="T39" s="77">
        <f t="shared" si="11"/>
        <v>0</v>
      </c>
      <c r="U39" s="77">
        <f t="shared" si="11"/>
        <v>0</v>
      </c>
      <c r="AB39" s="59"/>
      <c r="AC39" s="59"/>
      <c r="AD39" s="59"/>
      <c r="AE39" s="59"/>
      <c r="AF39" s="59"/>
      <c r="AG39" s="59"/>
      <c r="AH39" s="59"/>
      <c r="AI39" s="59"/>
    </row>
    <row r="40" spans="1:35" s="72" customFormat="1" ht="13" x14ac:dyDescent="0.35">
      <c r="A40" s="13" t="str">
        <f>L8</f>
        <v>Sheep Shed</v>
      </c>
      <c r="B40" s="15">
        <v>250</v>
      </c>
      <c r="C40" s="77">
        <f>IF(C$27="%w/w SAR",((C$28*10)*$B40),IF(C$27="%w/w DM",(((C$28*10)*($B$28/100))*$B40),IF(C$27="kg/t SAR",(C$28*$B40),IF(C$27="kg/t DM",((C$28*($B$28/100))*$B40),IF(C$27="mg/kg SAR",((C$28*0.001)*$B40),IF(C$27="mg/kg DM",(((C$28*0.001)*($B$28/100))*$B40),0))))))</f>
        <v>40.361999999999995</v>
      </c>
      <c r="D40" s="77">
        <f t="shared" si="6"/>
        <v>4.2818789999999991</v>
      </c>
      <c r="E40" s="77">
        <f t="shared" si="7"/>
        <v>0.44030699999999995</v>
      </c>
      <c r="F40" s="77">
        <f t="shared" si="8"/>
        <v>1.5319919999999998</v>
      </c>
      <c r="G40" s="77">
        <f t="shared" si="9"/>
        <v>0.18984000000000001</v>
      </c>
      <c r="H40" s="77">
        <f t="shared" si="9"/>
        <v>0.44519999999999998</v>
      </c>
      <c r="I40" s="77">
        <f t="shared" si="9"/>
        <v>3.2214E-2</v>
      </c>
      <c r="J40" s="77">
        <f t="shared" si="9"/>
        <v>2.8140000000000001E-3</v>
      </c>
      <c r="K40" s="77">
        <f t="shared" si="9"/>
        <v>4.9559999999999995E-3</v>
      </c>
      <c r="L40" s="77">
        <f t="shared" si="9"/>
        <v>2.1294000000000004E-2</v>
      </c>
      <c r="M40" s="77">
        <f t="shared" si="9"/>
        <v>1.6841999999999999E-2</v>
      </c>
      <c r="N40" s="77">
        <f t="shared" si="9"/>
        <v>768.59999999999991</v>
      </c>
      <c r="O40" s="77">
        <f t="shared" si="9"/>
        <v>21.084000000000003</v>
      </c>
      <c r="P40" s="77">
        <f t="shared" si="9"/>
        <v>0</v>
      </c>
      <c r="Q40" s="77">
        <f t="shared" si="10"/>
        <v>94.39500000000001</v>
      </c>
      <c r="R40" s="77">
        <f t="shared" si="11"/>
        <v>0</v>
      </c>
      <c r="S40" s="77">
        <f t="shared" si="11"/>
        <v>0.16968</v>
      </c>
      <c r="T40" s="77">
        <f t="shared" si="11"/>
        <v>0</v>
      </c>
      <c r="U40" s="77">
        <f t="shared" si="11"/>
        <v>0</v>
      </c>
      <c r="AB40" s="59"/>
      <c r="AC40" s="59"/>
      <c r="AD40" s="59"/>
      <c r="AE40" s="59"/>
      <c r="AF40" s="59"/>
      <c r="AG40" s="59"/>
      <c r="AH40" s="59"/>
      <c r="AI40" s="59"/>
    </row>
    <row r="41" spans="1:35" s="72" customFormat="1" ht="13" x14ac:dyDescent="0.35">
      <c r="A41" s="13" t="str">
        <f>M8</f>
        <v>Badger Burry</v>
      </c>
      <c r="B41" s="15">
        <v>250</v>
      </c>
      <c r="C41" s="77">
        <f>IF(C$27="%w/w SAR",((C$28*10)*$B41),IF(C$27="%w/w DM",(((C$28*10)*($B$28/100))*$B41),IF(C$27="kg/t SAR",(C$28*$B41),IF(C$27="kg/t DM",((C$28*($B$28/100))*$B41),IF(C$27="mg/kg SAR",((C$28*0.001)*$B41),IF(C$27="mg/kg DM",(((C$28*0.001)*($B$28/100))*$B41),0))))))</f>
        <v>40.361999999999995</v>
      </c>
      <c r="D41" s="77">
        <f t="shared" si="6"/>
        <v>4.2818789999999991</v>
      </c>
      <c r="E41" s="77">
        <f t="shared" si="7"/>
        <v>0.44030699999999995</v>
      </c>
      <c r="F41" s="77">
        <f t="shared" si="8"/>
        <v>1.5319919999999998</v>
      </c>
      <c r="G41" s="77">
        <f t="shared" si="9"/>
        <v>0.18984000000000001</v>
      </c>
      <c r="H41" s="77">
        <f t="shared" si="9"/>
        <v>0.44519999999999998</v>
      </c>
      <c r="I41" s="77">
        <f t="shared" si="9"/>
        <v>3.2214E-2</v>
      </c>
      <c r="J41" s="77">
        <f t="shared" si="9"/>
        <v>2.8140000000000001E-3</v>
      </c>
      <c r="K41" s="77">
        <f t="shared" si="9"/>
        <v>4.9559999999999995E-3</v>
      </c>
      <c r="L41" s="77">
        <f t="shared" si="9"/>
        <v>2.1294000000000004E-2</v>
      </c>
      <c r="M41" s="77">
        <f t="shared" si="9"/>
        <v>1.6841999999999999E-2</v>
      </c>
      <c r="N41" s="77">
        <f t="shared" si="9"/>
        <v>768.59999999999991</v>
      </c>
      <c r="O41" s="77">
        <f t="shared" si="9"/>
        <v>21.084000000000003</v>
      </c>
      <c r="P41" s="77">
        <f t="shared" si="9"/>
        <v>0</v>
      </c>
      <c r="Q41" s="77">
        <f t="shared" si="10"/>
        <v>94.39500000000001</v>
      </c>
      <c r="R41" s="77">
        <f t="shared" si="11"/>
        <v>0</v>
      </c>
      <c r="S41" s="77">
        <f t="shared" si="11"/>
        <v>0.16968</v>
      </c>
      <c r="T41" s="77">
        <f t="shared" si="11"/>
        <v>0</v>
      </c>
      <c r="U41" s="77">
        <f t="shared" si="11"/>
        <v>0</v>
      </c>
      <c r="AB41" s="59"/>
      <c r="AC41" s="59"/>
      <c r="AD41" s="59"/>
      <c r="AE41" s="59"/>
      <c r="AF41" s="59"/>
      <c r="AG41" s="59"/>
      <c r="AH41" s="59"/>
      <c r="AI41" s="59"/>
    </row>
    <row r="42" spans="1:35" s="72" customFormat="1" ht="13" x14ac:dyDescent="0.35">
      <c r="A42" s="13" t="str">
        <f>N8</f>
        <v>Long meadow</v>
      </c>
      <c r="B42" s="15">
        <v>250</v>
      </c>
      <c r="C42" s="77">
        <f>IF(C$27="%w/w SAR",((C$28*10)*$B42),IF(C$27="%w/w DM",(((C$28*10)*($B$28/100))*$B42),IF(C$27="kg/t SAR",(C$28*$B42),IF(C$27="kg/t DM",((C$28*($B$28/100))*$B42),IF(C$27="mg/kg SAR",((C$28*0.001)*$B42),IF(C$27="mg/kg DM",(((C$28*0.001)*($B$28/100))*$B42),0))))))</f>
        <v>40.361999999999995</v>
      </c>
      <c r="D42" s="77">
        <f t="shared" si="6"/>
        <v>4.2818789999999991</v>
      </c>
      <c r="E42" s="77">
        <f t="shared" si="7"/>
        <v>0.44030699999999995</v>
      </c>
      <c r="F42" s="77">
        <f t="shared" si="8"/>
        <v>1.5319919999999998</v>
      </c>
      <c r="G42" s="77">
        <f t="shared" si="9"/>
        <v>0.18984000000000001</v>
      </c>
      <c r="H42" s="77">
        <f t="shared" si="9"/>
        <v>0.44519999999999998</v>
      </c>
      <c r="I42" s="77">
        <f t="shared" si="9"/>
        <v>3.2214E-2</v>
      </c>
      <c r="J42" s="77">
        <f t="shared" si="9"/>
        <v>2.8140000000000001E-3</v>
      </c>
      <c r="K42" s="77">
        <f t="shared" si="9"/>
        <v>4.9559999999999995E-3</v>
      </c>
      <c r="L42" s="77">
        <f t="shared" si="9"/>
        <v>2.1294000000000004E-2</v>
      </c>
      <c r="M42" s="77">
        <f t="shared" si="9"/>
        <v>1.6841999999999999E-2</v>
      </c>
      <c r="N42" s="77">
        <f t="shared" si="9"/>
        <v>768.59999999999991</v>
      </c>
      <c r="O42" s="77">
        <f t="shared" si="9"/>
        <v>21.084000000000003</v>
      </c>
      <c r="P42" s="77">
        <f t="shared" si="9"/>
        <v>0</v>
      </c>
      <c r="Q42" s="77">
        <f t="shared" si="10"/>
        <v>94.39500000000001</v>
      </c>
      <c r="R42" s="77">
        <f t="shared" si="11"/>
        <v>0</v>
      </c>
      <c r="S42" s="77">
        <f t="shared" si="11"/>
        <v>0.16968</v>
      </c>
      <c r="T42" s="77">
        <f t="shared" si="11"/>
        <v>0</v>
      </c>
      <c r="U42" s="77">
        <f t="shared" si="11"/>
        <v>0</v>
      </c>
      <c r="AB42" s="59"/>
      <c r="AC42" s="59"/>
      <c r="AD42" s="59"/>
      <c r="AE42" s="59"/>
      <c r="AF42" s="59"/>
      <c r="AG42" s="59"/>
      <c r="AH42" s="59"/>
      <c r="AI42" s="59"/>
    </row>
    <row r="43" spans="1:35" s="72" customFormat="1" ht="13" x14ac:dyDescent="0.35">
      <c r="A43" s="13">
        <f>O8</f>
        <v>0</v>
      </c>
      <c r="B43" s="15"/>
      <c r="C43" s="77">
        <f>IF(C$27="%w/w SAR",((C$28*10)*$B43),IF(C$27="%w/w DM",(((C$28*10)*($B$28/100))*$B43),IF(C$27="kg/t SAR",(C$28*$B43),IF(C$27="kg/t DM",((C$28*($B$28/100))*$B43),IF(C$27="mg/kg SAR",((C$28*0.001)*$B43),IF(C$27="mg/kg DM",(((C$28*0.001)*($B$28/100))*$B43),0))))))</f>
        <v>0</v>
      </c>
      <c r="D43" s="77">
        <f t="shared" si="6"/>
        <v>0</v>
      </c>
      <c r="E43" s="77">
        <f t="shared" si="7"/>
        <v>0</v>
      </c>
      <c r="F43" s="77">
        <f t="shared" si="8"/>
        <v>0</v>
      </c>
      <c r="G43" s="77">
        <f t="shared" si="9"/>
        <v>0</v>
      </c>
      <c r="H43" s="77">
        <f t="shared" si="9"/>
        <v>0</v>
      </c>
      <c r="I43" s="77">
        <f t="shared" si="9"/>
        <v>0</v>
      </c>
      <c r="J43" s="77">
        <f t="shared" si="9"/>
        <v>0</v>
      </c>
      <c r="K43" s="77">
        <f t="shared" si="9"/>
        <v>0</v>
      </c>
      <c r="L43" s="77">
        <f t="shared" si="9"/>
        <v>0</v>
      </c>
      <c r="M43" s="77">
        <f t="shared" si="9"/>
        <v>0</v>
      </c>
      <c r="N43" s="77">
        <f t="shared" si="9"/>
        <v>0</v>
      </c>
      <c r="O43" s="77">
        <f t="shared" si="9"/>
        <v>0</v>
      </c>
      <c r="P43" s="77">
        <f t="shared" si="9"/>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IF(C$27="%w/w SAR",((C$28*10)*$B44),IF(C$27="%w/w DM",(((C$28*10)*($B$28/100))*$B44),IF(C$27="kg/t SAR",(C$28*$B44),IF(C$27="kg/t DM",((C$28*($B$28/100))*$B44),IF(C$27="mg/kg SAR",((C$28*0.001)*$B44),IF(C$27="mg/kg DM",(((C$28*0.001)*($B$28/100))*$B44),0))))))</f>
        <v>0</v>
      </c>
      <c r="D44" s="77">
        <f t="shared" si="6"/>
        <v>0</v>
      </c>
      <c r="E44" s="77">
        <f t="shared" si="7"/>
        <v>0</v>
      </c>
      <c r="F44" s="77">
        <f t="shared" si="8"/>
        <v>0</v>
      </c>
      <c r="G44" s="77">
        <f t="shared" si="9"/>
        <v>0</v>
      </c>
      <c r="H44" s="77">
        <f t="shared" si="9"/>
        <v>0</v>
      </c>
      <c r="I44" s="77">
        <f t="shared" si="9"/>
        <v>0</v>
      </c>
      <c r="J44" s="77">
        <f t="shared" si="9"/>
        <v>0</v>
      </c>
      <c r="K44" s="77">
        <f t="shared" si="9"/>
        <v>0</v>
      </c>
      <c r="L44" s="77">
        <f t="shared" si="9"/>
        <v>0</v>
      </c>
      <c r="M44" s="77">
        <f t="shared" si="9"/>
        <v>0</v>
      </c>
      <c r="N44" s="77">
        <f t="shared" si="9"/>
        <v>0</v>
      </c>
      <c r="O44" s="77">
        <f t="shared" si="9"/>
        <v>0</v>
      </c>
      <c r="P44" s="77">
        <f t="shared" si="9"/>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IF(C$27="%w/w SAR",((C$28*10)*$B45),IF(C$27="%w/w DM",(((C$28*10)*($B$28/100))*$B45),IF(C$27="kg/t SAR",(C$28*$B45),IF(C$27="kg/t DM",((C$28*($B$28/100))*$B45),IF(C$27="mg/kg SAR",((C$28*0.001)*$B45),IF(C$27="mg/kg DM",(((C$28*0.001)*($B$28/100))*$B45),0))))))</f>
        <v>0</v>
      </c>
      <c r="D45" s="77">
        <f t="shared" si="6"/>
        <v>0</v>
      </c>
      <c r="E45" s="77">
        <f t="shared" si="7"/>
        <v>0</v>
      </c>
      <c r="F45" s="77">
        <f t="shared" si="8"/>
        <v>0</v>
      </c>
      <c r="G45" s="77">
        <f t="shared" si="9"/>
        <v>0</v>
      </c>
      <c r="H45" s="77">
        <f t="shared" si="9"/>
        <v>0</v>
      </c>
      <c r="I45" s="77">
        <f t="shared" si="9"/>
        <v>0</v>
      </c>
      <c r="J45" s="77">
        <f t="shared" si="9"/>
        <v>0</v>
      </c>
      <c r="K45" s="77">
        <f t="shared" si="9"/>
        <v>0</v>
      </c>
      <c r="L45" s="77">
        <f t="shared" si="9"/>
        <v>0</v>
      </c>
      <c r="M45" s="77">
        <f t="shared" si="9"/>
        <v>0</v>
      </c>
      <c r="N45" s="77">
        <f t="shared" si="9"/>
        <v>0</v>
      </c>
      <c r="O45" s="77">
        <f t="shared" si="9"/>
        <v>0</v>
      </c>
      <c r="P45" s="77">
        <f t="shared" si="9"/>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IF(C$27="%w/w SAR",((C$28*10)*$B46),IF(C$27="%w/w DM",(((C$28*10)*($B$28/100))*$B46),IF(C$27="kg/t SAR",(C$28*$B46),IF(C$27="kg/t DM",((C$28*($B$28/100))*$B46),IF(C$27="mg/kg SAR",((C$28*0.001)*$B46),IF(C$27="mg/kg DM",(((C$28*0.001)*($B$28/100))*$B46),0))))))</f>
        <v>0</v>
      </c>
      <c r="D46" s="77">
        <f t="shared" si="6"/>
        <v>0</v>
      </c>
      <c r="E46" s="77">
        <f t="shared" si="7"/>
        <v>0</v>
      </c>
      <c r="F46" s="77">
        <f t="shared" si="8"/>
        <v>0</v>
      </c>
      <c r="G46" s="77">
        <f t="shared" si="9"/>
        <v>0</v>
      </c>
      <c r="H46" s="77">
        <f t="shared" si="9"/>
        <v>0</v>
      </c>
      <c r="I46" s="77">
        <f t="shared" si="9"/>
        <v>0</v>
      </c>
      <c r="J46" s="77">
        <f t="shared" si="9"/>
        <v>0</v>
      </c>
      <c r="K46" s="77">
        <f t="shared" si="9"/>
        <v>0</v>
      </c>
      <c r="L46" s="77">
        <f t="shared" si="9"/>
        <v>0</v>
      </c>
      <c r="M46" s="77">
        <f t="shared" si="9"/>
        <v>0</v>
      </c>
      <c r="N46" s="77">
        <f t="shared" si="9"/>
        <v>0</v>
      </c>
      <c r="O46" s="77">
        <f t="shared" si="9"/>
        <v>0</v>
      </c>
      <c r="P46" s="77">
        <f t="shared" si="9"/>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IF(C$27="%w/w SAR",((C$28*10)*$B47),IF(C$27="%w/w DM",(((C$28*10)*($B$28/100))*$B47),IF(C$27="kg/t SAR",(C$28*$B47),IF(C$27="kg/t DM",((C$28*($B$28/100))*$B47),IF(C$27="mg/kg SAR",((C$28*0.001)*$B47),IF(C$27="mg/kg DM",(((C$28*0.001)*($B$28/100))*$B47),0))))))</f>
        <v>0</v>
      </c>
      <c r="D47" s="77">
        <f t="shared" si="6"/>
        <v>0</v>
      </c>
      <c r="E47" s="77">
        <f t="shared" si="7"/>
        <v>0</v>
      </c>
      <c r="F47" s="77">
        <f t="shared" si="8"/>
        <v>0</v>
      </c>
      <c r="G47" s="77">
        <f t="shared" si="9"/>
        <v>0</v>
      </c>
      <c r="H47" s="77">
        <f t="shared" si="9"/>
        <v>0</v>
      </c>
      <c r="I47" s="77">
        <f t="shared" si="9"/>
        <v>0</v>
      </c>
      <c r="J47" s="77">
        <f t="shared" si="9"/>
        <v>0</v>
      </c>
      <c r="K47" s="77">
        <f t="shared" si="9"/>
        <v>0</v>
      </c>
      <c r="L47" s="77">
        <f t="shared" si="9"/>
        <v>0</v>
      </c>
      <c r="M47" s="77">
        <f t="shared" si="9"/>
        <v>0</v>
      </c>
      <c r="N47" s="77">
        <f t="shared" si="9"/>
        <v>0</v>
      </c>
      <c r="O47" s="77">
        <f t="shared" si="9"/>
        <v>0</v>
      </c>
      <c r="P47" s="77">
        <f t="shared" si="9"/>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IF(C$27="%w/w SAR",((C$28*10)*$B48),IF(C$27="%w/w DM",(((C$28*10)*($B$28/100))*$B48),IF(C$27="kg/t SAR",(C$28*$B48),IF(C$27="kg/t DM",((C$28*($B$28/100))*$B48),IF(C$27="mg/kg SAR",((C$28*0.001)*$B48),IF(C$27="mg/kg DM",(((C$28*0.001)*($B$28/100))*$B48),0))))))</f>
        <v>0</v>
      </c>
      <c r="D48" s="77">
        <f t="shared" si="6"/>
        <v>0</v>
      </c>
      <c r="E48" s="77">
        <f t="shared" si="7"/>
        <v>0</v>
      </c>
      <c r="F48" s="77">
        <f t="shared" si="8"/>
        <v>0</v>
      </c>
      <c r="G48" s="77">
        <f t="shared" si="9"/>
        <v>0</v>
      </c>
      <c r="H48" s="77">
        <f t="shared" si="9"/>
        <v>0</v>
      </c>
      <c r="I48" s="77">
        <f t="shared" si="9"/>
        <v>0</v>
      </c>
      <c r="J48" s="77">
        <f t="shared" si="9"/>
        <v>0</v>
      </c>
      <c r="K48" s="77">
        <f t="shared" si="9"/>
        <v>0</v>
      </c>
      <c r="L48" s="77">
        <f t="shared" si="9"/>
        <v>0</v>
      </c>
      <c r="M48" s="77">
        <f t="shared" si="9"/>
        <v>0</v>
      </c>
      <c r="N48" s="77">
        <f t="shared" si="9"/>
        <v>0</v>
      </c>
      <c r="O48" s="77">
        <f t="shared" si="9"/>
        <v>0</v>
      </c>
      <c r="P48" s="77">
        <f t="shared" si="9"/>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IF(C$27="%w/w SAR",((C$28*10)*$B49),IF(C$27="%w/w DM",(((C$28*10)*($B$28/100))*$B49),IF(C$27="kg/t SAR",(C$28*$B49),IF(C$27="kg/t DM",((C$28*($B$28/100))*$B49),IF(C$27="mg/kg SAR",((C$28*0.001)*$B49),IF(C$27="mg/kg DM",(((C$28*0.001)*($B$28/100))*$B49),0))))))</f>
        <v>0</v>
      </c>
      <c r="D49" s="77">
        <f t="shared" si="6"/>
        <v>0</v>
      </c>
      <c r="E49" s="77">
        <f t="shared" si="7"/>
        <v>0</v>
      </c>
      <c r="F49" s="77">
        <f t="shared" si="8"/>
        <v>0</v>
      </c>
      <c r="G49" s="77">
        <f t="shared" si="9"/>
        <v>0</v>
      </c>
      <c r="H49" s="77">
        <f t="shared" si="9"/>
        <v>0</v>
      </c>
      <c r="I49" s="77">
        <f t="shared" si="9"/>
        <v>0</v>
      </c>
      <c r="J49" s="77">
        <f t="shared" si="9"/>
        <v>0</v>
      </c>
      <c r="K49" s="77">
        <f t="shared" si="9"/>
        <v>0</v>
      </c>
      <c r="L49" s="77">
        <f t="shared" si="9"/>
        <v>0</v>
      </c>
      <c r="M49" s="77">
        <f t="shared" si="9"/>
        <v>0</v>
      </c>
      <c r="N49" s="77">
        <f t="shared" si="9"/>
        <v>0</v>
      </c>
      <c r="O49" s="77">
        <f t="shared" si="9"/>
        <v>0</v>
      </c>
      <c r="P49" s="77">
        <f t="shared" si="9"/>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IF(C$27="%w/w SAR",((C$28*10)*$B50),IF(C$27="%w/w DM",(((C$28*10)*($B$28/100))*$B50),IF(C$27="kg/t SAR",(C$28*$B50),IF(C$27="kg/t DM",((C$28*($B$28/100))*$B50),IF(C$27="mg/kg SAR",((C$28*0.001)*$B50),IF(C$27="mg/kg DM",(((C$28*0.001)*($B$28/100))*$B50),0))))))</f>
        <v>0</v>
      </c>
      <c r="D50" s="98">
        <f t="shared" si="6"/>
        <v>0</v>
      </c>
      <c r="E50" s="98">
        <f t="shared" si="7"/>
        <v>0</v>
      </c>
      <c r="F50" s="98">
        <f t="shared" si="8"/>
        <v>0</v>
      </c>
      <c r="G50" s="98">
        <f t="shared" si="9"/>
        <v>0</v>
      </c>
      <c r="H50" s="98">
        <f t="shared" si="9"/>
        <v>0</v>
      </c>
      <c r="I50" s="98">
        <f t="shared" si="9"/>
        <v>0</v>
      </c>
      <c r="J50" s="98">
        <f t="shared" si="9"/>
        <v>0</v>
      </c>
      <c r="K50" s="98">
        <f t="shared" si="9"/>
        <v>0</v>
      </c>
      <c r="L50" s="98">
        <f t="shared" si="9"/>
        <v>0</v>
      </c>
      <c r="M50" s="98">
        <f t="shared" si="9"/>
        <v>0</v>
      </c>
      <c r="N50" s="98">
        <f t="shared" si="9"/>
        <v>0</v>
      </c>
      <c r="O50" s="98">
        <f t="shared" si="9"/>
        <v>0</v>
      </c>
      <c r="P50" s="98">
        <f t="shared" si="9"/>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17 Acres</v>
      </c>
      <c r="C57" s="8" t="str">
        <f t="shared" ref="C57:U57" si="12">D8</f>
        <v>Top Pentwyn</v>
      </c>
      <c r="D57" s="8" t="str">
        <f t="shared" si="12"/>
        <v xml:space="preserve">Bottom Pentwyn </v>
      </c>
      <c r="E57" s="8" t="str">
        <f t="shared" si="12"/>
        <v xml:space="preserve">Lodge </v>
      </c>
      <c r="F57" s="8" t="str">
        <f t="shared" si="12"/>
        <v>Pentwyn Corner</v>
      </c>
      <c r="G57" s="8" t="str">
        <f t="shared" si="12"/>
        <v>16 Acres</v>
      </c>
      <c r="H57" s="8" t="str">
        <f t="shared" si="12"/>
        <v>A</v>
      </c>
      <c r="I57" s="8" t="str">
        <f t="shared" si="12"/>
        <v>B</v>
      </c>
      <c r="J57" s="8" t="str">
        <f t="shared" si="12"/>
        <v>C</v>
      </c>
      <c r="K57" s="8" t="str">
        <f t="shared" si="12"/>
        <v>Sheep Shed</v>
      </c>
      <c r="L57" s="8" t="str">
        <f t="shared" si="12"/>
        <v>Badger Burry</v>
      </c>
      <c r="M57" s="8" t="str">
        <f t="shared" si="12"/>
        <v>Long meadow</v>
      </c>
      <c r="N57" s="8">
        <f t="shared" si="12"/>
        <v>0</v>
      </c>
      <c r="O57" s="8">
        <f t="shared" si="12"/>
        <v>0</v>
      </c>
      <c r="P57" s="8">
        <f t="shared" si="12"/>
        <v>0</v>
      </c>
      <c r="Q57" s="8">
        <f t="shared" si="12"/>
        <v>0</v>
      </c>
      <c r="R57" s="8">
        <f t="shared" si="12"/>
        <v>0</v>
      </c>
      <c r="S57" s="8">
        <f t="shared" si="12"/>
        <v>0</v>
      </c>
      <c r="T57" s="8">
        <f t="shared" si="12"/>
        <v>0</v>
      </c>
      <c r="U57" s="8">
        <f t="shared" si="12"/>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Arable</v>
      </c>
      <c r="M58" s="13" t="str">
        <f>N16&amp;" I "&amp;(VLOOKUP(N14,Table24[],6,FALSE))</f>
        <v>Medium/Clay I Grass</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6.7</v>
      </c>
      <c r="M59" s="76">
        <f>VLOOKUP(N$14,Table24[],5,FALSE)</f>
        <v>6.2</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6.5</v>
      </c>
      <c r="C60" s="76">
        <f t="shared" ref="C60:U60" si="13">D10</f>
        <v>6.6</v>
      </c>
      <c r="D60" s="76">
        <f t="shared" si="13"/>
        <v>6.9</v>
      </c>
      <c r="E60" s="76">
        <f t="shared" si="13"/>
        <v>5.6</v>
      </c>
      <c r="F60" s="76">
        <f t="shared" si="13"/>
        <v>6.4</v>
      </c>
      <c r="G60" s="76">
        <f t="shared" si="13"/>
        <v>6.5</v>
      </c>
      <c r="H60" s="76">
        <f t="shared" si="13"/>
        <v>6.1</v>
      </c>
      <c r="I60" s="76">
        <f t="shared" si="13"/>
        <v>6.3</v>
      </c>
      <c r="J60" s="76">
        <f t="shared" si="13"/>
        <v>6.2</v>
      </c>
      <c r="K60" s="76">
        <f t="shared" si="13"/>
        <v>6.1</v>
      </c>
      <c r="L60" s="76">
        <f t="shared" si="13"/>
        <v>6.3</v>
      </c>
      <c r="M60" s="76">
        <f t="shared" si="13"/>
        <v>6.2</v>
      </c>
      <c r="N60" s="76">
        <f t="shared" si="13"/>
        <v>0</v>
      </c>
      <c r="O60" s="76">
        <f t="shared" si="13"/>
        <v>0</v>
      </c>
      <c r="P60" s="76">
        <f t="shared" si="13"/>
        <v>0</v>
      </c>
      <c r="Q60" s="76">
        <f t="shared" si="13"/>
        <v>0</v>
      </c>
      <c r="R60" s="76">
        <f t="shared" si="13"/>
        <v>0</v>
      </c>
      <c r="S60" s="76">
        <f t="shared" si="13"/>
        <v>0</v>
      </c>
      <c r="T60" s="76">
        <f t="shared" si="13"/>
        <v>0</v>
      </c>
      <c r="U60" s="76">
        <f t="shared" si="13"/>
        <v>0</v>
      </c>
    </row>
    <row r="61" spans="1:35" s="19" customFormat="1" ht="13" x14ac:dyDescent="0.3">
      <c r="A61" s="111" t="s">
        <v>133</v>
      </c>
      <c r="B61" s="76">
        <f t="shared" ref="B61:U61" si="14">VLOOKUP(B58,$AD9:$AE18,2,FALSE)</f>
        <v>6</v>
      </c>
      <c r="C61" s="76">
        <f t="shared" si="14"/>
        <v>6</v>
      </c>
      <c r="D61" s="76">
        <f t="shared" si="14"/>
        <v>6</v>
      </c>
      <c r="E61" s="76">
        <f t="shared" si="14"/>
        <v>6</v>
      </c>
      <c r="F61" s="76">
        <f t="shared" si="14"/>
        <v>6</v>
      </c>
      <c r="G61" s="76">
        <f t="shared" si="14"/>
        <v>6</v>
      </c>
      <c r="H61" s="76">
        <f t="shared" si="14"/>
        <v>6</v>
      </c>
      <c r="I61" s="76">
        <f t="shared" si="14"/>
        <v>6</v>
      </c>
      <c r="J61" s="76">
        <f t="shared" si="14"/>
        <v>6</v>
      </c>
      <c r="K61" s="76">
        <f t="shared" si="14"/>
        <v>6</v>
      </c>
      <c r="L61" s="76">
        <f t="shared" si="14"/>
        <v>8</v>
      </c>
      <c r="M61" s="76">
        <f t="shared" si="14"/>
        <v>6</v>
      </c>
      <c r="N61" s="76" t="e">
        <f t="shared" si="14"/>
        <v>#N/A</v>
      </c>
      <c r="O61" s="76" t="e">
        <f t="shared" si="14"/>
        <v>#N/A</v>
      </c>
      <c r="P61" s="76" t="e">
        <f t="shared" si="14"/>
        <v>#N/A</v>
      </c>
      <c r="Q61" s="76" t="e">
        <f t="shared" si="14"/>
        <v>#N/A</v>
      </c>
      <c r="R61" s="76" t="e">
        <f t="shared" si="14"/>
        <v>#N/A</v>
      </c>
      <c r="S61" s="76" t="e">
        <f t="shared" si="14"/>
        <v>#N/A</v>
      </c>
      <c r="T61" s="76" t="e">
        <f t="shared" si="14"/>
        <v>#N/A</v>
      </c>
      <c r="U61" s="76" t="e">
        <f t="shared" si="14"/>
        <v>#N/A</v>
      </c>
    </row>
    <row r="62" spans="1:35" s="19" customFormat="1" ht="13" x14ac:dyDescent="0.3">
      <c r="A62" s="111" t="s">
        <v>134</v>
      </c>
      <c r="B62" s="77">
        <f>B31</f>
        <v>250</v>
      </c>
      <c r="C62" s="77">
        <f>B32</f>
        <v>250</v>
      </c>
      <c r="D62" s="77">
        <f>B33</f>
        <v>250</v>
      </c>
      <c r="E62" s="77">
        <f>B34</f>
        <v>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5">$E55*(C62/100)</f>
        <v>0</v>
      </c>
      <c r="D63" s="77">
        <f t="shared" si="15"/>
        <v>0</v>
      </c>
      <c r="E63" s="77">
        <f t="shared" si="15"/>
        <v>0</v>
      </c>
      <c r="F63" s="77">
        <f>$E55*(F62/100)</f>
        <v>0</v>
      </c>
      <c r="G63" s="77">
        <f t="shared" si="15"/>
        <v>0</v>
      </c>
      <c r="H63" s="77">
        <f t="shared" si="15"/>
        <v>0</v>
      </c>
      <c r="I63" s="77">
        <f t="shared" si="15"/>
        <v>0</v>
      </c>
      <c r="J63" s="77">
        <f t="shared" si="15"/>
        <v>0</v>
      </c>
      <c r="K63" s="77">
        <f t="shared" si="15"/>
        <v>0</v>
      </c>
      <c r="L63" s="77">
        <f t="shared" si="15"/>
        <v>0</v>
      </c>
      <c r="M63" s="77">
        <f t="shared" si="15"/>
        <v>0</v>
      </c>
      <c r="N63" s="77">
        <f t="shared" si="15"/>
        <v>0</v>
      </c>
      <c r="O63" s="77">
        <f t="shared" si="15"/>
        <v>0</v>
      </c>
      <c r="P63" s="77">
        <f t="shared" si="15"/>
        <v>0</v>
      </c>
      <c r="Q63" s="77">
        <f t="shared" si="15"/>
        <v>0</v>
      </c>
      <c r="R63" s="77">
        <f t="shared" si="15"/>
        <v>0</v>
      </c>
      <c r="S63" s="77">
        <f t="shared" si="15"/>
        <v>0</v>
      </c>
      <c r="T63" s="77">
        <f t="shared" si="15"/>
        <v>0</v>
      </c>
      <c r="U63" s="77">
        <f t="shared" si="15"/>
        <v>0</v>
      </c>
    </row>
    <row r="64" spans="1:35" s="19" customFormat="1" ht="52" x14ac:dyDescent="0.3">
      <c r="A64" s="112" t="s">
        <v>156</v>
      </c>
      <c r="B64" s="77">
        <f>(B59-B60)*B61</f>
        <v>-1.7999999999999989</v>
      </c>
      <c r="C64" s="77">
        <f t="shared" ref="C64:U64" si="16">(C59-C60)*C61</f>
        <v>-2.3999999999999968</v>
      </c>
      <c r="D64" s="77">
        <f t="shared" si="16"/>
        <v>-4.2000000000000011</v>
      </c>
      <c r="E64" s="77">
        <f t="shared" si="16"/>
        <v>3.6000000000000032</v>
      </c>
      <c r="F64" s="77">
        <f t="shared" si="16"/>
        <v>-1.2000000000000011</v>
      </c>
      <c r="G64" s="77">
        <f t="shared" si="16"/>
        <v>-1.7999999999999989</v>
      </c>
      <c r="H64" s="77">
        <f t="shared" si="16"/>
        <v>0.6000000000000032</v>
      </c>
      <c r="I64" s="77">
        <f t="shared" si="16"/>
        <v>-0.59999999999999787</v>
      </c>
      <c r="J64" s="77">
        <f t="shared" si="16"/>
        <v>0</v>
      </c>
      <c r="K64" s="77">
        <f t="shared" si="16"/>
        <v>0.6000000000000032</v>
      </c>
      <c r="L64" s="77">
        <f t="shared" si="16"/>
        <v>3.2000000000000028</v>
      </c>
      <c r="M64" s="77">
        <f t="shared" si="16"/>
        <v>0</v>
      </c>
      <c r="N64" s="77" t="e">
        <f t="shared" si="16"/>
        <v>#N/A</v>
      </c>
      <c r="O64" s="77" t="e">
        <f t="shared" si="16"/>
        <v>#N/A</v>
      </c>
      <c r="P64" s="77" t="e">
        <f t="shared" si="16"/>
        <v>#N/A</v>
      </c>
      <c r="Q64" s="77" t="e">
        <f t="shared" si="16"/>
        <v>#N/A</v>
      </c>
      <c r="R64" s="77" t="e">
        <f t="shared" si="16"/>
        <v>#N/A</v>
      </c>
      <c r="S64" s="77" t="e">
        <f t="shared" si="16"/>
        <v>#N/A</v>
      </c>
      <c r="T64" s="77" t="e">
        <f t="shared" si="16"/>
        <v>#N/A</v>
      </c>
      <c r="U64" s="77" t="e">
        <f t="shared" si="16"/>
        <v>#N/A</v>
      </c>
    </row>
    <row r="65" spans="1:21" s="19" customFormat="1" ht="52" x14ac:dyDescent="0.3">
      <c r="A65" s="112" t="s">
        <v>157</v>
      </c>
      <c r="B65" s="77">
        <f>B63-B64</f>
        <v>1.7999999999999989</v>
      </c>
      <c r="C65" s="77">
        <f t="shared" ref="C65:U65" si="17">C63-C64</f>
        <v>2.3999999999999968</v>
      </c>
      <c r="D65" s="77">
        <f t="shared" si="17"/>
        <v>4.2000000000000011</v>
      </c>
      <c r="E65" s="77">
        <f t="shared" si="17"/>
        <v>-3.6000000000000032</v>
      </c>
      <c r="F65" s="77">
        <f t="shared" si="17"/>
        <v>1.2000000000000011</v>
      </c>
      <c r="G65" s="77">
        <f t="shared" si="17"/>
        <v>1.7999999999999989</v>
      </c>
      <c r="H65" s="77">
        <f t="shared" si="17"/>
        <v>-0.6000000000000032</v>
      </c>
      <c r="I65" s="77">
        <f t="shared" si="17"/>
        <v>0.59999999999999787</v>
      </c>
      <c r="J65" s="77">
        <f t="shared" si="17"/>
        <v>0</v>
      </c>
      <c r="K65" s="77">
        <f t="shared" si="17"/>
        <v>-0.6000000000000032</v>
      </c>
      <c r="L65" s="77">
        <f t="shared" si="17"/>
        <v>-3.2000000000000028</v>
      </c>
      <c r="M65" s="77">
        <f t="shared" si="17"/>
        <v>0</v>
      </c>
      <c r="N65" s="77" t="e">
        <f t="shared" si="17"/>
        <v>#N/A</v>
      </c>
      <c r="O65" s="77" t="e">
        <f t="shared" si="17"/>
        <v>#N/A</v>
      </c>
      <c r="P65" s="77" t="e">
        <f t="shared" si="17"/>
        <v>#N/A</v>
      </c>
      <c r="Q65" s="77" t="e">
        <f t="shared" si="17"/>
        <v>#N/A</v>
      </c>
      <c r="R65" s="77" t="e">
        <f t="shared" si="17"/>
        <v>#N/A</v>
      </c>
      <c r="S65" s="77" t="e">
        <f t="shared" si="17"/>
        <v>#N/A</v>
      </c>
      <c r="T65" s="77" t="e">
        <f t="shared" si="17"/>
        <v>#N/A</v>
      </c>
      <c r="U65" s="77" t="e">
        <f t="shared" si="17"/>
        <v>#N/A</v>
      </c>
    </row>
    <row r="66" spans="1:21" s="19" customFormat="1" ht="26" x14ac:dyDescent="0.3">
      <c r="A66" s="112" t="s">
        <v>148</v>
      </c>
      <c r="B66" s="78" t="str">
        <f>IF(B64&lt;=B63,"OVER","UNDER")</f>
        <v>OVER</v>
      </c>
      <c r="C66" s="78" t="str">
        <f t="shared" ref="C66:U66" si="18">IF(C64&lt;=C63,"OVER","UNDER")</f>
        <v>OVER</v>
      </c>
      <c r="D66" s="78" t="str">
        <f t="shared" si="18"/>
        <v>OVER</v>
      </c>
      <c r="E66" s="78" t="str">
        <f t="shared" si="18"/>
        <v>UNDER</v>
      </c>
      <c r="F66" s="78" t="str">
        <f t="shared" si="18"/>
        <v>OVER</v>
      </c>
      <c r="G66" s="78" t="str">
        <f t="shared" si="18"/>
        <v>OVER</v>
      </c>
      <c r="H66" s="78" t="str">
        <f t="shared" si="18"/>
        <v>UNDER</v>
      </c>
      <c r="I66" s="78" t="str">
        <f t="shared" si="18"/>
        <v>OVER</v>
      </c>
      <c r="J66" s="78" t="str">
        <f t="shared" si="18"/>
        <v>OVER</v>
      </c>
      <c r="K66" s="78" t="str">
        <f t="shared" si="18"/>
        <v>UNDER</v>
      </c>
      <c r="L66" s="78" t="str">
        <f t="shared" si="18"/>
        <v>UNDER</v>
      </c>
      <c r="M66" s="78" t="str">
        <f t="shared" si="18"/>
        <v>OVER</v>
      </c>
      <c r="N66" s="78" t="e">
        <f t="shared" si="18"/>
        <v>#N/A</v>
      </c>
      <c r="O66" s="78" t="e">
        <f t="shared" si="18"/>
        <v>#N/A</v>
      </c>
      <c r="P66" s="78" t="e">
        <f t="shared" si="18"/>
        <v>#N/A</v>
      </c>
      <c r="Q66" s="78" t="e">
        <f t="shared" si="18"/>
        <v>#N/A</v>
      </c>
      <c r="R66" s="78" t="e">
        <f t="shared" si="18"/>
        <v>#N/A</v>
      </c>
      <c r="S66" s="78" t="e">
        <f t="shared" si="18"/>
        <v>#N/A</v>
      </c>
      <c r="T66" s="78" t="e">
        <f t="shared" si="18"/>
        <v>#N/A</v>
      </c>
      <c r="U66" s="78" t="e">
        <f t="shared" si="18"/>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54" priority="43" operator="equal">
      <formula>"DECREASE"</formula>
    </cfRule>
    <cfRule type="cellIs" dxfId="153" priority="44" operator="equal">
      <formula>"INCREASE"</formula>
    </cfRule>
  </conditionalFormatting>
  <conditionalFormatting sqref="B31:B50 B62:U66">
    <cfRule type="cellIs" dxfId="152" priority="42" operator="greaterThan">
      <formula>$B$51</formula>
    </cfRule>
  </conditionalFormatting>
  <conditionalFormatting sqref="C31:C50">
    <cfRule type="cellIs" dxfId="151" priority="41" operator="greaterThan">
      <formula>$C$51</formula>
    </cfRule>
  </conditionalFormatting>
  <conditionalFormatting sqref="C18:V18">
    <cfRule type="cellIs" dxfId="150" priority="37" operator="equal">
      <formula>0</formula>
    </cfRule>
  </conditionalFormatting>
  <conditionalFormatting sqref="C17:V17">
    <cfRule type="cellIs" dxfId="149" priority="35" operator="equal">
      <formula>0</formula>
    </cfRule>
  </conditionalFormatting>
  <conditionalFormatting sqref="C19:V19">
    <cfRule type="cellIs" dxfId="148" priority="34" operator="equal">
      <formula>0</formula>
    </cfRule>
  </conditionalFormatting>
  <conditionalFormatting sqref="G31:G50">
    <cfRule type="cellIs" dxfId="147" priority="31" operator="greaterThan">
      <formula>$G$51</formula>
    </cfRule>
  </conditionalFormatting>
  <conditionalFormatting sqref="H31:H50">
    <cfRule type="cellIs" dxfId="146" priority="30" operator="greaterThan">
      <formula>$H$51</formula>
    </cfRule>
  </conditionalFormatting>
  <conditionalFormatting sqref="I31:I50">
    <cfRule type="cellIs" dxfId="145" priority="29" operator="greaterThan">
      <formula>$I$51</formula>
    </cfRule>
  </conditionalFormatting>
  <conditionalFormatting sqref="K31:K50">
    <cfRule type="cellIs" dxfId="144" priority="27" operator="greaterThan">
      <formula>$K$51</formula>
    </cfRule>
  </conditionalFormatting>
  <conditionalFormatting sqref="L31:L50">
    <cfRule type="cellIs" dxfId="143" priority="26" operator="greaterThan">
      <formula>$L$51</formula>
    </cfRule>
  </conditionalFormatting>
  <conditionalFormatting sqref="M31:M50">
    <cfRule type="cellIs" dxfId="142" priority="25" operator="greaterThan">
      <formula>$M$51</formula>
    </cfRule>
  </conditionalFormatting>
  <conditionalFormatting sqref="P31:P50">
    <cfRule type="cellIs" dxfId="141" priority="24" operator="greaterThan">
      <formula>$P$51</formula>
    </cfRule>
  </conditionalFormatting>
  <conditionalFormatting sqref="R31:R50">
    <cfRule type="cellIs" dxfId="140" priority="23" operator="greaterThan">
      <formula>$R$51</formula>
    </cfRule>
  </conditionalFormatting>
  <conditionalFormatting sqref="S31:S50">
    <cfRule type="cellIs" dxfId="139" priority="22" operator="greaterThan">
      <formula>$S$51</formula>
    </cfRule>
  </conditionalFormatting>
  <conditionalFormatting sqref="T31:T50">
    <cfRule type="cellIs" dxfId="138" priority="21" operator="greaterThan">
      <formula>$T$51</formula>
    </cfRule>
  </conditionalFormatting>
  <conditionalFormatting sqref="U31:U50">
    <cfRule type="cellIs" dxfId="137" priority="20" operator="greaterThan">
      <formula>$U$51</formula>
    </cfRule>
  </conditionalFormatting>
  <conditionalFormatting sqref="C22:V22">
    <cfRule type="cellIs" dxfId="136" priority="18" operator="equal">
      <formula>0</formula>
    </cfRule>
  </conditionalFormatting>
  <conditionalFormatting sqref="C24:V24">
    <cfRule type="cellIs" dxfId="135" priority="16" operator="equal">
      <formula>"DECREASE"</formula>
    </cfRule>
    <cfRule type="cellIs" dxfId="134" priority="17" operator="equal">
      <formula>"INCREASE"</formula>
    </cfRule>
  </conditionalFormatting>
  <conditionalFormatting sqref="C23:V23">
    <cfRule type="cellIs" dxfId="133" priority="15" operator="equal">
      <formula>0</formula>
    </cfRule>
  </conditionalFormatting>
  <conditionalFormatting sqref="I1">
    <cfRule type="cellIs" dxfId="132" priority="11" operator="between">
      <formula>0.1</formula>
      <formula>5</formula>
    </cfRule>
  </conditionalFormatting>
  <conditionalFormatting sqref="I2">
    <cfRule type="cellIs" dxfId="131" priority="10" operator="greaterThan">
      <formula>5000.1</formula>
    </cfRule>
  </conditionalFormatting>
  <conditionalFormatting sqref="I3">
    <cfRule type="cellIs" dxfId="130" priority="9" operator="greaterThan">
      <formula>40000.01</formula>
    </cfRule>
  </conditionalFormatting>
  <conditionalFormatting sqref="C21:V21">
    <cfRule type="cellIs" dxfId="129" priority="8" operator="equal">
      <formula>0</formula>
    </cfRule>
  </conditionalFormatting>
  <conditionalFormatting sqref="B66:U66">
    <cfRule type="cellIs" dxfId="128" priority="4" operator="equal">
      <formula>"UNDER"</formula>
    </cfRule>
    <cfRule type="cellIs" dxfId="127" priority="5" operator="equal">
      <formula>"OVER"</formula>
    </cfRule>
  </conditionalFormatting>
  <conditionalFormatting sqref="J31:J50">
    <cfRule type="cellIs" dxfId="126" priority="3" operator="greaterThan">
      <formula>$J$51</formula>
    </cfRule>
  </conditionalFormatting>
  <conditionalFormatting sqref="L3">
    <cfRule type="cellIs" dxfId="125" priority="1" operator="lessThan">
      <formula>30</formula>
    </cfRule>
    <cfRule type="cellIs" dxfId="124"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topLeftCell="A10" zoomScale="90" zoomScaleNormal="90" workbookViewId="0">
      <selection activeCell="E32" sqref="E3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'Cefn Dryscoed'!C1:D1</f>
        <v>PAN-025174</v>
      </c>
      <c r="D1" s="141"/>
      <c r="E1" s="93" t="s">
        <v>45</v>
      </c>
      <c r="F1" s="39">
        <f>'Cefn Dryscoed'!F1</f>
        <v>49.24</v>
      </c>
      <c r="G1" s="123" t="s">
        <v>43</v>
      </c>
      <c r="H1" s="124"/>
      <c r="I1" s="118">
        <v>6</v>
      </c>
      <c r="J1" s="127" t="s">
        <v>153</v>
      </c>
      <c r="K1" s="127"/>
      <c r="L1" s="97">
        <v>252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'Cefn Dryscoed'!C2:D2</f>
        <v>EPR/GP3792SK</v>
      </c>
      <c r="D2" s="143"/>
      <c r="E2" s="93" t="s">
        <v>109</v>
      </c>
      <c r="F2" s="96" t="s">
        <v>182</v>
      </c>
      <c r="G2" s="125" t="s">
        <v>110</v>
      </c>
      <c r="H2" s="126"/>
      <c r="I2" s="118"/>
      <c r="J2" s="127" t="s">
        <v>158</v>
      </c>
      <c r="K2" s="127"/>
      <c r="L2" s="97">
        <v>0.75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'Cefn Dryscoed'!C3:D3</f>
        <v xml:space="preserve">ByProduct Recovery LTD </v>
      </c>
      <c r="D3" s="143"/>
      <c r="E3" s="93" t="s">
        <v>108</v>
      </c>
      <c r="F3" s="31" t="s">
        <v>78</v>
      </c>
      <c r="G3" s="127" t="s">
        <v>159</v>
      </c>
      <c r="H3" s="127"/>
      <c r="I3" s="118"/>
      <c r="J3" s="123" t="s">
        <v>154</v>
      </c>
      <c r="K3" s="124"/>
      <c r="L3" s="97">
        <f>(L1/(L2*10000))*100</f>
        <v>3.36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'Cefn Dryscoed'!C4:D4</f>
        <v>Pentwyn Farm, Brecon, Powys, LD3 0SW</v>
      </c>
      <c r="D4" s="141"/>
      <c r="E4" s="94" t="s">
        <v>1</v>
      </c>
      <c r="F4" s="96" t="s">
        <v>183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'Cefn Dryscoed'!C5:D5</f>
        <v xml:space="preserve">Megan Tucker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'Cefn Dryscoed'!C8</f>
        <v>17 Acres</v>
      </c>
      <c r="D8" s="60" t="str">
        <f>'Cefn Dryscoed'!D8</f>
        <v>Top Pentwyn</v>
      </c>
      <c r="E8" s="60" t="str">
        <f>'Cefn Dryscoed'!E8</f>
        <v xml:space="preserve">Bottom Pentwyn </v>
      </c>
      <c r="F8" s="60" t="str">
        <f>'Cefn Dryscoed'!F8</f>
        <v xml:space="preserve">Lodge </v>
      </c>
      <c r="G8" s="60" t="str">
        <f>'Cefn Dryscoed'!G8</f>
        <v>Pentwyn Corner</v>
      </c>
      <c r="H8" s="60" t="str">
        <f>'Cefn Dryscoed'!H8</f>
        <v>16 Acres</v>
      </c>
      <c r="I8" s="60" t="str">
        <f>'Cefn Dryscoed'!I8</f>
        <v>A</v>
      </c>
      <c r="J8" s="60" t="str">
        <f>'Cefn Dryscoed'!J8</f>
        <v>B</v>
      </c>
      <c r="K8" s="60" t="str">
        <f>'Cefn Dryscoed'!K8</f>
        <v>C</v>
      </c>
      <c r="L8" s="60" t="str">
        <f>'Cefn Dryscoed'!L8</f>
        <v>Sheep Shed</v>
      </c>
      <c r="M8" s="60" t="str">
        <f>'Cefn Dryscoed'!M8</f>
        <v>Badger Burry</v>
      </c>
      <c r="N8" s="60" t="str">
        <f>'Cefn Dryscoed'!N8</f>
        <v>Long meadow</v>
      </c>
      <c r="O8" s="60">
        <f>'Cefn Dryscoed'!O8</f>
        <v>0</v>
      </c>
      <c r="P8" s="60">
        <f>'Cefn Dryscoed'!P8</f>
        <v>0</v>
      </c>
      <c r="Q8" s="60">
        <f>'Cefn Dryscoed'!Q8</f>
        <v>0</v>
      </c>
      <c r="R8" s="60">
        <f>'Cefn Dryscoed'!R8</f>
        <v>0</v>
      </c>
      <c r="S8" s="60">
        <f>'Cefn Dryscoed'!S8</f>
        <v>0</v>
      </c>
      <c r="T8" s="60">
        <f>'Cefn Dryscoed'!T8</f>
        <v>0</v>
      </c>
      <c r="U8" s="60">
        <f>'Cefn Dryscoed'!U8</f>
        <v>0</v>
      </c>
      <c r="V8" s="60">
        <f>'Cefn Dryscoed'!V8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'Cefn Dryscoed'!C9</f>
        <v>Medium</v>
      </c>
      <c r="D9" s="60" t="str">
        <f>'Cefn Dryscoed'!D9</f>
        <v>Medium</v>
      </c>
      <c r="E9" s="60" t="str">
        <f>'Cefn Dryscoed'!E9</f>
        <v xml:space="preserve">Medium </v>
      </c>
      <c r="F9" s="60">
        <f>'Cefn Dryscoed'!F9</f>
        <v>0</v>
      </c>
      <c r="G9" s="60" t="str">
        <f>'Cefn Dryscoed'!G9</f>
        <v>Medium</v>
      </c>
      <c r="H9" s="60" t="str">
        <f>'Cefn Dryscoed'!H9</f>
        <v>Medium</v>
      </c>
      <c r="I9" s="60" t="str">
        <f>'Cefn Dryscoed'!I9</f>
        <v>Medium</v>
      </c>
      <c r="J9" s="60" t="str">
        <f>'Cefn Dryscoed'!J9</f>
        <v>Medium</v>
      </c>
      <c r="K9" s="60" t="str">
        <f>'Cefn Dryscoed'!K9</f>
        <v>Medium</v>
      </c>
      <c r="L9" s="60" t="str">
        <f>'Cefn Dryscoed'!L9</f>
        <v>Meidum</v>
      </c>
      <c r="M9" s="60">
        <f>'Cefn Dryscoed'!M9</f>
        <v>1</v>
      </c>
      <c r="N9" s="60" t="str">
        <f>'Cefn Dryscoed'!N9</f>
        <v xml:space="preserve">Medium </v>
      </c>
      <c r="O9" s="60">
        <f>'Cefn Dryscoed'!O9</f>
        <v>0</v>
      </c>
      <c r="P9" s="60">
        <f>'Cefn Dryscoed'!P9</f>
        <v>0</v>
      </c>
      <c r="Q9" s="60">
        <f>'Cefn Dryscoed'!Q9</f>
        <v>0</v>
      </c>
      <c r="R9" s="60">
        <f>'Cefn Dryscoed'!R9</f>
        <v>0</v>
      </c>
      <c r="S9" s="60">
        <f>'Cefn Dryscoed'!S9</f>
        <v>0</v>
      </c>
      <c r="T9" s="60">
        <f>'Cefn Dryscoed'!T9</f>
        <v>0</v>
      </c>
      <c r="U9" s="60">
        <f>'Cefn Dryscoed'!U9</f>
        <v>0</v>
      </c>
      <c r="V9" s="60">
        <f>'Cefn Dryscoed'!V9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'Cefn Dryscoed'!C10</f>
        <v>6.5</v>
      </c>
      <c r="D10" s="60">
        <f>'Cefn Dryscoed'!D10</f>
        <v>6.6</v>
      </c>
      <c r="E10" s="60">
        <f>'Cefn Dryscoed'!E10</f>
        <v>6.9</v>
      </c>
      <c r="F10" s="60">
        <f>'Cefn Dryscoed'!F10</f>
        <v>5.6</v>
      </c>
      <c r="G10" s="60">
        <f>'Cefn Dryscoed'!G10</f>
        <v>6.4</v>
      </c>
      <c r="H10" s="60">
        <f>'Cefn Dryscoed'!H10</f>
        <v>6.5</v>
      </c>
      <c r="I10" s="60">
        <f>'Cefn Dryscoed'!I10</f>
        <v>6.1</v>
      </c>
      <c r="J10" s="60">
        <f>'Cefn Dryscoed'!J10</f>
        <v>6.3</v>
      </c>
      <c r="K10" s="60">
        <f>'Cefn Dryscoed'!K10</f>
        <v>6.2</v>
      </c>
      <c r="L10" s="60">
        <f>'Cefn Dryscoed'!L10</f>
        <v>6.1</v>
      </c>
      <c r="M10" s="60">
        <f>'Cefn Dryscoed'!M10</f>
        <v>6.3</v>
      </c>
      <c r="N10" s="60">
        <f>'Cefn Dryscoed'!N10</f>
        <v>6.2</v>
      </c>
      <c r="O10" s="60">
        <f>'Cefn Dryscoed'!O10</f>
        <v>0</v>
      </c>
      <c r="P10" s="60">
        <f>'Cefn Dryscoed'!P10</f>
        <v>0</v>
      </c>
      <c r="Q10" s="60">
        <f>'Cefn Dryscoed'!Q10</f>
        <v>0</v>
      </c>
      <c r="R10" s="60">
        <f>'Cefn Dryscoed'!R10</f>
        <v>0</v>
      </c>
      <c r="S10" s="60">
        <f>'Cefn Dryscoed'!S10</f>
        <v>0</v>
      </c>
      <c r="T10" s="60">
        <f>'Cefn Dryscoed'!T10</f>
        <v>0</v>
      </c>
      <c r="U10" s="60">
        <f>'Cefn Dryscoed'!U10</f>
        <v>0</v>
      </c>
      <c r="V10" s="60">
        <f>'Cefn Dryscoed'!V10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'Cefn Dryscoed'!C11</f>
        <v>3</v>
      </c>
      <c r="D11" s="60">
        <f>'Cefn Dryscoed'!D11</f>
        <v>2</v>
      </c>
      <c r="E11" s="60">
        <f>'Cefn Dryscoed'!E11</f>
        <v>2</v>
      </c>
      <c r="F11" s="60">
        <f>'Cefn Dryscoed'!F11</f>
        <v>3</v>
      </c>
      <c r="G11" s="60">
        <f>'Cefn Dryscoed'!G11</f>
        <v>3</v>
      </c>
      <c r="H11" s="60">
        <f>'Cefn Dryscoed'!H11</f>
        <v>3</v>
      </c>
      <c r="I11" s="60">
        <f>'Cefn Dryscoed'!I11</f>
        <v>3</v>
      </c>
      <c r="J11" s="60">
        <f>'Cefn Dryscoed'!J11</f>
        <v>3</v>
      </c>
      <c r="K11" s="60">
        <f>'Cefn Dryscoed'!K11</f>
        <v>3</v>
      </c>
      <c r="L11" s="60">
        <f>'Cefn Dryscoed'!L11</f>
        <v>2</v>
      </c>
      <c r="M11" s="60">
        <f>'Cefn Dryscoed'!M11</f>
        <v>3</v>
      </c>
      <c r="N11" s="60">
        <f>'Cefn Dryscoed'!N11</f>
        <v>2</v>
      </c>
      <c r="O11" s="60">
        <f>'Cefn Dryscoed'!O11</f>
        <v>0</v>
      </c>
      <c r="P11" s="60">
        <f>'Cefn Dryscoed'!P11</f>
        <v>0</v>
      </c>
      <c r="Q11" s="60">
        <f>'Cefn Dryscoed'!Q11</f>
        <v>0</v>
      </c>
      <c r="R11" s="60">
        <f>'Cefn Dryscoed'!R11</f>
        <v>0</v>
      </c>
      <c r="S11" s="60">
        <f>'Cefn Dryscoed'!S11</f>
        <v>0</v>
      </c>
      <c r="T11" s="60">
        <f>'Cefn Dryscoed'!T11</f>
        <v>0</v>
      </c>
      <c r="U11" s="60">
        <f>'Cefn Dryscoed'!U11</f>
        <v>0</v>
      </c>
      <c r="V11" s="60">
        <f>'Cefn Dryscoed'!V11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'Cefn Dryscoed'!C12</f>
        <v>2</v>
      </c>
      <c r="D12" s="60">
        <f>'Cefn Dryscoed'!D12</f>
        <v>2</v>
      </c>
      <c r="E12" s="60">
        <f>'Cefn Dryscoed'!E12</f>
        <v>2</v>
      </c>
      <c r="F12" s="60">
        <f>'Cefn Dryscoed'!F12</f>
        <v>2</v>
      </c>
      <c r="G12" s="60">
        <f>'Cefn Dryscoed'!G12</f>
        <v>3</v>
      </c>
      <c r="H12" s="60">
        <f>'Cefn Dryscoed'!H12</f>
        <v>2</v>
      </c>
      <c r="I12" s="60">
        <f>'Cefn Dryscoed'!I12</f>
        <v>2</v>
      </c>
      <c r="J12" s="60">
        <f>'Cefn Dryscoed'!J12</f>
        <v>2</v>
      </c>
      <c r="K12" s="60">
        <f>'Cefn Dryscoed'!K12</f>
        <v>2</v>
      </c>
      <c r="L12" s="60">
        <f>'Cefn Dryscoed'!L12</f>
        <v>2</v>
      </c>
      <c r="M12" s="60">
        <f>'Cefn Dryscoed'!M12</f>
        <v>4</v>
      </c>
      <c r="N12" s="60">
        <f>'Cefn Dryscoed'!N12</f>
        <v>2</v>
      </c>
      <c r="O12" s="60">
        <f>'Cefn Dryscoed'!O12</f>
        <v>0</v>
      </c>
      <c r="P12" s="60">
        <f>'Cefn Dryscoed'!P12</f>
        <v>0</v>
      </c>
      <c r="Q12" s="60">
        <f>'Cefn Dryscoed'!Q12</f>
        <v>0</v>
      </c>
      <c r="R12" s="60">
        <f>'Cefn Dryscoed'!R12</f>
        <v>0</v>
      </c>
      <c r="S12" s="60">
        <f>'Cefn Dryscoed'!S12</f>
        <v>0</v>
      </c>
      <c r="T12" s="60">
        <f>'Cefn Dryscoed'!T12</f>
        <v>0</v>
      </c>
      <c r="U12" s="60">
        <f>'Cefn Dryscoed'!U12</f>
        <v>0</v>
      </c>
      <c r="V12" s="60">
        <f>'Cefn Dryscoed'!V12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'Cefn Dryscoed'!C13</f>
        <v>2</v>
      </c>
      <c r="D13" s="60">
        <f>'Cefn Dryscoed'!D13</f>
        <v>2</v>
      </c>
      <c r="E13" s="60">
        <f>'Cefn Dryscoed'!E13</f>
        <v>2</v>
      </c>
      <c r="F13" s="60">
        <f>'Cefn Dryscoed'!F13</f>
        <v>2</v>
      </c>
      <c r="G13" s="60">
        <f>'Cefn Dryscoed'!G13</f>
        <v>3</v>
      </c>
      <c r="H13" s="60">
        <f>'Cefn Dryscoed'!H13</f>
        <v>2</v>
      </c>
      <c r="I13" s="60">
        <f>'Cefn Dryscoed'!I13</f>
        <v>3</v>
      </c>
      <c r="J13" s="60">
        <f>'Cefn Dryscoed'!J13</f>
        <v>3</v>
      </c>
      <c r="K13" s="60">
        <f>'Cefn Dryscoed'!K13</f>
        <v>3</v>
      </c>
      <c r="L13" s="60">
        <f>'Cefn Dryscoed'!L13</f>
        <v>2</v>
      </c>
      <c r="M13" s="60">
        <f>'Cefn Dryscoed'!M13</f>
        <v>2</v>
      </c>
      <c r="N13" s="60">
        <f>'Cefn Dryscoed'!N13</f>
        <v>2</v>
      </c>
      <c r="O13" s="60">
        <f>'Cefn Dryscoed'!O13</f>
        <v>0</v>
      </c>
      <c r="P13" s="60">
        <f>'Cefn Dryscoed'!P13</f>
        <v>0</v>
      </c>
      <c r="Q13" s="60">
        <f>'Cefn Dryscoed'!Q13</f>
        <v>0</v>
      </c>
      <c r="R13" s="60">
        <f>'Cefn Dryscoed'!R13</f>
        <v>0</v>
      </c>
      <c r="S13" s="60">
        <f>'Cefn Dryscoed'!S13</f>
        <v>0</v>
      </c>
      <c r="T13" s="60">
        <f>'Cefn Dryscoed'!T13</f>
        <v>0</v>
      </c>
      <c r="U13" s="60">
        <f>'Cefn Dryscoed'!U13</f>
        <v>0</v>
      </c>
      <c r="V13" s="60">
        <f>'Cefn Dryscoed'!V13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'Cefn Dryscoed'!C14</f>
        <v xml:space="preserve">Grass Silage (30% DM) </v>
      </c>
      <c r="D14" s="102" t="str">
        <f>'Cefn Dryscoed'!D14</f>
        <v xml:space="preserve">Grass Silage (30% DM) </v>
      </c>
      <c r="E14" s="102" t="str">
        <f>'Cefn Dryscoed'!E14</f>
        <v xml:space="preserve">Grass Silage (30% DM) </v>
      </c>
      <c r="F14" s="102" t="str">
        <f>'Cefn Dryscoed'!F14</f>
        <v xml:space="preserve">Grass Silage (30% DM) </v>
      </c>
      <c r="G14" s="102" t="str">
        <f>'Cefn Dryscoed'!G14</f>
        <v xml:space="preserve">Grass Silage (30% DM) </v>
      </c>
      <c r="H14" s="102" t="str">
        <f>'Cefn Dryscoed'!H14</f>
        <v xml:space="preserve">Grass Silage (30% DM) </v>
      </c>
      <c r="I14" s="102" t="str">
        <f>'Cefn Dryscoed'!I14</f>
        <v xml:space="preserve">Grass Silage (30% DM) </v>
      </c>
      <c r="J14" s="102" t="str">
        <f>'Cefn Dryscoed'!J14</f>
        <v xml:space="preserve">Grass Silage (30% DM) </v>
      </c>
      <c r="K14" s="102" t="str">
        <f>'Cefn Dryscoed'!K14</f>
        <v xml:space="preserve">Grass Silage (30% DM) </v>
      </c>
      <c r="L14" s="102" t="str">
        <f>'Cefn Dryscoed'!L14</f>
        <v xml:space="preserve">Grass Silage (30% DM) </v>
      </c>
      <c r="M14" s="102" t="str">
        <f>'Cefn Dryscoed'!M14</f>
        <v>Spring wheat/barley</v>
      </c>
      <c r="N14" s="102" t="str">
        <f>'Cefn Dryscoed'!N14</f>
        <v xml:space="preserve">Grass Silage (30% DM) </v>
      </c>
      <c r="O14" s="102">
        <f>'Cefn Dryscoed'!O14</f>
        <v>0</v>
      </c>
      <c r="P14" s="102">
        <f>'Cefn Dryscoed'!P14</f>
        <v>0</v>
      </c>
      <c r="Q14" s="102">
        <f>'Cefn Dryscoed'!Q14</f>
        <v>0</v>
      </c>
      <c r="R14" s="102">
        <f>'Cefn Dryscoed'!R14</f>
        <v>0</v>
      </c>
      <c r="S14" s="102">
        <f>'Cefn Dryscoed'!S14</f>
        <v>0</v>
      </c>
      <c r="T14" s="102">
        <f>'Cefn Dryscoed'!T14</f>
        <v>0</v>
      </c>
      <c r="U14" s="102">
        <f>'Cefn Dryscoed'!U14</f>
        <v>0</v>
      </c>
      <c r="V14" s="102">
        <f>'Cefn Dryscoed'!V14</f>
        <v>0</v>
      </c>
      <c r="AD14" s="30" t="s">
        <v>138</v>
      </c>
      <c r="AE14" s="30">
        <v>6</v>
      </c>
      <c r="AI14" s="53" t="s">
        <v>119</v>
      </c>
      <c r="AJ14" s="54">
        <v>0.8</v>
      </c>
      <c r="AK14" s="55">
        <v>1.7</v>
      </c>
      <c r="AL14" s="11">
        <v>12</v>
      </c>
      <c r="AM14" s="11">
        <v>6.7</v>
      </c>
      <c r="AN14" s="11" t="s">
        <v>135</v>
      </c>
    </row>
    <row r="15" spans="1:41" ht="13" x14ac:dyDescent="0.25">
      <c r="A15" s="135" t="s">
        <v>9</v>
      </c>
      <c r="B15" s="135"/>
      <c r="C15" s="60">
        <f>'Cefn Dryscoed'!C15</f>
        <v>38</v>
      </c>
      <c r="D15" s="60">
        <f>'Cefn Dryscoed'!D15</f>
        <v>38</v>
      </c>
      <c r="E15" s="60">
        <f>'Cefn Dryscoed'!E15</f>
        <v>38</v>
      </c>
      <c r="F15" s="60">
        <f>'Cefn Dryscoed'!F15</f>
        <v>38</v>
      </c>
      <c r="G15" s="60">
        <f>'Cefn Dryscoed'!G15</f>
        <v>38</v>
      </c>
      <c r="H15" s="60">
        <f>'Cefn Dryscoed'!H15</f>
        <v>38</v>
      </c>
      <c r="I15" s="60">
        <f>'Cefn Dryscoed'!I15</f>
        <v>38</v>
      </c>
      <c r="J15" s="60">
        <f>'Cefn Dryscoed'!J15</f>
        <v>38</v>
      </c>
      <c r="K15" s="60">
        <f>'Cefn Dryscoed'!K15</f>
        <v>38</v>
      </c>
      <c r="L15" s="60">
        <f>'Cefn Dryscoed'!L15</f>
        <v>38</v>
      </c>
      <c r="M15" s="60">
        <f>'Cefn Dryscoed'!M15</f>
        <v>5.5</v>
      </c>
      <c r="N15" s="60">
        <f>'Cefn Dryscoed'!N15</f>
        <v>38</v>
      </c>
      <c r="O15" s="60">
        <f>'Cefn Dryscoed'!O15</f>
        <v>0</v>
      </c>
      <c r="P15" s="60">
        <f>'Cefn Dryscoed'!P15</f>
        <v>0</v>
      </c>
      <c r="Q15" s="60">
        <f>'Cefn Dryscoed'!Q15</f>
        <v>0</v>
      </c>
      <c r="R15" s="60">
        <f>'Cefn Dryscoed'!R15</f>
        <v>0</v>
      </c>
      <c r="S15" s="60">
        <f>'Cefn Dryscoed'!S15</f>
        <v>0</v>
      </c>
      <c r="T15" s="60">
        <f>'Cefn Dryscoed'!T15</f>
        <v>0</v>
      </c>
      <c r="U15" s="60">
        <f>'Cefn Dryscoed'!U15</f>
        <v>0</v>
      </c>
      <c r="V15" s="60">
        <f>'Cefn Dryscoed'!V15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'Cefn Dryscoed'!C16</f>
        <v>Medium/Clay</v>
      </c>
      <c r="D16" s="103" t="str">
        <f>'Cefn Dryscoed'!D16</f>
        <v>Medium/Clay</v>
      </c>
      <c r="E16" s="103" t="str">
        <f>'Cefn Dryscoed'!E16</f>
        <v>Medium/Clay</v>
      </c>
      <c r="F16" s="103" t="str">
        <f>'Cefn Dryscoed'!F16</f>
        <v>Medium/Clay</v>
      </c>
      <c r="G16" s="103" t="str">
        <f>'Cefn Dryscoed'!G16</f>
        <v>Medium/Clay</v>
      </c>
      <c r="H16" s="103" t="str">
        <f>'Cefn Dryscoed'!H16</f>
        <v>Medium/Clay</v>
      </c>
      <c r="I16" s="103" t="str">
        <f>'Cefn Dryscoed'!I16</f>
        <v>Medium/Clay</v>
      </c>
      <c r="J16" s="103" t="str">
        <f>'Cefn Dryscoed'!J16</f>
        <v>Medium/Clay</v>
      </c>
      <c r="K16" s="103" t="str">
        <f>'Cefn Dryscoed'!K16</f>
        <v>Medium/Clay</v>
      </c>
      <c r="L16" s="103" t="str">
        <f>'Cefn Dryscoed'!L16</f>
        <v>Medium/Clay</v>
      </c>
      <c r="M16" s="103" t="str">
        <f>'Cefn Dryscoed'!M16</f>
        <v>Medium/Clay</v>
      </c>
      <c r="N16" s="103" t="str">
        <f>'Cefn Dryscoed'!N16</f>
        <v>Medium/Clay</v>
      </c>
      <c r="O16" s="103">
        <f>'Cefn Dryscoed'!O16</f>
        <v>0</v>
      </c>
      <c r="P16" s="103">
        <f>'Cefn Dryscoed'!P16</f>
        <v>0</v>
      </c>
      <c r="Q16" s="103">
        <f>'Cefn Dryscoed'!Q16</f>
        <v>0</v>
      </c>
      <c r="R16" s="103">
        <f>'Cefn Dryscoed'!R16</f>
        <v>0</v>
      </c>
      <c r="S16" s="103">
        <f>'Cefn Dryscoed'!S16</f>
        <v>0</v>
      </c>
      <c r="T16" s="103">
        <f>'Cefn Dryscoed'!T16</f>
        <v>0</v>
      </c>
      <c r="U16" s="103">
        <f>'Cefn Dryscoed'!U16</f>
        <v>0</v>
      </c>
      <c r="V16" s="103">
        <f>'Cefn Dryscoed'!V16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f t="shared" si="0"/>
        <v>46.75</v>
      </c>
      <c r="N17" s="28">
        <f t="shared" si="0"/>
        <v>79.8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7.8609937499999987</v>
      </c>
      <c r="D18" s="16">
        <f>$D32</f>
        <v>7.8609937499999987</v>
      </c>
      <c r="E18" s="16">
        <f>$D33</f>
        <v>7.8609937499999987</v>
      </c>
      <c r="F18" s="16">
        <f>$D34</f>
        <v>0</v>
      </c>
      <c r="G18" s="16">
        <f>$D35</f>
        <v>7.8609937499999987</v>
      </c>
      <c r="H18" s="16">
        <f>$D36</f>
        <v>7.8609937499999987</v>
      </c>
      <c r="I18" s="16">
        <f>$D37</f>
        <v>7.8609937499999987</v>
      </c>
      <c r="J18" s="16">
        <f>$D38</f>
        <v>7.8609937499999987</v>
      </c>
      <c r="K18" s="16">
        <f>$D39</f>
        <v>7.8609937499999987</v>
      </c>
      <c r="L18" s="16">
        <f>$D40</f>
        <v>7.8609937499999987</v>
      </c>
      <c r="M18" s="16">
        <f>$D41</f>
        <v>7.8609937499999987</v>
      </c>
      <c r="N18" s="16">
        <f>$D42</f>
        <v>7.8609937499999987</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-71.939006250000006</v>
      </c>
      <c r="D19" s="16">
        <f t="shared" ref="D19:V19" si="1">D18-D17</f>
        <v>-71.939006250000006</v>
      </c>
      <c r="E19" s="16">
        <f t="shared" si="1"/>
        <v>-71.939006250000006</v>
      </c>
      <c r="F19" s="16">
        <f t="shared" si="1"/>
        <v>-79.8</v>
      </c>
      <c r="G19" s="16">
        <f t="shared" si="1"/>
        <v>-71.939006250000006</v>
      </c>
      <c r="H19" s="16">
        <f t="shared" si="1"/>
        <v>-71.939006250000006</v>
      </c>
      <c r="I19" s="16">
        <f t="shared" si="1"/>
        <v>-71.939006250000006</v>
      </c>
      <c r="J19" s="16">
        <f t="shared" si="1"/>
        <v>-71.939006250000006</v>
      </c>
      <c r="K19" s="16">
        <f t="shared" si="1"/>
        <v>-71.939006250000006</v>
      </c>
      <c r="L19" s="16">
        <f t="shared" si="1"/>
        <v>-71.939006250000006</v>
      </c>
      <c r="M19" s="16">
        <f t="shared" si="1"/>
        <v>-38.889006250000001</v>
      </c>
      <c r="N19" s="16">
        <f t="shared" si="1"/>
        <v>-71.939006250000006</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f t="shared" si="2"/>
        <v>66</v>
      </c>
      <c r="N21" s="28">
        <f t="shared" si="2"/>
        <v>273.60000000000002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2.1867737500000004</v>
      </c>
      <c r="D22" s="16">
        <f>$E32</f>
        <v>2.1867737500000004</v>
      </c>
      <c r="E22" s="16">
        <f>$E33</f>
        <v>2.1867737500000004</v>
      </c>
      <c r="F22" s="16">
        <f>$E34</f>
        <v>0</v>
      </c>
      <c r="G22" s="16">
        <f>$E35</f>
        <v>2.1867737500000004</v>
      </c>
      <c r="H22" s="16">
        <f>$E36</f>
        <v>2.1867737500000004</v>
      </c>
      <c r="I22" s="16">
        <f>$E37</f>
        <v>2.1867737500000004</v>
      </c>
      <c r="J22" s="16">
        <f>$E38</f>
        <v>2.1867737500000004</v>
      </c>
      <c r="K22" s="16">
        <f>$E39</f>
        <v>2.1867737500000004</v>
      </c>
      <c r="L22" s="16">
        <f>$E40</f>
        <v>2.1867737500000004</v>
      </c>
      <c r="M22" s="16">
        <f>$E41</f>
        <v>2.1867737500000004</v>
      </c>
      <c r="N22" s="16">
        <f>$E42</f>
        <v>2.1867737500000004</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-271.41322625000004</v>
      </c>
      <c r="D23" s="16">
        <f t="shared" ref="D23:V23" si="3">D22-D21</f>
        <v>-271.41322625000004</v>
      </c>
      <c r="E23" s="16">
        <f t="shared" si="3"/>
        <v>-271.41322625000004</v>
      </c>
      <c r="F23" s="16">
        <f t="shared" si="3"/>
        <v>-273.60000000000002</v>
      </c>
      <c r="G23" s="16">
        <f t="shared" si="3"/>
        <v>-271.41322625000004</v>
      </c>
      <c r="H23" s="16">
        <f t="shared" si="3"/>
        <v>-271.41322625000004</v>
      </c>
      <c r="I23" s="16">
        <f t="shared" si="3"/>
        <v>-271.41322625000004</v>
      </c>
      <c r="J23" s="16">
        <f t="shared" si="3"/>
        <v>-271.41322625000004</v>
      </c>
      <c r="K23" s="16">
        <f t="shared" si="3"/>
        <v>-271.41322625000004</v>
      </c>
      <c r="L23" s="16">
        <f t="shared" si="3"/>
        <v>-271.41322625000004</v>
      </c>
      <c r="M23" s="16">
        <f t="shared" si="3"/>
        <v>-63.81322625</v>
      </c>
      <c r="N23" s="16">
        <f t="shared" si="3"/>
        <v>-271.41322625000004</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3.05</v>
      </c>
      <c r="C28" s="15">
        <v>0.75</v>
      </c>
      <c r="D28" s="15">
        <v>4.4999999999999998E-2</v>
      </c>
      <c r="E28" s="15">
        <v>2.3800000000000002E-2</v>
      </c>
      <c r="F28" s="15">
        <v>617</v>
      </c>
      <c r="G28" s="15">
        <v>24.6</v>
      </c>
      <c r="H28" s="15">
        <v>130</v>
      </c>
      <c r="I28" s="15">
        <v>14.6</v>
      </c>
      <c r="J28" s="15">
        <v>0.31</v>
      </c>
      <c r="K28" s="23">
        <v>1.32</v>
      </c>
      <c r="L28" s="15">
        <v>28.1</v>
      </c>
      <c r="M28" s="15">
        <v>7.8</v>
      </c>
      <c r="N28" s="15">
        <v>2120</v>
      </c>
      <c r="O28" s="15">
        <v>387000</v>
      </c>
      <c r="P28" s="15"/>
      <c r="Q28" s="15">
        <v>4410</v>
      </c>
      <c r="R28" s="15"/>
      <c r="S28" s="15">
        <v>33.299999999999997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17 Acres</v>
      </c>
      <c r="B31" s="15">
        <v>250</v>
      </c>
      <c r="C31" s="77">
        <f>IF(C$27="%w/w SAR",((C$28*10)*$B31),IF(C$27="%w/w DM",(((C$28*10)*($B$28/100))*$B31),IF(C$27="kg/t SAR",(C$28*$B31),IF(C$27="kg/t DM",((C$28*($B$28/100))*$B31),IF(C$27="mg/kg SAR",((C$28*0.001)*$B31),IF(C$27="mg/kg DM",(((C$28*0.001)*($B$28/100))*$B31),0))))))</f>
        <v>57.1875</v>
      </c>
      <c r="D31" s="77">
        <f>(IF(D$27="%w/w SAR",((D$28*10)*$B31),IF(D$27="%w/w DM",(((D$28*10)*($B$28/100))*$B31),IF(D$27="kg/t SAR",(D$28*$B31),IF(D$27="kg/t DM",((D$28*($B$28/100))*$B31),IF(D$27="mg/kg SAR",((D$28*0.001)*$B31),IF(D$27="mg/kg DM",(((D$28*0.001)*($B$28/100))*$B31),"0")))))))*2.291</f>
        <v>7.8609937499999987</v>
      </c>
      <c r="E31" s="77">
        <f>(IF(E$27="%w/w SAR",((E$28*10)*$B31),IF(E$27="%w/w DM",(((E$28*10)*($B$28/100))*$B31),IF(E$27="kg/t SAR",(E$28*$B31),IF(E$27="kg/t DM",((E$28*($B$28/100))*$B31),IF(E$27="mg/kg SAR",((E$28*0.001)*$B31),IF(E$27="mg/kg DM",(((E$28*0.001)*($B$28/100))*$B31),"0")))))))*1.205</f>
        <v>2.1867737500000004</v>
      </c>
      <c r="F31" s="77">
        <f>(IF(F$27="%w/w SAR",((F$28*10)*$B31),IF(F$27="%w/w DM",(((F$28*10)*($B$28/100))*$B31),IF(F$27="kg/t SAR",(F$28*$B31),IF(F$27="kg/t DM",((F$28*($B$28/100))*$B31),IF(F$27="mg/kg SAR",((F$28*0.001)*$B31),IF(F$27="mg/kg DM",(((F$28*0.001)*($B$28/100))*$B31),"0")))))))*1.658</f>
        <v>7.8002682499999985</v>
      </c>
      <c r="G31" s="77">
        <f t="shared" ref="G31:P46" si="5">IF(G$27="%w/w SAR",((G$28*10)*$B31),IF(G$27="%w/w DM",(((G$28*10)*($B$28/100))*$B31),IF(G$27="kg/t SAR",(G$28*$B31),IF(G$27="kg/t DM",((G$28*($B$28/100))*$B31),IF(G$27="mg/kg SAR",((G$28*0.001)*$B31),IF(G$27="mg/kg DM",(((G$28*0.001)*($B$28/100))*$B31),0))))))</f>
        <v>0.18757499999999999</v>
      </c>
      <c r="H31" s="77">
        <f t="shared" si="5"/>
        <v>0.99124999999999996</v>
      </c>
      <c r="I31" s="77">
        <f t="shared" si="5"/>
        <v>0.11132499999999999</v>
      </c>
      <c r="J31" s="77">
        <f t="shared" si="5"/>
        <v>2.36375E-3</v>
      </c>
      <c r="K31" s="77">
        <f t="shared" si="5"/>
        <v>1.0064999999999999E-2</v>
      </c>
      <c r="L31" s="77">
        <f t="shared" si="5"/>
        <v>0.21426250000000002</v>
      </c>
      <c r="M31" s="77">
        <f t="shared" si="5"/>
        <v>5.9474999999999993E-2</v>
      </c>
      <c r="N31" s="77">
        <f t="shared" si="5"/>
        <v>16.164999999999999</v>
      </c>
      <c r="O31" s="77">
        <f t="shared" si="5"/>
        <v>2950.875</v>
      </c>
      <c r="P31" s="77">
        <f t="shared" si="5"/>
        <v>0</v>
      </c>
      <c r="Q31" s="77">
        <f>(IF(Q$27="%w/w SAR",((Q$28*10)*$B31),IF(Q$27="%w/w DM",(((Q$28*10)*($B$28/100))*$B31),IF(Q$27="kg/t SAR",(Q$28*$B31),IF(Q$27="kg/t DM",((Q$28*($B$28/100))*$B31),IF(Q$27="mg/kg SAR",((Q$28*0.001)*$B31),IF(Q$27="mg/kg DM",(((Q$28*0.001)*($B$28/100))*$B31),0)))))))*2.5</f>
        <v>84.065625000000011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0.25391249999999999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Top Pentwyn</v>
      </c>
      <c r="B32" s="15">
        <v>250</v>
      </c>
      <c r="C32" s="77">
        <f t="shared" ref="C32:C50" si="6">IF(C$27="%w/w SAR",((C$28*10)*$B32),IF(C$27="%w/w DM",(((C$28*10)*($B$28/100))*$B32),IF(C$27="kg/t SAR",(C$28*$B32),IF(C$27="kg/t DM",((C$28*($B$28/100))*$B32),IF(C$27="mg/kg SAR",((C$28*0.001)*$B32),IF(C$27="mg/kg DM",(((C$28*0.001)*($B$28/100))*$B32),0))))))</f>
        <v>57.1875</v>
      </c>
      <c r="D32" s="77">
        <f t="shared" ref="D32:D50" si="7">(IF(D$27="%w/w SAR",((D$28*10)*$B32),IF(D$27="%w/w DM",(((D$28*10)*($B$28/100))*$B32),IF(D$27="kg/t SAR",(D$28*$B32),IF(D$27="kg/t DM",((D$28*($B$28/100))*$B32),IF(D$27="mg/kg SAR",((D$28*0.001)*$B32),IF(D$27="mg/kg DM",(((D$28*0.001)*($B$28/100))*$B32),"0")))))))*2.291</f>
        <v>7.8609937499999987</v>
      </c>
      <c r="E32" s="77">
        <f t="shared" ref="E32:E50" si="8">(IF(E$27="%w/w SAR",((E$28*10)*$B32),IF(E$27="%w/w DM",(((E$28*10)*($B$28/100))*$B32),IF(E$27="kg/t SAR",(E$28*$B32),IF(E$27="kg/t DM",((E$28*($B$28/100))*$B32),IF(E$27="mg/kg SAR",((E$28*0.001)*$B32),IF(E$27="mg/kg DM",(((E$28*0.001)*($B$28/100))*$B32),"0")))))))*1.205</f>
        <v>2.1867737500000004</v>
      </c>
      <c r="F32" s="77">
        <f t="shared" ref="F32:F50" si="9">(IF(F$27="%w/w SAR",((F$28*10)*$B32),IF(F$27="%w/w DM",(((F$28*10)*($B$28/100))*$B32),IF(F$27="kg/t SAR",(F$28*$B32),IF(F$27="kg/t DM",((F$28*($B$28/100))*$B32),IF(F$27="mg/kg SAR",((F$28*0.001)*$B32),IF(F$27="mg/kg DM",(((F$28*0.001)*($B$28/100))*$B32),"0")))))))*1.658</f>
        <v>7.8002682499999985</v>
      </c>
      <c r="G32" s="77">
        <f t="shared" si="5"/>
        <v>0.18757499999999999</v>
      </c>
      <c r="H32" s="77">
        <f t="shared" si="5"/>
        <v>0.99124999999999996</v>
      </c>
      <c r="I32" s="77">
        <f t="shared" si="5"/>
        <v>0.11132499999999999</v>
      </c>
      <c r="J32" s="77">
        <f t="shared" si="5"/>
        <v>2.36375E-3</v>
      </c>
      <c r="K32" s="77">
        <f t="shared" si="5"/>
        <v>1.0064999999999999E-2</v>
      </c>
      <c r="L32" s="77">
        <f t="shared" si="5"/>
        <v>0.21426250000000002</v>
      </c>
      <c r="M32" s="77">
        <f t="shared" si="5"/>
        <v>5.9474999999999993E-2</v>
      </c>
      <c r="N32" s="77">
        <f t="shared" si="5"/>
        <v>16.164999999999999</v>
      </c>
      <c r="O32" s="77">
        <f t="shared" si="5"/>
        <v>2950.875</v>
      </c>
      <c r="P32" s="77">
        <f t="shared" si="5"/>
        <v>0</v>
      </c>
      <c r="Q32" s="77">
        <f t="shared" ref="Q32:Q50" si="10">(IF(Q$27="%w/w SAR",((Q$28*10)*$B32),IF(Q$27="%w/w DM",(((Q$28*10)*($B$28/100))*$B32),IF(Q$27="kg/t SAR",(Q$28*$B32),IF(Q$27="kg/t DM",((Q$28*($B$28/100))*$B32),IF(Q$27="mg/kg SAR",((Q$28*0.001)*$B32),IF(Q$27="mg/kg DM",(((Q$28*0.001)*($B$28/100))*$B32),0)))))))*2.5</f>
        <v>84.065625000000011</v>
      </c>
      <c r="R32" s="77">
        <f t="shared" ref="R32:U50" si="11">IF(R$27="%w/w SAR",((R$28*10)*$B32),IF(R$27="%w/w DM",(((R$28*10)*($B$28/100))*$B32),IF(R$27="kg/t SAR",(R$28*$B32),IF(R$27="kg/t DM",((R$28*($B$28/100))*$B32),IF(R$27="mg/kg SAR",((R$28*0.001)*$B32),IF(R$27="mg/kg DM",(((R$28*0.001)*($B$28/100))*$B32),0))))))</f>
        <v>0</v>
      </c>
      <c r="S32" s="77">
        <f t="shared" si="11"/>
        <v>0.25391249999999999</v>
      </c>
      <c r="T32" s="77">
        <f t="shared" si="11"/>
        <v>0</v>
      </c>
      <c r="U32" s="77">
        <f t="shared" si="11"/>
        <v>0</v>
      </c>
      <c r="AB32" s="59"/>
      <c r="AC32" s="59"/>
      <c r="AD32" s="59"/>
      <c r="AE32" s="59"/>
      <c r="AF32" s="59"/>
      <c r="AG32" s="59"/>
      <c r="AH32" s="59"/>
      <c r="AI32" s="59"/>
    </row>
    <row r="33" spans="1:35" s="72" customFormat="1" ht="13" x14ac:dyDescent="0.35">
      <c r="A33" s="13" t="str">
        <f>E8</f>
        <v xml:space="preserve">Bottom Pentwyn </v>
      </c>
      <c r="B33" s="15">
        <v>250</v>
      </c>
      <c r="C33" s="77">
        <f t="shared" si="6"/>
        <v>57.1875</v>
      </c>
      <c r="D33" s="77">
        <f t="shared" si="7"/>
        <v>7.8609937499999987</v>
      </c>
      <c r="E33" s="77">
        <f t="shared" si="8"/>
        <v>2.1867737500000004</v>
      </c>
      <c r="F33" s="77">
        <f t="shared" si="9"/>
        <v>7.8002682499999985</v>
      </c>
      <c r="G33" s="77">
        <f t="shared" si="5"/>
        <v>0.18757499999999999</v>
      </c>
      <c r="H33" s="77">
        <f t="shared" si="5"/>
        <v>0.99124999999999996</v>
      </c>
      <c r="I33" s="77">
        <f t="shared" si="5"/>
        <v>0.11132499999999999</v>
      </c>
      <c r="J33" s="77">
        <f t="shared" si="5"/>
        <v>2.36375E-3</v>
      </c>
      <c r="K33" s="77">
        <f t="shared" si="5"/>
        <v>1.0064999999999999E-2</v>
      </c>
      <c r="L33" s="77">
        <f t="shared" si="5"/>
        <v>0.21426250000000002</v>
      </c>
      <c r="M33" s="77">
        <f t="shared" si="5"/>
        <v>5.9474999999999993E-2</v>
      </c>
      <c r="N33" s="77">
        <f t="shared" si="5"/>
        <v>16.164999999999999</v>
      </c>
      <c r="O33" s="77">
        <f t="shared" si="5"/>
        <v>2950.875</v>
      </c>
      <c r="P33" s="77">
        <f t="shared" si="5"/>
        <v>0</v>
      </c>
      <c r="Q33" s="77">
        <f t="shared" si="10"/>
        <v>84.065625000000011</v>
      </c>
      <c r="R33" s="77">
        <f t="shared" si="11"/>
        <v>0</v>
      </c>
      <c r="S33" s="77">
        <f t="shared" si="11"/>
        <v>0.25391249999999999</v>
      </c>
      <c r="T33" s="77">
        <f t="shared" si="11"/>
        <v>0</v>
      </c>
      <c r="U33" s="77">
        <f t="shared" si="11"/>
        <v>0</v>
      </c>
      <c r="AB33" s="59"/>
      <c r="AC33" s="59"/>
      <c r="AD33" s="59"/>
      <c r="AE33" s="59"/>
      <c r="AF33" s="59"/>
      <c r="AG33" s="59"/>
      <c r="AH33" s="59"/>
      <c r="AI33" s="59"/>
    </row>
    <row r="34" spans="1:35" s="72" customFormat="1" ht="13" x14ac:dyDescent="0.35">
      <c r="A34" s="13" t="str">
        <f>F8</f>
        <v xml:space="preserve">Lodge </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Pentwyn Corner</v>
      </c>
      <c r="B35" s="15">
        <v>250</v>
      </c>
      <c r="C35" s="77">
        <f t="shared" si="6"/>
        <v>57.1875</v>
      </c>
      <c r="D35" s="77">
        <f t="shared" si="7"/>
        <v>7.8609937499999987</v>
      </c>
      <c r="E35" s="77">
        <f t="shared" si="8"/>
        <v>2.1867737500000004</v>
      </c>
      <c r="F35" s="77">
        <f t="shared" si="9"/>
        <v>7.8002682499999985</v>
      </c>
      <c r="G35" s="77">
        <f t="shared" si="5"/>
        <v>0.18757499999999999</v>
      </c>
      <c r="H35" s="77">
        <f t="shared" si="5"/>
        <v>0.99124999999999996</v>
      </c>
      <c r="I35" s="77">
        <f t="shared" si="5"/>
        <v>0.11132499999999999</v>
      </c>
      <c r="J35" s="77">
        <f t="shared" si="5"/>
        <v>2.36375E-3</v>
      </c>
      <c r="K35" s="77">
        <f t="shared" si="5"/>
        <v>1.0064999999999999E-2</v>
      </c>
      <c r="L35" s="77">
        <f t="shared" si="5"/>
        <v>0.21426250000000002</v>
      </c>
      <c r="M35" s="77">
        <f t="shared" si="5"/>
        <v>5.9474999999999993E-2</v>
      </c>
      <c r="N35" s="77">
        <f t="shared" si="5"/>
        <v>16.164999999999999</v>
      </c>
      <c r="O35" s="77">
        <f t="shared" si="5"/>
        <v>2950.875</v>
      </c>
      <c r="P35" s="77">
        <f t="shared" si="5"/>
        <v>0</v>
      </c>
      <c r="Q35" s="77">
        <f t="shared" si="10"/>
        <v>84.065625000000011</v>
      </c>
      <c r="R35" s="77">
        <f t="shared" si="11"/>
        <v>0</v>
      </c>
      <c r="S35" s="77">
        <f t="shared" si="11"/>
        <v>0.25391249999999999</v>
      </c>
      <c r="T35" s="77">
        <f t="shared" si="11"/>
        <v>0</v>
      </c>
      <c r="U35" s="77">
        <f t="shared" si="11"/>
        <v>0</v>
      </c>
      <c r="AB35" s="59"/>
      <c r="AC35" s="59"/>
      <c r="AD35" s="59"/>
      <c r="AE35" s="59"/>
      <c r="AF35" s="59"/>
      <c r="AG35" s="59"/>
      <c r="AH35" s="59"/>
      <c r="AI35" s="59"/>
    </row>
    <row r="36" spans="1:35" s="72" customFormat="1" ht="13" x14ac:dyDescent="0.35">
      <c r="A36" s="13" t="str">
        <f>H8</f>
        <v>16 Acres</v>
      </c>
      <c r="B36" s="15">
        <v>250</v>
      </c>
      <c r="C36" s="77">
        <f t="shared" si="6"/>
        <v>57.1875</v>
      </c>
      <c r="D36" s="77">
        <f t="shared" si="7"/>
        <v>7.8609937499999987</v>
      </c>
      <c r="E36" s="77">
        <f t="shared" si="8"/>
        <v>2.1867737500000004</v>
      </c>
      <c r="F36" s="77">
        <f t="shared" si="9"/>
        <v>7.8002682499999985</v>
      </c>
      <c r="G36" s="77">
        <f t="shared" si="5"/>
        <v>0.18757499999999999</v>
      </c>
      <c r="H36" s="77">
        <f t="shared" si="5"/>
        <v>0.99124999999999996</v>
      </c>
      <c r="I36" s="77">
        <f t="shared" si="5"/>
        <v>0.11132499999999999</v>
      </c>
      <c r="J36" s="77">
        <f t="shared" si="5"/>
        <v>2.36375E-3</v>
      </c>
      <c r="K36" s="77">
        <f t="shared" si="5"/>
        <v>1.0064999999999999E-2</v>
      </c>
      <c r="L36" s="77">
        <f t="shared" si="5"/>
        <v>0.21426250000000002</v>
      </c>
      <c r="M36" s="77">
        <f t="shared" si="5"/>
        <v>5.9474999999999993E-2</v>
      </c>
      <c r="N36" s="77">
        <f t="shared" si="5"/>
        <v>16.164999999999999</v>
      </c>
      <c r="O36" s="77">
        <f t="shared" si="5"/>
        <v>2950.875</v>
      </c>
      <c r="P36" s="77">
        <f t="shared" si="5"/>
        <v>0</v>
      </c>
      <c r="Q36" s="77">
        <f t="shared" si="10"/>
        <v>84.065625000000011</v>
      </c>
      <c r="R36" s="77">
        <f t="shared" si="11"/>
        <v>0</v>
      </c>
      <c r="S36" s="77">
        <f t="shared" si="11"/>
        <v>0.25391249999999999</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57.1875</v>
      </c>
      <c r="D37" s="77">
        <f t="shared" si="7"/>
        <v>7.8609937499999987</v>
      </c>
      <c r="E37" s="77">
        <f t="shared" si="8"/>
        <v>2.1867737500000004</v>
      </c>
      <c r="F37" s="77">
        <f t="shared" si="9"/>
        <v>7.8002682499999985</v>
      </c>
      <c r="G37" s="77">
        <f t="shared" si="5"/>
        <v>0.18757499999999999</v>
      </c>
      <c r="H37" s="77">
        <f t="shared" si="5"/>
        <v>0.99124999999999996</v>
      </c>
      <c r="I37" s="77">
        <f t="shared" si="5"/>
        <v>0.11132499999999999</v>
      </c>
      <c r="J37" s="77">
        <f t="shared" si="5"/>
        <v>2.36375E-3</v>
      </c>
      <c r="K37" s="77">
        <f t="shared" si="5"/>
        <v>1.0064999999999999E-2</v>
      </c>
      <c r="L37" s="77">
        <f t="shared" si="5"/>
        <v>0.21426250000000002</v>
      </c>
      <c r="M37" s="77">
        <f t="shared" si="5"/>
        <v>5.9474999999999993E-2</v>
      </c>
      <c r="N37" s="77">
        <f t="shared" si="5"/>
        <v>16.164999999999999</v>
      </c>
      <c r="O37" s="77">
        <f t="shared" si="5"/>
        <v>2950.875</v>
      </c>
      <c r="P37" s="77">
        <f t="shared" si="5"/>
        <v>0</v>
      </c>
      <c r="Q37" s="77">
        <f t="shared" si="10"/>
        <v>84.065625000000011</v>
      </c>
      <c r="R37" s="77">
        <f t="shared" si="11"/>
        <v>0</v>
      </c>
      <c r="S37" s="77">
        <f t="shared" si="11"/>
        <v>0.25391249999999999</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57.1875</v>
      </c>
      <c r="D38" s="77">
        <f t="shared" si="7"/>
        <v>7.8609937499999987</v>
      </c>
      <c r="E38" s="77">
        <f t="shared" si="8"/>
        <v>2.1867737500000004</v>
      </c>
      <c r="F38" s="77">
        <f t="shared" si="9"/>
        <v>7.8002682499999985</v>
      </c>
      <c r="G38" s="77">
        <f t="shared" si="5"/>
        <v>0.18757499999999999</v>
      </c>
      <c r="H38" s="77">
        <f t="shared" si="5"/>
        <v>0.99124999999999996</v>
      </c>
      <c r="I38" s="77">
        <f t="shared" si="5"/>
        <v>0.11132499999999999</v>
      </c>
      <c r="J38" s="77">
        <f t="shared" si="5"/>
        <v>2.36375E-3</v>
      </c>
      <c r="K38" s="77">
        <f t="shared" si="5"/>
        <v>1.0064999999999999E-2</v>
      </c>
      <c r="L38" s="77">
        <f t="shared" si="5"/>
        <v>0.21426250000000002</v>
      </c>
      <c r="M38" s="77">
        <f t="shared" si="5"/>
        <v>5.9474999999999993E-2</v>
      </c>
      <c r="N38" s="77">
        <f t="shared" si="5"/>
        <v>16.164999999999999</v>
      </c>
      <c r="O38" s="77">
        <f t="shared" si="5"/>
        <v>2950.875</v>
      </c>
      <c r="P38" s="77">
        <f t="shared" si="5"/>
        <v>0</v>
      </c>
      <c r="Q38" s="77">
        <f t="shared" si="10"/>
        <v>84.065625000000011</v>
      </c>
      <c r="R38" s="77">
        <f t="shared" si="11"/>
        <v>0</v>
      </c>
      <c r="S38" s="77">
        <f t="shared" si="11"/>
        <v>0.25391249999999999</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57.1875</v>
      </c>
      <c r="D39" s="77">
        <f t="shared" si="7"/>
        <v>7.8609937499999987</v>
      </c>
      <c r="E39" s="77">
        <f t="shared" si="8"/>
        <v>2.1867737500000004</v>
      </c>
      <c r="F39" s="77">
        <f t="shared" si="9"/>
        <v>7.8002682499999985</v>
      </c>
      <c r="G39" s="77">
        <f t="shared" si="5"/>
        <v>0.18757499999999999</v>
      </c>
      <c r="H39" s="77">
        <f t="shared" si="5"/>
        <v>0.99124999999999996</v>
      </c>
      <c r="I39" s="77">
        <f t="shared" si="5"/>
        <v>0.11132499999999999</v>
      </c>
      <c r="J39" s="77">
        <f t="shared" si="5"/>
        <v>2.36375E-3</v>
      </c>
      <c r="K39" s="77">
        <f t="shared" si="5"/>
        <v>1.0064999999999999E-2</v>
      </c>
      <c r="L39" s="77">
        <f t="shared" si="5"/>
        <v>0.21426250000000002</v>
      </c>
      <c r="M39" s="77">
        <f t="shared" si="5"/>
        <v>5.9474999999999993E-2</v>
      </c>
      <c r="N39" s="77">
        <f t="shared" si="5"/>
        <v>16.164999999999999</v>
      </c>
      <c r="O39" s="77">
        <f t="shared" si="5"/>
        <v>2950.875</v>
      </c>
      <c r="P39" s="77">
        <f t="shared" si="5"/>
        <v>0</v>
      </c>
      <c r="Q39" s="77">
        <f t="shared" si="10"/>
        <v>84.065625000000011</v>
      </c>
      <c r="R39" s="77">
        <f t="shared" si="11"/>
        <v>0</v>
      </c>
      <c r="S39" s="77">
        <f t="shared" si="11"/>
        <v>0.25391249999999999</v>
      </c>
      <c r="T39" s="77">
        <f t="shared" si="11"/>
        <v>0</v>
      </c>
      <c r="U39" s="77">
        <f t="shared" si="11"/>
        <v>0</v>
      </c>
      <c r="AB39" s="59"/>
      <c r="AC39" s="59"/>
      <c r="AD39" s="59"/>
      <c r="AE39" s="59"/>
      <c r="AF39" s="59"/>
      <c r="AG39" s="59"/>
      <c r="AH39" s="59"/>
      <c r="AI39" s="59"/>
    </row>
    <row r="40" spans="1:35" s="72" customFormat="1" ht="13" x14ac:dyDescent="0.35">
      <c r="A40" s="13" t="str">
        <f>L8</f>
        <v>Sheep Shed</v>
      </c>
      <c r="B40" s="15">
        <v>250</v>
      </c>
      <c r="C40" s="77">
        <f t="shared" si="6"/>
        <v>57.1875</v>
      </c>
      <c r="D40" s="77">
        <f t="shared" si="7"/>
        <v>7.8609937499999987</v>
      </c>
      <c r="E40" s="77">
        <f t="shared" si="8"/>
        <v>2.1867737500000004</v>
      </c>
      <c r="F40" s="77">
        <f t="shared" si="9"/>
        <v>7.8002682499999985</v>
      </c>
      <c r="G40" s="77">
        <f t="shared" si="5"/>
        <v>0.18757499999999999</v>
      </c>
      <c r="H40" s="77">
        <f t="shared" si="5"/>
        <v>0.99124999999999996</v>
      </c>
      <c r="I40" s="77">
        <f t="shared" si="5"/>
        <v>0.11132499999999999</v>
      </c>
      <c r="J40" s="77">
        <f t="shared" si="5"/>
        <v>2.36375E-3</v>
      </c>
      <c r="K40" s="77">
        <f t="shared" si="5"/>
        <v>1.0064999999999999E-2</v>
      </c>
      <c r="L40" s="77">
        <f t="shared" si="5"/>
        <v>0.21426250000000002</v>
      </c>
      <c r="M40" s="77">
        <f t="shared" si="5"/>
        <v>5.9474999999999993E-2</v>
      </c>
      <c r="N40" s="77">
        <f t="shared" si="5"/>
        <v>16.164999999999999</v>
      </c>
      <c r="O40" s="77">
        <f t="shared" si="5"/>
        <v>2950.875</v>
      </c>
      <c r="P40" s="77">
        <f t="shared" si="5"/>
        <v>0</v>
      </c>
      <c r="Q40" s="77">
        <f t="shared" si="10"/>
        <v>84.065625000000011</v>
      </c>
      <c r="R40" s="77">
        <f t="shared" si="11"/>
        <v>0</v>
      </c>
      <c r="S40" s="77">
        <f t="shared" si="11"/>
        <v>0.25391249999999999</v>
      </c>
      <c r="T40" s="77">
        <f t="shared" si="11"/>
        <v>0</v>
      </c>
      <c r="U40" s="77">
        <f t="shared" si="11"/>
        <v>0</v>
      </c>
      <c r="AB40" s="59"/>
      <c r="AC40" s="59"/>
      <c r="AD40" s="59"/>
      <c r="AE40" s="59"/>
      <c r="AF40" s="59"/>
      <c r="AG40" s="59"/>
      <c r="AH40" s="59"/>
      <c r="AI40" s="59"/>
    </row>
    <row r="41" spans="1:35" s="72" customFormat="1" ht="13" x14ac:dyDescent="0.35">
      <c r="A41" s="13" t="str">
        <f>M8</f>
        <v>Badger Burry</v>
      </c>
      <c r="B41" s="15">
        <v>250</v>
      </c>
      <c r="C41" s="77">
        <f t="shared" si="6"/>
        <v>57.1875</v>
      </c>
      <c r="D41" s="77">
        <f t="shared" si="7"/>
        <v>7.8609937499999987</v>
      </c>
      <c r="E41" s="77">
        <f t="shared" si="8"/>
        <v>2.1867737500000004</v>
      </c>
      <c r="F41" s="77">
        <f t="shared" si="9"/>
        <v>7.8002682499999985</v>
      </c>
      <c r="G41" s="77">
        <f t="shared" si="5"/>
        <v>0.18757499999999999</v>
      </c>
      <c r="H41" s="77">
        <f t="shared" si="5"/>
        <v>0.99124999999999996</v>
      </c>
      <c r="I41" s="77">
        <f t="shared" si="5"/>
        <v>0.11132499999999999</v>
      </c>
      <c r="J41" s="77">
        <f t="shared" si="5"/>
        <v>2.36375E-3</v>
      </c>
      <c r="K41" s="77">
        <f t="shared" si="5"/>
        <v>1.0064999999999999E-2</v>
      </c>
      <c r="L41" s="77">
        <f t="shared" si="5"/>
        <v>0.21426250000000002</v>
      </c>
      <c r="M41" s="77">
        <f t="shared" si="5"/>
        <v>5.9474999999999993E-2</v>
      </c>
      <c r="N41" s="77">
        <f t="shared" si="5"/>
        <v>16.164999999999999</v>
      </c>
      <c r="O41" s="77">
        <f t="shared" si="5"/>
        <v>2950.875</v>
      </c>
      <c r="P41" s="77">
        <f t="shared" si="5"/>
        <v>0</v>
      </c>
      <c r="Q41" s="77">
        <f t="shared" si="10"/>
        <v>84.065625000000011</v>
      </c>
      <c r="R41" s="77">
        <f t="shared" si="11"/>
        <v>0</v>
      </c>
      <c r="S41" s="77">
        <f t="shared" si="11"/>
        <v>0.25391249999999999</v>
      </c>
      <c r="T41" s="77">
        <f t="shared" si="11"/>
        <v>0</v>
      </c>
      <c r="U41" s="77">
        <f t="shared" si="11"/>
        <v>0</v>
      </c>
      <c r="AB41" s="59"/>
      <c r="AC41" s="59"/>
      <c r="AD41" s="59"/>
      <c r="AE41" s="59"/>
      <c r="AF41" s="59"/>
      <c r="AG41" s="59"/>
      <c r="AH41" s="59"/>
      <c r="AI41" s="59"/>
    </row>
    <row r="42" spans="1:35" s="72" customFormat="1" ht="13" x14ac:dyDescent="0.35">
      <c r="A42" s="13" t="str">
        <f>N8</f>
        <v>Long meadow</v>
      </c>
      <c r="B42" s="15">
        <v>250</v>
      </c>
      <c r="C42" s="77">
        <f t="shared" si="6"/>
        <v>57.1875</v>
      </c>
      <c r="D42" s="77">
        <f t="shared" si="7"/>
        <v>7.8609937499999987</v>
      </c>
      <c r="E42" s="77">
        <f t="shared" si="8"/>
        <v>2.1867737500000004</v>
      </c>
      <c r="F42" s="77">
        <f t="shared" si="9"/>
        <v>7.8002682499999985</v>
      </c>
      <c r="G42" s="77">
        <f t="shared" si="5"/>
        <v>0.18757499999999999</v>
      </c>
      <c r="H42" s="77">
        <f t="shared" si="5"/>
        <v>0.99124999999999996</v>
      </c>
      <c r="I42" s="77">
        <f t="shared" si="5"/>
        <v>0.11132499999999999</v>
      </c>
      <c r="J42" s="77">
        <f t="shared" si="5"/>
        <v>2.36375E-3</v>
      </c>
      <c r="K42" s="77">
        <f t="shared" si="5"/>
        <v>1.0064999999999999E-2</v>
      </c>
      <c r="L42" s="77">
        <f t="shared" si="5"/>
        <v>0.21426250000000002</v>
      </c>
      <c r="M42" s="77">
        <f t="shared" si="5"/>
        <v>5.9474999999999993E-2</v>
      </c>
      <c r="N42" s="77">
        <f t="shared" si="5"/>
        <v>16.164999999999999</v>
      </c>
      <c r="O42" s="77">
        <f t="shared" si="5"/>
        <v>2950.875</v>
      </c>
      <c r="P42" s="77">
        <f t="shared" si="5"/>
        <v>0</v>
      </c>
      <c r="Q42" s="77">
        <f t="shared" si="10"/>
        <v>84.065625000000011</v>
      </c>
      <c r="R42" s="77">
        <f t="shared" si="11"/>
        <v>0</v>
      </c>
      <c r="S42" s="77">
        <f t="shared" si="11"/>
        <v>0.25391249999999999</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17 Acres</v>
      </c>
      <c r="C57" s="8" t="str">
        <f t="shared" ref="C57:U57" si="13">D8</f>
        <v>Top Pentwyn</v>
      </c>
      <c r="D57" s="8" t="str">
        <f t="shared" si="13"/>
        <v xml:space="preserve">Bottom Pentwyn </v>
      </c>
      <c r="E57" s="8" t="str">
        <f t="shared" si="13"/>
        <v xml:space="preserve">Lodge </v>
      </c>
      <c r="F57" s="8" t="str">
        <f t="shared" si="13"/>
        <v>Pentwyn Corner</v>
      </c>
      <c r="G57" s="8" t="str">
        <f t="shared" si="13"/>
        <v>16 Acres</v>
      </c>
      <c r="H57" s="8" t="str">
        <f t="shared" si="13"/>
        <v>A</v>
      </c>
      <c r="I57" s="8" t="str">
        <f t="shared" si="13"/>
        <v>B</v>
      </c>
      <c r="J57" s="8" t="str">
        <f t="shared" si="13"/>
        <v>C</v>
      </c>
      <c r="K57" s="8" t="str">
        <f t="shared" si="13"/>
        <v>Sheep Shed</v>
      </c>
      <c r="L57" s="8" t="str">
        <f t="shared" si="13"/>
        <v>Badger Burry</v>
      </c>
      <c r="M57" s="8" t="str">
        <f t="shared" si="13"/>
        <v>Long meadow</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Arable</v>
      </c>
      <c r="M58" s="13" t="str">
        <f>N16&amp;" I "&amp;(VLOOKUP(N14,Table245[],6,FALSE))</f>
        <v>Medium/Clay I Grass</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6.7</v>
      </c>
      <c r="M59" s="76">
        <f>VLOOKUP(N$14,Table245[],5,FALSE)</f>
        <v>6.2</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6.5</v>
      </c>
      <c r="C60" s="76">
        <f t="shared" ref="C60:U60" si="14">D10</f>
        <v>6.6</v>
      </c>
      <c r="D60" s="76">
        <f t="shared" si="14"/>
        <v>6.9</v>
      </c>
      <c r="E60" s="76">
        <f t="shared" si="14"/>
        <v>5.6</v>
      </c>
      <c r="F60" s="76">
        <f t="shared" si="14"/>
        <v>6.4</v>
      </c>
      <c r="G60" s="76">
        <f t="shared" si="14"/>
        <v>6.5</v>
      </c>
      <c r="H60" s="76">
        <f t="shared" si="14"/>
        <v>6.1</v>
      </c>
      <c r="I60" s="76">
        <f t="shared" si="14"/>
        <v>6.3</v>
      </c>
      <c r="J60" s="76">
        <f t="shared" si="14"/>
        <v>6.2</v>
      </c>
      <c r="K60" s="76">
        <f t="shared" si="14"/>
        <v>6.1</v>
      </c>
      <c r="L60" s="76">
        <f t="shared" si="14"/>
        <v>6.3</v>
      </c>
      <c r="M60" s="76">
        <f t="shared" si="14"/>
        <v>6.2</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8</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-4.2000000000000011</v>
      </c>
      <c r="E64" s="77">
        <f t="shared" si="17"/>
        <v>3.6000000000000032</v>
      </c>
      <c r="F64" s="77">
        <f t="shared" si="17"/>
        <v>-1.2000000000000011</v>
      </c>
      <c r="G64" s="77">
        <f t="shared" si="17"/>
        <v>-1.7999999999999989</v>
      </c>
      <c r="H64" s="77">
        <f t="shared" si="17"/>
        <v>0.6000000000000032</v>
      </c>
      <c r="I64" s="77">
        <f t="shared" si="17"/>
        <v>-0.59999999999999787</v>
      </c>
      <c r="J64" s="77">
        <f t="shared" si="17"/>
        <v>0</v>
      </c>
      <c r="K64" s="77">
        <f t="shared" si="17"/>
        <v>0.6000000000000032</v>
      </c>
      <c r="L64" s="77">
        <f t="shared" si="17"/>
        <v>3.2000000000000028</v>
      </c>
      <c r="M64" s="77">
        <f t="shared" si="17"/>
        <v>0</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4.2000000000000011</v>
      </c>
      <c r="E65" s="77">
        <f t="shared" si="18"/>
        <v>-3.6000000000000032</v>
      </c>
      <c r="F65" s="77">
        <f t="shared" si="18"/>
        <v>1.2000000000000011</v>
      </c>
      <c r="G65" s="77">
        <f t="shared" si="18"/>
        <v>1.7999999999999989</v>
      </c>
      <c r="H65" s="77">
        <f t="shared" si="18"/>
        <v>-0.6000000000000032</v>
      </c>
      <c r="I65" s="77">
        <f t="shared" si="18"/>
        <v>0.59999999999999787</v>
      </c>
      <c r="J65" s="77">
        <f t="shared" si="18"/>
        <v>0</v>
      </c>
      <c r="K65" s="77">
        <f t="shared" si="18"/>
        <v>-0.6000000000000032</v>
      </c>
      <c r="L65" s="77">
        <f t="shared" si="18"/>
        <v>-3.2000000000000028</v>
      </c>
      <c r="M65" s="77">
        <f t="shared" si="18"/>
        <v>0</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UNDER</v>
      </c>
      <c r="L66" s="78" t="str">
        <f t="shared" si="19"/>
        <v>UNDER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3" priority="37" operator="equal">
      <formula>"DECREASE"</formula>
    </cfRule>
    <cfRule type="cellIs" dxfId="122" priority="38" operator="equal">
      <formula>"INCREASE"</formula>
    </cfRule>
  </conditionalFormatting>
  <conditionalFormatting sqref="B31:B50 B62:U66">
    <cfRule type="cellIs" dxfId="121" priority="36" operator="greaterThan">
      <formula>$B$51</formula>
    </cfRule>
  </conditionalFormatting>
  <conditionalFormatting sqref="C31:C50">
    <cfRule type="cellIs" dxfId="120" priority="35" operator="greaterThan">
      <formula>$C$51</formula>
    </cfRule>
  </conditionalFormatting>
  <conditionalFormatting sqref="C18:V18">
    <cfRule type="cellIs" dxfId="119" priority="34" operator="equal">
      <formula>0</formula>
    </cfRule>
  </conditionalFormatting>
  <conditionalFormatting sqref="C17:V17">
    <cfRule type="cellIs" dxfId="118" priority="33" operator="equal">
      <formula>0</formula>
    </cfRule>
  </conditionalFormatting>
  <conditionalFormatting sqref="C19:V19">
    <cfRule type="cellIs" dxfId="117" priority="32" operator="equal">
      <formula>0</formula>
    </cfRule>
  </conditionalFormatting>
  <conditionalFormatting sqref="G31:G50">
    <cfRule type="cellIs" dxfId="116" priority="31" operator="greaterThan">
      <formula>$G$51</formula>
    </cfRule>
  </conditionalFormatting>
  <conditionalFormatting sqref="H31:H50">
    <cfRule type="cellIs" dxfId="115" priority="30" operator="greaterThan">
      <formula>$H$51</formula>
    </cfRule>
  </conditionalFormatting>
  <conditionalFormatting sqref="I31:I50">
    <cfRule type="cellIs" dxfId="114" priority="29" operator="greaterThan">
      <formula>$I$51</formula>
    </cfRule>
  </conditionalFormatting>
  <conditionalFormatting sqref="K31:K50">
    <cfRule type="cellIs" dxfId="113" priority="28" operator="greaterThan">
      <formula>$K$51</formula>
    </cfRule>
  </conditionalFormatting>
  <conditionalFormatting sqref="L31:L50">
    <cfRule type="cellIs" dxfId="112" priority="27" operator="greaterThan">
      <formula>$L$51</formula>
    </cfRule>
  </conditionalFormatting>
  <conditionalFormatting sqref="M31:M50">
    <cfRule type="cellIs" dxfId="111" priority="26" operator="greaterThan">
      <formula>$M$51</formula>
    </cfRule>
  </conditionalFormatting>
  <conditionalFormatting sqref="P31:P50">
    <cfRule type="cellIs" dxfId="110" priority="25" operator="greaterThan">
      <formula>$P$51</formula>
    </cfRule>
  </conditionalFormatting>
  <conditionalFormatting sqref="R31:R50">
    <cfRule type="cellIs" dxfId="109" priority="24" operator="greaterThan">
      <formula>$R$51</formula>
    </cfRule>
  </conditionalFormatting>
  <conditionalFormatting sqref="S31:S50">
    <cfRule type="cellIs" dxfId="108" priority="23" operator="greaterThan">
      <formula>$S$51</formula>
    </cfRule>
  </conditionalFormatting>
  <conditionalFormatting sqref="T31:T50">
    <cfRule type="cellIs" dxfId="107" priority="22" operator="greaterThan">
      <formula>$T$51</formula>
    </cfRule>
  </conditionalFormatting>
  <conditionalFormatting sqref="U31:U50">
    <cfRule type="cellIs" dxfId="106" priority="21" operator="greaterThan">
      <formula>$U$51</formula>
    </cfRule>
  </conditionalFormatting>
  <conditionalFormatting sqref="C22:V22">
    <cfRule type="cellIs" dxfId="105" priority="20" operator="equal">
      <formula>0</formula>
    </cfRule>
  </conditionalFormatting>
  <conditionalFormatting sqref="C24:V24">
    <cfRule type="cellIs" dxfId="104" priority="18" operator="equal">
      <formula>"DECREASE"</formula>
    </cfRule>
    <cfRule type="cellIs" dxfId="103" priority="19" operator="equal">
      <formula>"INCREASE"</formula>
    </cfRule>
  </conditionalFormatting>
  <conditionalFormatting sqref="C23:V23">
    <cfRule type="cellIs" dxfId="102" priority="17" operator="equal">
      <formula>0</formula>
    </cfRule>
  </conditionalFormatting>
  <conditionalFormatting sqref="C21:V21">
    <cfRule type="cellIs" dxfId="101" priority="13" operator="equal">
      <formula>0</formula>
    </cfRule>
  </conditionalFormatting>
  <conditionalFormatting sqref="B66:U66">
    <cfRule type="cellIs" dxfId="100" priority="11" operator="equal">
      <formula>"UNDER"</formula>
    </cfRule>
    <cfRule type="cellIs" dxfId="99" priority="12" operator="equal">
      <formula>"OVER"</formula>
    </cfRule>
  </conditionalFormatting>
  <conditionalFormatting sqref="J31:J50">
    <cfRule type="cellIs" dxfId="98" priority="8" operator="greaterThan">
      <formula>$J$51</formula>
    </cfRule>
  </conditionalFormatting>
  <conditionalFormatting sqref="L3">
    <cfRule type="cellIs" dxfId="97" priority="4" operator="lessThan">
      <formula>30</formula>
    </cfRule>
    <cfRule type="cellIs" dxfId="96" priority="5" operator="greaterThanOrEqual">
      <formula>30</formula>
    </cfRule>
  </conditionalFormatting>
  <conditionalFormatting sqref="I1">
    <cfRule type="cellIs" dxfId="95" priority="3" operator="between">
      <formula>0.1</formula>
      <formula>5</formula>
    </cfRule>
  </conditionalFormatting>
  <conditionalFormatting sqref="I2">
    <cfRule type="cellIs" dxfId="94" priority="2" operator="greaterThan">
      <formula>5000.1</formula>
    </cfRule>
  </conditionalFormatting>
  <conditionalFormatting sqref="I3">
    <cfRule type="cellIs" dxfId="9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5"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'Cefn Dryscoed'!C1:D1</f>
        <v>PAN-025174</v>
      </c>
      <c r="D1" s="141"/>
      <c r="E1" s="93" t="s">
        <v>45</v>
      </c>
      <c r="F1" s="39">
        <f>'Cefn Dryscoed'!F1</f>
        <v>49.24</v>
      </c>
      <c r="G1" s="123" t="s">
        <v>43</v>
      </c>
      <c r="H1" s="124"/>
      <c r="I1" s="118">
        <v>6.5</v>
      </c>
      <c r="J1" s="127" t="s">
        <v>153</v>
      </c>
      <c r="K1" s="127"/>
      <c r="L1" s="97">
        <v>170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'Cefn Dryscoed'!C2:D2</f>
        <v>EPR/GP3792SK</v>
      </c>
      <c r="D2" s="143"/>
      <c r="E2" s="93" t="s">
        <v>109</v>
      </c>
      <c r="F2" s="96" t="s">
        <v>182</v>
      </c>
      <c r="G2" s="125" t="s">
        <v>110</v>
      </c>
      <c r="H2" s="126"/>
      <c r="I2" s="118"/>
      <c r="J2" s="127" t="s">
        <v>158</v>
      </c>
      <c r="K2" s="127"/>
      <c r="L2" s="97">
        <v>0.98899999999999999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'Cefn Dryscoed'!C3:D3</f>
        <v xml:space="preserve">ByProduct Recovery LTD </v>
      </c>
      <c r="D3" s="143"/>
      <c r="E3" s="93" t="s">
        <v>108</v>
      </c>
      <c r="F3" s="31" t="s">
        <v>78</v>
      </c>
      <c r="G3" s="127" t="s">
        <v>159</v>
      </c>
      <c r="H3" s="127"/>
      <c r="I3" s="118"/>
      <c r="J3" s="123" t="s">
        <v>154</v>
      </c>
      <c r="K3" s="124"/>
      <c r="L3" s="97">
        <f>(L1/(L2*10000))*100</f>
        <v>1.7189079878665317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'Cefn Dryscoed'!C4:D4</f>
        <v>Pentwyn Farm, Brecon, Powys, LD3 0SW</v>
      </c>
      <c r="D4" s="141"/>
      <c r="E4" s="94" t="s">
        <v>1</v>
      </c>
      <c r="F4" s="96" t="s">
        <v>184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'Cefn Dryscoed'!C5:D5</f>
        <v xml:space="preserve">Megan Tucker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'Cefn Dryscoed'!C8</f>
        <v>17 Acres</v>
      </c>
      <c r="D8" s="60" t="str">
        <f>'Cefn Dryscoed'!D8</f>
        <v>Top Pentwyn</v>
      </c>
      <c r="E8" s="60" t="str">
        <f>'Cefn Dryscoed'!E8</f>
        <v xml:space="preserve">Bottom Pentwyn </v>
      </c>
      <c r="F8" s="60" t="str">
        <f>'Cefn Dryscoed'!F8</f>
        <v xml:space="preserve">Lodge </v>
      </c>
      <c r="G8" s="60" t="str">
        <f>'Cefn Dryscoed'!G8</f>
        <v>Pentwyn Corner</v>
      </c>
      <c r="H8" s="60" t="str">
        <f>'Cefn Dryscoed'!H8</f>
        <v>16 Acres</v>
      </c>
      <c r="I8" s="60" t="str">
        <f>'Cefn Dryscoed'!I8</f>
        <v>A</v>
      </c>
      <c r="J8" s="60" t="str">
        <f>'Cefn Dryscoed'!J8</f>
        <v>B</v>
      </c>
      <c r="K8" s="60" t="str">
        <f>'Cefn Dryscoed'!K8</f>
        <v>C</v>
      </c>
      <c r="L8" s="60" t="str">
        <f>'Cefn Dryscoed'!L8</f>
        <v>Sheep Shed</v>
      </c>
      <c r="M8" s="60" t="str">
        <f>'Cefn Dryscoed'!M8</f>
        <v>Badger Burry</v>
      </c>
      <c r="N8" s="60" t="str">
        <f>'Cefn Dryscoed'!N8</f>
        <v>Long meadow</v>
      </c>
      <c r="O8" s="60">
        <f>'Cefn Dryscoed'!O8</f>
        <v>0</v>
      </c>
      <c r="P8" s="60">
        <f>'Cefn Dryscoed'!P8</f>
        <v>0</v>
      </c>
      <c r="Q8" s="60">
        <f>'Cefn Dryscoed'!Q8</f>
        <v>0</v>
      </c>
      <c r="R8" s="60">
        <f>'Cefn Dryscoed'!R8</f>
        <v>0</v>
      </c>
      <c r="S8" s="60">
        <f>'Cefn Dryscoed'!S8</f>
        <v>0</v>
      </c>
      <c r="T8" s="60">
        <f>'Cefn Dryscoed'!T8</f>
        <v>0</v>
      </c>
      <c r="U8" s="60">
        <f>'Cefn Dryscoed'!U8</f>
        <v>0</v>
      </c>
      <c r="V8" s="60">
        <f>'Cefn Dryscoed'!V8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'Cefn Dryscoed'!C9</f>
        <v>Medium</v>
      </c>
      <c r="D9" s="60" t="str">
        <f>'Cefn Dryscoed'!D9</f>
        <v>Medium</v>
      </c>
      <c r="E9" s="60" t="str">
        <f>'Cefn Dryscoed'!E9</f>
        <v xml:space="preserve">Medium </v>
      </c>
      <c r="F9" s="60">
        <f>'Cefn Dryscoed'!F9</f>
        <v>0</v>
      </c>
      <c r="G9" s="60" t="str">
        <f>'Cefn Dryscoed'!G9</f>
        <v>Medium</v>
      </c>
      <c r="H9" s="60" t="str">
        <f>'Cefn Dryscoed'!H9</f>
        <v>Medium</v>
      </c>
      <c r="I9" s="60" t="str">
        <f>'Cefn Dryscoed'!I9</f>
        <v>Medium</v>
      </c>
      <c r="J9" s="60" t="str">
        <f>'Cefn Dryscoed'!J9</f>
        <v>Medium</v>
      </c>
      <c r="K9" s="60" t="str">
        <f>'Cefn Dryscoed'!K9</f>
        <v>Medium</v>
      </c>
      <c r="L9" s="60" t="str">
        <f>'Cefn Dryscoed'!L9</f>
        <v>Meidum</v>
      </c>
      <c r="M9" s="60">
        <f>'Cefn Dryscoed'!M9</f>
        <v>1</v>
      </c>
      <c r="N9" s="60" t="str">
        <f>'Cefn Dryscoed'!N9</f>
        <v xml:space="preserve">Medium </v>
      </c>
      <c r="O9" s="60">
        <f>'Cefn Dryscoed'!O9</f>
        <v>0</v>
      </c>
      <c r="P9" s="60">
        <f>'Cefn Dryscoed'!P9</f>
        <v>0</v>
      </c>
      <c r="Q9" s="60">
        <f>'Cefn Dryscoed'!Q9</f>
        <v>0</v>
      </c>
      <c r="R9" s="60">
        <f>'Cefn Dryscoed'!R9</f>
        <v>0</v>
      </c>
      <c r="S9" s="60">
        <f>'Cefn Dryscoed'!S9</f>
        <v>0</v>
      </c>
      <c r="T9" s="60">
        <f>'Cefn Dryscoed'!T9</f>
        <v>0</v>
      </c>
      <c r="U9" s="60">
        <f>'Cefn Dryscoed'!U9</f>
        <v>0</v>
      </c>
      <c r="V9" s="60">
        <f>'Cefn Dryscoed'!V9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'Cefn Dryscoed'!C10</f>
        <v>6.5</v>
      </c>
      <c r="D10" s="60">
        <f>'Cefn Dryscoed'!D10</f>
        <v>6.6</v>
      </c>
      <c r="E10" s="60">
        <f>'Cefn Dryscoed'!E10</f>
        <v>6.9</v>
      </c>
      <c r="F10" s="60">
        <f>'Cefn Dryscoed'!F10</f>
        <v>5.6</v>
      </c>
      <c r="G10" s="60">
        <f>'Cefn Dryscoed'!G10</f>
        <v>6.4</v>
      </c>
      <c r="H10" s="60">
        <f>'Cefn Dryscoed'!H10</f>
        <v>6.5</v>
      </c>
      <c r="I10" s="60">
        <f>'Cefn Dryscoed'!I10</f>
        <v>6.1</v>
      </c>
      <c r="J10" s="60">
        <f>'Cefn Dryscoed'!J10</f>
        <v>6.3</v>
      </c>
      <c r="K10" s="60">
        <f>'Cefn Dryscoed'!K10</f>
        <v>6.2</v>
      </c>
      <c r="L10" s="60">
        <f>'Cefn Dryscoed'!L10</f>
        <v>6.1</v>
      </c>
      <c r="M10" s="60">
        <f>'Cefn Dryscoed'!M10</f>
        <v>6.3</v>
      </c>
      <c r="N10" s="60">
        <f>'Cefn Dryscoed'!N10</f>
        <v>6.2</v>
      </c>
      <c r="O10" s="60">
        <f>'Cefn Dryscoed'!O10</f>
        <v>0</v>
      </c>
      <c r="P10" s="60">
        <f>'Cefn Dryscoed'!P10</f>
        <v>0</v>
      </c>
      <c r="Q10" s="60">
        <f>'Cefn Dryscoed'!Q10</f>
        <v>0</v>
      </c>
      <c r="R10" s="60">
        <f>'Cefn Dryscoed'!R10</f>
        <v>0</v>
      </c>
      <c r="S10" s="60">
        <f>'Cefn Dryscoed'!S10</f>
        <v>0</v>
      </c>
      <c r="T10" s="60">
        <f>'Cefn Dryscoed'!T10</f>
        <v>0</v>
      </c>
      <c r="U10" s="60">
        <f>'Cefn Dryscoed'!U10</f>
        <v>0</v>
      </c>
      <c r="V10" s="60">
        <f>'Cefn Dryscoed'!V10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'Cefn Dryscoed'!C11</f>
        <v>3</v>
      </c>
      <c r="D11" s="60">
        <f>'Cefn Dryscoed'!D11</f>
        <v>2</v>
      </c>
      <c r="E11" s="60">
        <f>'Cefn Dryscoed'!E11</f>
        <v>2</v>
      </c>
      <c r="F11" s="60">
        <f>'Cefn Dryscoed'!F11</f>
        <v>3</v>
      </c>
      <c r="G11" s="60">
        <f>'Cefn Dryscoed'!G11</f>
        <v>3</v>
      </c>
      <c r="H11" s="60">
        <f>'Cefn Dryscoed'!H11</f>
        <v>3</v>
      </c>
      <c r="I11" s="60">
        <f>'Cefn Dryscoed'!I11</f>
        <v>3</v>
      </c>
      <c r="J11" s="60">
        <f>'Cefn Dryscoed'!J11</f>
        <v>3</v>
      </c>
      <c r="K11" s="60">
        <f>'Cefn Dryscoed'!K11</f>
        <v>3</v>
      </c>
      <c r="L11" s="60">
        <f>'Cefn Dryscoed'!L11</f>
        <v>2</v>
      </c>
      <c r="M11" s="60">
        <f>'Cefn Dryscoed'!M11</f>
        <v>3</v>
      </c>
      <c r="N11" s="60">
        <f>'Cefn Dryscoed'!N11</f>
        <v>2</v>
      </c>
      <c r="O11" s="60">
        <f>'Cefn Dryscoed'!O11</f>
        <v>0</v>
      </c>
      <c r="P11" s="60">
        <f>'Cefn Dryscoed'!P11</f>
        <v>0</v>
      </c>
      <c r="Q11" s="60">
        <f>'Cefn Dryscoed'!Q11</f>
        <v>0</v>
      </c>
      <c r="R11" s="60">
        <f>'Cefn Dryscoed'!R11</f>
        <v>0</v>
      </c>
      <c r="S11" s="60">
        <f>'Cefn Dryscoed'!S11</f>
        <v>0</v>
      </c>
      <c r="T11" s="60">
        <f>'Cefn Dryscoed'!T11</f>
        <v>0</v>
      </c>
      <c r="U11" s="60">
        <f>'Cefn Dryscoed'!U11</f>
        <v>0</v>
      </c>
      <c r="V11" s="60">
        <f>'Cefn Dryscoed'!V11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'Cefn Dryscoed'!C12</f>
        <v>2</v>
      </c>
      <c r="D12" s="60">
        <f>'Cefn Dryscoed'!D12</f>
        <v>2</v>
      </c>
      <c r="E12" s="60">
        <f>'Cefn Dryscoed'!E12</f>
        <v>2</v>
      </c>
      <c r="F12" s="60">
        <f>'Cefn Dryscoed'!F12</f>
        <v>2</v>
      </c>
      <c r="G12" s="60">
        <f>'Cefn Dryscoed'!G12</f>
        <v>3</v>
      </c>
      <c r="H12" s="60">
        <f>'Cefn Dryscoed'!H12</f>
        <v>2</v>
      </c>
      <c r="I12" s="60">
        <f>'Cefn Dryscoed'!I12</f>
        <v>2</v>
      </c>
      <c r="J12" s="60">
        <f>'Cefn Dryscoed'!J12</f>
        <v>2</v>
      </c>
      <c r="K12" s="60">
        <f>'Cefn Dryscoed'!K12</f>
        <v>2</v>
      </c>
      <c r="L12" s="60">
        <f>'Cefn Dryscoed'!L12</f>
        <v>2</v>
      </c>
      <c r="M12" s="60">
        <f>'Cefn Dryscoed'!M12</f>
        <v>4</v>
      </c>
      <c r="N12" s="60">
        <f>'Cefn Dryscoed'!N12</f>
        <v>2</v>
      </c>
      <c r="O12" s="60">
        <f>'Cefn Dryscoed'!O12</f>
        <v>0</v>
      </c>
      <c r="P12" s="60">
        <f>'Cefn Dryscoed'!P12</f>
        <v>0</v>
      </c>
      <c r="Q12" s="60">
        <f>'Cefn Dryscoed'!Q12</f>
        <v>0</v>
      </c>
      <c r="R12" s="60">
        <f>'Cefn Dryscoed'!R12</f>
        <v>0</v>
      </c>
      <c r="S12" s="60">
        <f>'Cefn Dryscoed'!S12</f>
        <v>0</v>
      </c>
      <c r="T12" s="60">
        <f>'Cefn Dryscoed'!T12</f>
        <v>0</v>
      </c>
      <c r="U12" s="60">
        <f>'Cefn Dryscoed'!U12</f>
        <v>0</v>
      </c>
      <c r="V12" s="60">
        <f>'Cefn Dryscoed'!V12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'Cefn Dryscoed'!C13</f>
        <v>2</v>
      </c>
      <c r="D13" s="60">
        <f>'Cefn Dryscoed'!D13</f>
        <v>2</v>
      </c>
      <c r="E13" s="60">
        <f>'Cefn Dryscoed'!E13</f>
        <v>2</v>
      </c>
      <c r="F13" s="60">
        <f>'Cefn Dryscoed'!F13</f>
        <v>2</v>
      </c>
      <c r="G13" s="60">
        <f>'Cefn Dryscoed'!G13</f>
        <v>3</v>
      </c>
      <c r="H13" s="60">
        <f>'Cefn Dryscoed'!H13</f>
        <v>2</v>
      </c>
      <c r="I13" s="60">
        <f>'Cefn Dryscoed'!I13</f>
        <v>3</v>
      </c>
      <c r="J13" s="60">
        <f>'Cefn Dryscoed'!J13</f>
        <v>3</v>
      </c>
      <c r="K13" s="60">
        <f>'Cefn Dryscoed'!K13</f>
        <v>3</v>
      </c>
      <c r="L13" s="60">
        <f>'Cefn Dryscoed'!L13</f>
        <v>2</v>
      </c>
      <c r="M13" s="60">
        <f>'Cefn Dryscoed'!M13</f>
        <v>2</v>
      </c>
      <c r="N13" s="60">
        <f>'Cefn Dryscoed'!N13</f>
        <v>2</v>
      </c>
      <c r="O13" s="60">
        <f>'Cefn Dryscoed'!O13</f>
        <v>0</v>
      </c>
      <c r="P13" s="60">
        <f>'Cefn Dryscoed'!P13</f>
        <v>0</v>
      </c>
      <c r="Q13" s="60">
        <f>'Cefn Dryscoed'!Q13</f>
        <v>0</v>
      </c>
      <c r="R13" s="60">
        <f>'Cefn Dryscoed'!R13</f>
        <v>0</v>
      </c>
      <c r="S13" s="60">
        <f>'Cefn Dryscoed'!S13</f>
        <v>0</v>
      </c>
      <c r="T13" s="60">
        <f>'Cefn Dryscoed'!T13</f>
        <v>0</v>
      </c>
      <c r="U13" s="60">
        <f>'Cefn Dryscoed'!U13</f>
        <v>0</v>
      </c>
      <c r="V13" s="60">
        <f>'Cefn Dryscoed'!V13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'Cefn Dryscoed'!C14</f>
        <v xml:space="preserve">Grass Silage (30% DM) </v>
      </c>
      <c r="D14" s="102" t="str">
        <f>'Cefn Dryscoed'!D14</f>
        <v xml:space="preserve">Grass Silage (30% DM) </v>
      </c>
      <c r="E14" s="102" t="str">
        <f>'Cefn Dryscoed'!E14</f>
        <v xml:space="preserve">Grass Silage (30% DM) </v>
      </c>
      <c r="F14" s="102" t="str">
        <f>'Cefn Dryscoed'!F14</f>
        <v xml:space="preserve">Grass Silage (30% DM) </v>
      </c>
      <c r="G14" s="102" t="str">
        <f>'Cefn Dryscoed'!G14</f>
        <v xml:space="preserve">Grass Silage (30% DM) </v>
      </c>
      <c r="H14" s="102" t="str">
        <f>'Cefn Dryscoed'!H14</f>
        <v xml:space="preserve">Grass Silage (30% DM) </v>
      </c>
      <c r="I14" s="102" t="str">
        <f>'Cefn Dryscoed'!I14</f>
        <v xml:space="preserve">Grass Silage (30% DM) </v>
      </c>
      <c r="J14" s="102" t="str">
        <f>'Cefn Dryscoed'!J14</f>
        <v xml:space="preserve">Grass Silage (30% DM) </v>
      </c>
      <c r="K14" s="102" t="str">
        <f>'Cefn Dryscoed'!K14</f>
        <v xml:space="preserve">Grass Silage (30% DM) </v>
      </c>
      <c r="L14" s="102" t="str">
        <f>'Cefn Dryscoed'!L14</f>
        <v xml:space="preserve">Grass Silage (30% DM) </v>
      </c>
      <c r="M14" s="102" t="str">
        <f>'Cefn Dryscoed'!M14</f>
        <v>Spring wheat/barley</v>
      </c>
      <c r="N14" s="102" t="str">
        <f>'Cefn Dryscoed'!N14</f>
        <v xml:space="preserve">Grass Silage (30% DM) </v>
      </c>
      <c r="O14" s="102">
        <f>'Cefn Dryscoed'!O14</f>
        <v>0</v>
      </c>
      <c r="P14" s="102">
        <f>'Cefn Dryscoed'!P14</f>
        <v>0</v>
      </c>
      <c r="Q14" s="102">
        <f>'Cefn Dryscoed'!Q14</f>
        <v>0</v>
      </c>
      <c r="R14" s="102">
        <f>'Cefn Dryscoed'!R14</f>
        <v>0</v>
      </c>
      <c r="S14" s="102">
        <f>'Cefn Dryscoed'!S14</f>
        <v>0</v>
      </c>
      <c r="T14" s="102">
        <f>'Cefn Dryscoed'!T14</f>
        <v>0</v>
      </c>
      <c r="U14" s="102">
        <f>'Cefn Dryscoed'!U14</f>
        <v>0</v>
      </c>
      <c r="V14" s="102">
        <f>'Cefn Dryscoed'!V14</f>
        <v>0</v>
      </c>
      <c r="AD14" s="30" t="s">
        <v>138</v>
      </c>
      <c r="AE14" s="30">
        <v>6</v>
      </c>
      <c r="AI14" s="53" t="s">
        <v>119</v>
      </c>
      <c r="AJ14" s="54">
        <v>0.8</v>
      </c>
      <c r="AK14" s="55">
        <v>1.7</v>
      </c>
      <c r="AL14" s="11">
        <v>12</v>
      </c>
      <c r="AM14" s="11">
        <v>6.7</v>
      </c>
      <c r="AN14" s="11" t="s">
        <v>135</v>
      </c>
    </row>
    <row r="15" spans="1:41" ht="13" x14ac:dyDescent="0.25">
      <c r="A15" s="135" t="s">
        <v>9</v>
      </c>
      <c r="B15" s="135"/>
      <c r="C15" s="60">
        <f>'Cefn Dryscoed'!C15</f>
        <v>38</v>
      </c>
      <c r="D15" s="60">
        <f>'Cefn Dryscoed'!D15</f>
        <v>38</v>
      </c>
      <c r="E15" s="60">
        <f>'Cefn Dryscoed'!E15</f>
        <v>38</v>
      </c>
      <c r="F15" s="60">
        <f>'Cefn Dryscoed'!F15</f>
        <v>38</v>
      </c>
      <c r="G15" s="60">
        <f>'Cefn Dryscoed'!G15</f>
        <v>38</v>
      </c>
      <c r="H15" s="60">
        <f>'Cefn Dryscoed'!H15</f>
        <v>38</v>
      </c>
      <c r="I15" s="60">
        <f>'Cefn Dryscoed'!I15</f>
        <v>38</v>
      </c>
      <c r="J15" s="60">
        <f>'Cefn Dryscoed'!J15</f>
        <v>38</v>
      </c>
      <c r="K15" s="60">
        <f>'Cefn Dryscoed'!K15</f>
        <v>38</v>
      </c>
      <c r="L15" s="60">
        <f>'Cefn Dryscoed'!L15</f>
        <v>38</v>
      </c>
      <c r="M15" s="60">
        <f>'Cefn Dryscoed'!M15</f>
        <v>5.5</v>
      </c>
      <c r="N15" s="60">
        <f>'Cefn Dryscoed'!N15</f>
        <v>38</v>
      </c>
      <c r="O15" s="60">
        <f>'Cefn Dryscoed'!O15</f>
        <v>0</v>
      </c>
      <c r="P15" s="60">
        <f>'Cefn Dryscoed'!P15</f>
        <v>0</v>
      </c>
      <c r="Q15" s="60">
        <f>'Cefn Dryscoed'!Q15</f>
        <v>0</v>
      </c>
      <c r="R15" s="60">
        <f>'Cefn Dryscoed'!R15</f>
        <v>0</v>
      </c>
      <c r="S15" s="60">
        <f>'Cefn Dryscoed'!S15</f>
        <v>0</v>
      </c>
      <c r="T15" s="60">
        <f>'Cefn Dryscoed'!T15</f>
        <v>0</v>
      </c>
      <c r="U15" s="60">
        <f>'Cefn Dryscoed'!U15</f>
        <v>0</v>
      </c>
      <c r="V15" s="60">
        <f>'Cefn Dryscoed'!V15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'Cefn Dryscoed'!C16</f>
        <v>Medium/Clay</v>
      </c>
      <c r="D16" s="103" t="str">
        <f>'Cefn Dryscoed'!D16</f>
        <v>Medium/Clay</v>
      </c>
      <c r="E16" s="103" t="str">
        <f>'Cefn Dryscoed'!E16</f>
        <v>Medium/Clay</v>
      </c>
      <c r="F16" s="103" t="str">
        <f>'Cefn Dryscoed'!F16</f>
        <v>Medium/Clay</v>
      </c>
      <c r="G16" s="103" t="str">
        <f>'Cefn Dryscoed'!G16</f>
        <v>Medium/Clay</v>
      </c>
      <c r="H16" s="103" t="str">
        <f>'Cefn Dryscoed'!H16</f>
        <v>Medium/Clay</v>
      </c>
      <c r="I16" s="103" t="str">
        <f>'Cefn Dryscoed'!I16</f>
        <v>Medium/Clay</v>
      </c>
      <c r="J16" s="103" t="str">
        <f>'Cefn Dryscoed'!J16</f>
        <v>Medium/Clay</v>
      </c>
      <c r="K16" s="103" t="str">
        <f>'Cefn Dryscoed'!K16</f>
        <v>Medium/Clay</v>
      </c>
      <c r="L16" s="103" t="str">
        <f>'Cefn Dryscoed'!L16</f>
        <v>Medium/Clay</v>
      </c>
      <c r="M16" s="103" t="str">
        <f>'Cefn Dryscoed'!M16</f>
        <v>Medium/Clay</v>
      </c>
      <c r="N16" s="103" t="str">
        <f>'Cefn Dryscoed'!N16</f>
        <v>Medium/Clay</v>
      </c>
      <c r="O16" s="103">
        <f>'Cefn Dryscoed'!O16</f>
        <v>0</v>
      </c>
      <c r="P16" s="103">
        <f>'Cefn Dryscoed'!P16</f>
        <v>0</v>
      </c>
      <c r="Q16" s="103">
        <f>'Cefn Dryscoed'!Q16</f>
        <v>0</v>
      </c>
      <c r="R16" s="103">
        <f>'Cefn Dryscoed'!R16</f>
        <v>0</v>
      </c>
      <c r="S16" s="103">
        <f>'Cefn Dryscoed'!S16</f>
        <v>0</v>
      </c>
      <c r="T16" s="103">
        <f>'Cefn Dryscoed'!T16</f>
        <v>0</v>
      </c>
      <c r="U16" s="103">
        <f>'Cefn Dryscoed'!U16</f>
        <v>0</v>
      </c>
      <c r="V16" s="103">
        <f>'Cefn Dryscoed'!V16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f t="shared" si="0"/>
        <v>46.75</v>
      </c>
      <c r="N17" s="28">
        <f t="shared" si="0"/>
        <v>79.8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18.258811800000004</v>
      </c>
      <c r="D18" s="16">
        <f>$D32</f>
        <v>18.258811800000004</v>
      </c>
      <c r="E18" s="16">
        <f>$D33</f>
        <v>18.258811800000004</v>
      </c>
      <c r="F18" s="16">
        <f>$D34</f>
        <v>0</v>
      </c>
      <c r="G18" s="16">
        <f>$D35</f>
        <v>18.258811800000004</v>
      </c>
      <c r="H18" s="16">
        <f>$D36</f>
        <v>18.258811800000004</v>
      </c>
      <c r="I18" s="16">
        <f>$D37</f>
        <v>18.258811800000004</v>
      </c>
      <c r="J18" s="16">
        <f>$D38</f>
        <v>18.258811800000004</v>
      </c>
      <c r="K18" s="16">
        <f>$D39</f>
        <v>18.258811800000004</v>
      </c>
      <c r="L18" s="16">
        <f>$D40</f>
        <v>18.258811800000004</v>
      </c>
      <c r="M18" s="16">
        <f>$D41</f>
        <v>18.258811800000004</v>
      </c>
      <c r="N18" s="16">
        <f>$D42</f>
        <v>18.258811800000004</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-61.541188199999993</v>
      </c>
      <c r="D19" s="16">
        <f t="shared" ref="D19:V19" si="1">D18-D17</f>
        <v>-61.541188199999993</v>
      </c>
      <c r="E19" s="16">
        <f t="shared" si="1"/>
        <v>-61.541188199999993</v>
      </c>
      <c r="F19" s="16">
        <f t="shared" si="1"/>
        <v>-79.8</v>
      </c>
      <c r="G19" s="16">
        <f t="shared" si="1"/>
        <v>-61.541188199999993</v>
      </c>
      <c r="H19" s="16">
        <f t="shared" si="1"/>
        <v>-61.541188199999993</v>
      </c>
      <c r="I19" s="16">
        <f t="shared" si="1"/>
        <v>-61.541188199999993</v>
      </c>
      <c r="J19" s="16">
        <f t="shared" si="1"/>
        <v>-61.541188199999993</v>
      </c>
      <c r="K19" s="16">
        <f t="shared" si="1"/>
        <v>-61.541188199999993</v>
      </c>
      <c r="L19" s="16">
        <f t="shared" si="1"/>
        <v>-61.541188199999993</v>
      </c>
      <c r="M19" s="16">
        <f t="shared" si="1"/>
        <v>-28.491188199999996</v>
      </c>
      <c r="N19" s="16">
        <f t="shared" si="1"/>
        <v>-61.541188199999993</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273.60000000000002</v>
      </c>
      <c r="D21" s="28">
        <f t="shared" ref="D21:V21" si="2">(VLOOKUP(D$14,$AI2:$AK24,3,FALSE))*D$15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f t="shared" si="2"/>
        <v>66</v>
      </c>
      <c r="N21" s="28">
        <f t="shared" si="2"/>
        <v>273.60000000000002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2.3792724999999999</v>
      </c>
      <c r="D22" s="16">
        <f>$E32</f>
        <v>2.3792724999999999</v>
      </c>
      <c r="E22" s="16">
        <f>$E33</f>
        <v>2.3792724999999999</v>
      </c>
      <c r="F22" s="16">
        <f>$E34</f>
        <v>0</v>
      </c>
      <c r="G22" s="16">
        <f>$E35</f>
        <v>2.3792724999999999</v>
      </c>
      <c r="H22" s="16">
        <f>$E36</f>
        <v>2.3792724999999999</v>
      </c>
      <c r="I22" s="16">
        <f>$E37</f>
        <v>2.3792724999999999</v>
      </c>
      <c r="J22" s="16">
        <f>$E38</f>
        <v>2.3792724999999999</v>
      </c>
      <c r="K22" s="16">
        <f>$E39</f>
        <v>2.3792724999999999</v>
      </c>
      <c r="L22" s="16">
        <f>$E40</f>
        <v>2.3792724999999999</v>
      </c>
      <c r="M22" s="16">
        <f>$E41</f>
        <v>2.3792724999999999</v>
      </c>
      <c r="N22" s="16">
        <f>$E42</f>
        <v>2.3792724999999999</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-271.22072750000001</v>
      </c>
      <c r="D23" s="16">
        <f t="shared" ref="D23:V23" si="3">D22-D21</f>
        <v>-271.22072750000001</v>
      </c>
      <c r="E23" s="16">
        <f t="shared" si="3"/>
        <v>-271.22072750000001</v>
      </c>
      <c r="F23" s="16">
        <f t="shared" si="3"/>
        <v>-273.60000000000002</v>
      </c>
      <c r="G23" s="16">
        <f t="shared" si="3"/>
        <v>-271.22072750000001</v>
      </c>
      <c r="H23" s="16">
        <f t="shared" si="3"/>
        <v>-271.22072750000001</v>
      </c>
      <c r="I23" s="16">
        <f t="shared" si="3"/>
        <v>-271.22072750000001</v>
      </c>
      <c r="J23" s="16">
        <f t="shared" si="3"/>
        <v>-271.22072750000001</v>
      </c>
      <c r="K23" s="16">
        <f t="shared" si="3"/>
        <v>-271.22072750000001</v>
      </c>
      <c r="L23" s="16">
        <f t="shared" si="3"/>
        <v>-271.22072750000001</v>
      </c>
      <c r="M23" s="16">
        <f t="shared" si="3"/>
        <v>-63.620727500000001</v>
      </c>
      <c r="N23" s="16">
        <f t="shared" si="3"/>
        <v>-271.22072750000001</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3.59</v>
      </c>
      <c r="C28" s="15">
        <v>0.98899999999999999</v>
      </c>
      <c r="D28" s="15">
        <v>8.8800000000000004E-2</v>
      </c>
      <c r="E28" s="15">
        <v>2.1999999999999999E-2</v>
      </c>
      <c r="F28" s="15">
        <v>231</v>
      </c>
      <c r="G28" s="15">
        <v>38.299999999999997</v>
      </c>
      <c r="H28" s="15">
        <v>116</v>
      </c>
      <c r="I28" s="15">
        <v>3.63</v>
      </c>
      <c r="J28" s="15">
        <v>2.12</v>
      </c>
      <c r="K28" s="23">
        <v>1.1200000000000001</v>
      </c>
      <c r="L28" s="15">
        <v>14.3</v>
      </c>
      <c r="M28" s="15">
        <v>1.9</v>
      </c>
      <c r="N28" s="15">
        <v>196000</v>
      </c>
      <c r="O28" s="15">
        <v>7810</v>
      </c>
      <c r="P28" s="15"/>
      <c r="Q28" s="15">
        <v>10000</v>
      </c>
      <c r="R28" s="15"/>
      <c r="S28" s="15">
        <v>47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17 Acres</v>
      </c>
      <c r="B31" s="15">
        <v>250</v>
      </c>
      <c r="C31" s="77">
        <f>IF(C$27="%w/w SAR",((C$28*10)*$B31),IF(C$27="%w/w DM",(((C$28*10)*($B$28/100))*$B31),IF(C$27="kg/t SAR",(C$28*$B31),IF(C$27="kg/t DM",((C$28*($B$28/100))*$B31),IF(C$27="mg/kg SAR",((C$28*0.001)*$B31),IF(C$27="mg/kg DM",(((C$28*0.001)*($B$28/100))*$B31),0))))))</f>
        <v>88.762750000000011</v>
      </c>
      <c r="D31" s="77">
        <f>(IF(D$27="%w/w SAR",((D$28*10)*$B31),IF(D$27="%w/w DM",(((D$28*10)*($B$28/100))*$B31),IF(D$27="kg/t SAR",(D$28*$B31),IF(D$27="kg/t DM",((D$28*($B$28/100))*$B31),IF(D$27="mg/kg SAR",((D$28*0.001)*$B31),IF(D$27="mg/kg DM",(((D$28*0.001)*($B$28/100))*$B31),"0")))))))*2.291</f>
        <v>18.258811800000004</v>
      </c>
      <c r="E31" s="77">
        <f>(IF(E$27="%w/w SAR",((E$28*10)*$B31),IF(E$27="%w/w DM",(((E$28*10)*($B$28/100))*$B31),IF(E$27="kg/t SAR",(E$28*$B31),IF(E$27="kg/t DM",((E$28*($B$28/100))*$B31),IF(E$27="mg/kg SAR",((E$28*0.001)*$B31),IF(E$27="mg/kg DM",(((E$28*0.001)*($B$28/100))*$B31),"0")))))))*1.205</f>
        <v>2.3792724999999999</v>
      </c>
      <c r="F31" s="77">
        <f>(IF(F$27="%w/w SAR",((F$28*10)*$B31),IF(F$27="%w/w DM",(((F$28*10)*($B$28/100))*$B31),IF(F$27="kg/t SAR",(F$28*$B31),IF(F$27="kg/t DM",((F$28*($B$28/100))*$B31),IF(F$27="mg/kg SAR",((F$28*0.001)*$B31),IF(F$27="mg/kg DM",(((F$28*0.001)*($B$28/100))*$B31),"0")))))))*1.658</f>
        <v>3.4374070500000005</v>
      </c>
      <c r="G31" s="77">
        <f t="shared" ref="G31:P46" si="5">IF(G$27="%w/w SAR",((G$28*10)*$B31),IF(G$27="%w/w DM",(((G$28*10)*($B$28/100))*$B31),IF(G$27="kg/t SAR",(G$28*$B31),IF(G$27="kg/t DM",((G$28*($B$28/100))*$B31),IF(G$27="mg/kg SAR",((G$28*0.001)*$B31),IF(G$27="mg/kg DM",(((G$28*0.001)*($B$28/100))*$B31),0))))))</f>
        <v>0.34374250000000001</v>
      </c>
      <c r="H31" s="77">
        <f t="shared" si="5"/>
        <v>1.0411000000000001</v>
      </c>
      <c r="I31" s="77">
        <f t="shared" si="5"/>
        <v>3.2579249999999997E-2</v>
      </c>
      <c r="J31" s="77">
        <f t="shared" si="5"/>
        <v>1.9027000000000002E-2</v>
      </c>
      <c r="K31" s="77">
        <f t="shared" si="5"/>
        <v>1.0052000000000002E-2</v>
      </c>
      <c r="L31" s="77">
        <f t="shared" si="5"/>
        <v>0.12834250000000003</v>
      </c>
      <c r="M31" s="77">
        <f t="shared" si="5"/>
        <v>1.7052499999999998E-2</v>
      </c>
      <c r="N31" s="77">
        <f t="shared" si="5"/>
        <v>1759.1000000000001</v>
      </c>
      <c r="O31" s="77">
        <f t="shared" si="5"/>
        <v>70.094750000000005</v>
      </c>
      <c r="P31" s="77">
        <f t="shared" si="5"/>
        <v>0</v>
      </c>
      <c r="Q31" s="77">
        <f>(IF(Q$27="%w/w SAR",((Q$28*10)*$B31),IF(Q$27="%w/w DM",(((Q$28*10)*($B$28/100))*$B31),IF(Q$27="kg/t SAR",(Q$28*$B31),IF(Q$27="kg/t DM",((Q$28*($B$28/100))*$B31),IF(Q$27="mg/kg SAR",((Q$28*0.001)*$B31),IF(Q$27="mg/kg DM",(((Q$28*0.001)*($B$28/100))*$B31),0)))))))*2.5</f>
        <v>224.375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0.42182500000000001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Top Pentwyn</v>
      </c>
      <c r="B32" s="15">
        <v>250</v>
      </c>
      <c r="C32" s="77">
        <f t="shared" ref="C32:C50" si="6">IF(C$27="%w/w SAR",((C$28*10)*$B32),IF(C$27="%w/w DM",(((C$28*10)*($B$28/100))*$B32),IF(C$27="kg/t SAR",(C$28*$B32),IF(C$27="kg/t DM",((C$28*($B$28/100))*$B32),IF(C$27="mg/kg SAR",((C$28*0.001)*$B32),IF(C$27="mg/kg DM",(((C$28*0.001)*($B$28/100))*$B32),0))))))</f>
        <v>88.762750000000011</v>
      </c>
      <c r="D32" s="77">
        <f t="shared" ref="D32:D50" si="7">(IF(D$27="%w/w SAR",((D$28*10)*$B32),IF(D$27="%w/w DM",(((D$28*10)*($B$28/100))*$B32),IF(D$27="kg/t SAR",(D$28*$B32),IF(D$27="kg/t DM",((D$28*($B$28/100))*$B32),IF(D$27="mg/kg SAR",((D$28*0.001)*$B32),IF(D$27="mg/kg DM",(((D$28*0.001)*($B$28/100))*$B32),"0")))))))*2.291</f>
        <v>18.258811800000004</v>
      </c>
      <c r="E32" s="77">
        <f t="shared" ref="E32:E50" si="8">(IF(E$27="%w/w SAR",((E$28*10)*$B32),IF(E$27="%w/w DM",(((E$28*10)*($B$28/100))*$B32),IF(E$27="kg/t SAR",(E$28*$B32),IF(E$27="kg/t DM",((E$28*($B$28/100))*$B32),IF(E$27="mg/kg SAR",((E$28*0.001)*$B32),IF(E$27="mg/kg DM",(((E$28*0.001)*($B$28/100))*$B32),"0")))))))*1.205</f>
        <v>2.3792724999999999</v>
      </c>
      <c r="F32" s="77">
        <f t="shared" ref="F32:F50" si="9">(IF(F$27="%w/w SAR",((F$28*10)*$B32),IF(F$27="%w/w DM",(((F$28*10)*($B$28/100))*$B32),IF(F$27="kg/t SAR",(F$28*$B32),IF(F$27="kg/t DM",((F$28*($B$28/100))*$B32),IF(F$27="mg/kg SAR",((F$28*0.001)*$B32),IF(F$27="mg/kg DM",(((F$28*0.001)*($B$28/100))*$B32),"0")))))))*1.658</f>
        <v>3.4374070500000005</v>
      </c>
      <c r="G32" s="77">
        <f t="shared" si="5"/>
        <v>0.34374250000000001</v>
      </c>
      <c r="H32" s="77">
        <f t="shared" si="5"/>
        <v>1.0411000000000001</v>
      </c>
      <c r="I32" s="77">
        <f t="shared" si="5"/>
        <v>3.2579249999999997E-2</v>
      </c>
      <c r="J32" s="77">
        <f t="shared" si="5"/>
        <v>1.9027000000000002E-2</v>
      </c>
      <c r="K32" s="77">
        <f t="shared" si="5"/>
        <v>1.0052000000000002E-2</v>
      </c>
      <c r="L32" s="77">
        <f t="shared" si="5"/>
        <v>0.12834250000000003</v>
      </c>
      <c r="M32" s="77">
        <f t="shared" si="5"/>
        <v>1.7052499999999998E-2</v>
      </c>
      <c r="N32" s="77">
        <f t="shared" si="5"/>
        <v>1759.1000000000001</v>
      </c>
      <c r="O32" s="77">
        <f t="shared" si="5"/>
        <v>70.094750000000005</v>
      </c>
      <c r="P32" s="77">
        <f t="shared" si="5"/>
        <v>0</v>
      </c>
      <c r="Q32" s="77">
        <f t="shared" ref="Q32:Q50" si="10">(IF(Q$27="%w/w SAR",((Q$28*10)*$B32),IF(Q$27="%w/w DM",(((Q$28*10)*($B$28/100))*$B32),IF(Q$27="kg/t SAR",(Q$28*$B32),IF(Q$27="kg/t DM",((Q$28*($B$28/100))*$B32),IF(Q$27="mg/kg SAR",((Q$28*0.001)*$B32),IF(Q$27="mg/kg DM",(((Q$28*0.001)*($B$28/100))*$B32),0)))))))*2.5</f>
        <v>224.375</v>
      </c>
      <c r="R32" s="77">
        <f t="shared" ref="R32:U50" si="11">IF(R$27="%w/w SAR",((R$28*10)*$B32),IF(R$27="%w/w DM",(((R$28*10)*($B$28/100))*$B32),IF(R$27="kg/t SAR",(R$28*$B32),IF(R$27="kg/t DM",((R$28*($B$28/100))*$B32),IF(R$27="mg/kg SAR",((R$28*0.001)*$B32),IF(R$27="mg/kg DM",(((R$28*0.001)*($B$28/100))*$B32),0))))))</f>
        <v>0</v>
      </c>
      <c r="S32" s="77">
        <f t="shared" si="11"/>
        <v>0.42182500000000001</v>
      </c>
      <c r="T32" s="77">
        <f t="shared" si="11"/>
        <v>0</v>
      </c>
      <c r="U32" s="77">
        <f t="shared" si="11"/>
        <v>0</v>
      </c>
      <c r="AB32" s="59"/>
      <c r="AC32" s="59"/>
      <c r="AD32" s="59"/>
      <c r="AE32" s="59"/>
      <c r="AF32" s="59"/>
      <c r="AG32" s="59"/>
      <c r="AH32" s="59"/>
      <c r="AI32" s="59"/>
    </row>
    <row r="33" spans="1:35" s="72" customFormat="1" ht="13" x14ac:dyDescent="0.35">
      <c r="A33" s="13" t="str">
        <f>E8</f>
        <v xml:space="preserve">Bottom Pentwyn </v>
      </c>
      <c r="B33" s="15">
        <v>250</v>
      </c>
      <c r="C33" s="77">
        <f t="shared" si="6"/>
        <v>88.762750000000011</v>
      </c>
      <c r="D33" s="77">
        <f t="shared" si="7"/>
        <v>18.258811800000004</v>
      </c>
      <c r="E33" s="77">
        <f t="shared" si="8"/>
        <v>2.3792724999999999</v>
      </c>
      <c r="F33" s="77">
        <f t="shared" si="9"/>
        <v>3.4374070500000005</v>
      </c>
      <c r="G33" s="77">
        <f t="shared" si="5"/>
        <v>0.34374250000000001</v>
      </c>
      <c r="H33" s="77">
        <f t="shared" si="5"/>
        <v>1.0411000000000001</v>
      </c>
      <c r="I33" s="77">
        <f t="shared" si="5"/>
        <v>3.2579249999999997E-2</v>
      </c>
      <c r="J33" s="77">
        <f t="shared" si="5"/>
        <v>1.9027000000000002E-2</v>
      </c>
      <c r="K33" s="77">
        <f t="shared" si="5"/>
        <v>1.0052000000000002E-2</v>
      </c>
      <c r="L33" s="77">
        <f t="shared" si="5"/>
        <v>0.12834250000000003</v>
      </c>
      <c r="M33" s="77">
        <f t="shared" si="5"/>
        <v>1.7052499999999998E-2</v>
      </c>
      <c r="N33" s="77">
        <f t="shared" si="5"/>
        <v>1759.1000000000001</v>
      </c>
      <c r="O33" s="77">
        <f t="shared" si="5"/>
        <v>70.094750000000005</v>
      </c>
      <c r="P33" s="77">
        <f t="shared" si="5"/>
        <v>0</v>
      </c>
      <c r="Q33" s="77">
        <f t="shared" si="10"/>
        <v>224.375</v>
      </c>
      <c r="R33" s="77">
        <f t="shared" si="11"/>
        <v>0</v>
      </c>
      <c r="S33" s="77">
        <f t="shared" si="11"/>
        <v>0.42182500000000001</v>
      </c>
      <c r="T33" s="77">
        <f t="shared" si="11"/>
        <v>0</v>
      </c>
      <c r="U33" s="77">
        <f t="shared" si="11"/>
        <v>0</v>
      </c>
      <c r="AB33" s="59"/>
      <c r="AC33" s="59"/>
      <c r="AD33" s="59"/>
      <c r="AE33" s="59"/>
      <c r="AF33" s="59"/>
      <c r="AG33" s="59"/>
      <c r="AH33" s="59"/>
      <c r="AI33" s="59"/>
    </row>
    <row r="34" spans="1:35" s="72" customFormat="1" ht="13" x14ac:dyDescent="0.35">
      <c r="A34" s="13" t="str">
        <f>F8</f>
        <v xml:space="preserve">Lodge </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Pentwyn Corner</v>
      </c>
      <c r="B35" s="15">
        <v>250</v>
      </c>
      <c r="C35" s="77">
        <f t="shared" si="6"/>
        <v>88.762750000000011</v>
      </c>
      <c r="D35" s="77">
        <f t="shared" si="7"/>
        <v>18.258811800000004</v>
      </c>
      <c r="E35" s="77">
        <f t="shared" si="8"/>
        <v>2.3792724999999999</v>
      </c>
      <c r="F35" s="77">
        <f t="shared" si="9"/>
        <v>3.4374070500000005</v>
      </c>
      <c r="G35" s="77">
        <f t="shared" si="5"/>
        <v>0.34374250000000001</v>
      </c>
      <c r="H35" s="77">
        <f t="shared" si="5"/>
        <v>1.0411000000000001</v>
      </c>
      <c r="I35" s="77">
        <f t="shared" si="5"/>
        <v>3.2579249999999997E-2</v>
      </c>
      <c r="J35" s="77">
        <f t="shared" si="5"/>
        <v>1.9027000000000002E-2</v>
      </c>
      <c r="K35" s="77">
        <f t="shared" si="5"/>
        <v>1.0052000000000002E-2</v>
      </c>
      <c r="L35" s="77">
        <f t="shared" si="5"/>
        <v>0.12834250000000003</v>
      </c>
      <c r="M35" s="77">
        <f t="shared" si="5"/>
        <v>1.7052499999999998E-2</v>
      </c>
      <c r="N35" s="77">
        <f t="shared" si="5"/>
        <v>1759.1000000000001</v>
      </c>
      <c r="O35" s="77">
        <f t="shared" si="5"/>
        <v>70.094750000000005</v>
      </c>
      <c r="P35" s="77">
        <f t="shared" si="5"/>
        <v>0</v>
      </c>
      <c r="Q35" s="77">
        <f t="shared" si="10"/>
        <v>224.375</v>
      </c>
      <c r="R35" s="77">
        <f t="shared" si="11"/>
        <v>0</v>
      </c>
      <c r="S35" s="77">
        <f t="shared" si="11"/>
        <v>0.42182500000000001</v>
      </c>
      <c r="T35" s="77">
        <f t="shared" si="11"/>
        <v>0</v>
      </c>
      <c r="U35" s="77">
        <f t="shared" si="11"/>
        <v>0</v>
      </c>
      <c r="AB35" s="59"/>
      <c r="AC35" s="59"/>
      <c r="AD35" s="59"/>
      <c r="AE35" s="59"/>
      <c r="AF35" s="59"/>
      <c r="AG35" s="59"/>
      <c r="AH35" s="59"/>
      <c r="AI35" s="59"/>
    </row>
    <row r="36" spans="1:35" s="72" customFormat="1" ht="13" x14ac:dyDescent="0.35">
      <c r="A36" s="13" t="str">
        <f>H8</f>
        <v>16 Acres</v>
      </c>
      <c r="B36" s="15">
        <v>250</v>
      </c>
      <c r="C36" s="77">
        <f t="shared" si="6"/>
        <v>88.762750000000011</v>
      </c>
      <c r="D36" s="77">
        <f t="shared" si="7"/>
        <v>18.258811800000004</v>
      </c>
      <c r="E36" s="77">
        <f t="shared" si="8"/>
        <v>2.3792724999999999</v>
      </c>
      <c r="F36" s="77">
        <f t="shared" si="9"/>
        <v>3.4374070500000005</v>
      </c>
      <c r="G36" s="77">
        <f t="shared" si="5"/>
        <v>0.34374250000000001</v>
      </c>
      <c r="H36" s="77">
        <f t="shared" si="5"/>
        <v>1.0411000000000001</v>
      </c>
      <c r="I36" s="77">
        <f t="shared" si="5"/>
        <v>3.2579249999999997E-2</v>
      </c>
      <c r="J36" s="77">
        <f t="shared" si="5"/>
        <v>1.9027000000000002E-2</v>
      </c>
      <c r="K36" s="77">
        <f t="shared" si="5"/>
        <v>1.0052000000000002E-2</v>
      </c>
      <c r="L36" s="77">
        <f t="shared" si="5"/>
        <v>0.12834250000000003</v>
      </c>
      <c r="M36" s="77">
        <f t="shared" si="5"/>
        <v>1.7052499999999998E-2</v>
      </c>
      <c r="N36" s="77">
        <f t="shared" si="5"/>
        <v>1759.1000000000001</v>
      </c>
      <c r="O36" s="77">
        <f t="shared" si="5"/>
        <v>70.094750000000005</v>
      </c>
      <c r="P36" s="77">
        <f t="shared" si="5"/>
        <v>0</v>
      </c>
      <c r="Q36" s="77">
        <f t="shared" si="10"/>
        <v>224.375</v>
      </c>
      <c r="R36" s="77">
        <f t="shared" si="11"/>
        <v>0</v>
      </c>
      <c r="S36" s="77">
        <f t="shared" si="11"/>
        <v>0.42182500000000001</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88.762750000000011</v>
      </c>
      <c r="D37" s="77">
        <f t="shared" si="7"/>
        <v>18.258811800000004</v>
      </c>
      <c r="E37" s="77">
        <f t="shared" si="8"/>
        <v>2.3792724999999999</v>
      </c>
      <c r="F37" s="77">
        <f t="shared" si="9"/>
        <v>3.4374070500000005</v>
      </c>
      <c r="G37" s="77">
        <f t="shared" si="5"/>
        <v>0.34374250000000001</v>
      </c>
      <c r="H37" s="77">
        <f t="shared" si="5"/>
        <v>1.0411000000000001</v>
      </c>
      <c r="I37" s="77">
        <f t="shared" si="5"/>
        <v>3.2579249999999997E-2</v>
      </c>
      <c r="J37" s="77">
        <f t="shared" si="5"/>
        <v>1.9027000000000002E-2</v>
      </c>
      <c r="K37" s="77">
        <f t="shared" si="5"/>
        <v>1.0052000000000002E-2</v>
      </c>
      <c r="L37" s="77">
        <f t="shared" si="5"/>
        <v>0.12834250000000003</v>
      </c>
      <c r="M37" s="77">
        <f t="shared" si="5"/>
        <v>1.7052499999999998E-2</v>
      </c>
      <c r="N37" s="77">
        <f t="shared" si="5"/>
        <v>1759.1000000000001</v>
      </c>
      <c r="O37" s="77">
        <f t="shared" si="5"/>
        <v>70.094750000000005</v>
      </c>
      <c r="P37" s="77">
        <f t="shared" si="5"/>
        <v>0</v>
      </c>
      <c r="Q37" s="77">
        <f t="shared" si="10"/>
        <v>224.375</v>
      </c>
      <c r="R37" s="77">
        <f t="shared" si="11"/>
        <v>0</v>
      </c>
      <c r="S37" s="77">
        <f t="shared" si="11"/>
        <v>0.42182500000000001</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88.762750000000011</v>
      </c>
      <c r="D38" s="77">
        <f t="shared" si="7"/>
        <v>18.258811800000004</v>
      </c>
      <c r="E38" s="77">
        <f t="shared" si="8"/>
        <v>2.3792724999999999</v>
      </c>
      <c r="F38" s="77">
        <f t="shared" si="9"/>
        <v>3.4374070500000005</v>
      </c>
      <c r="G38" s="77">
        <f t="shared" si="5"/>
        <v>0.34374250000000001</v>
      </c>
      <c r="H38" s="77">
        <f t="shared" si="5"/>
        <v>1.0411000000000001</v>
      </c>
      <c r="I38" s="77">
        <f t="shared" si="5"/>
        <v>3.2579249999999997E-2</v>
      </c>
      <c r="J38" s="77">
        <f t="shared" si="5"/>
        <v>1.9027000000000002E-2</v>
      </c>
      <c r="K38" s="77">
        <f t="shared" si="5"/>
        <v>1.0052000000000002E-2</v>
      </c>
      <c r="L38" s="77">
        <f t="shared" si="5"/>
        <v>0.12834250000000003</v>
      </c>
      <c r="M38" s="77">
        <f t="shared" si="5"/>
        <v>1.7052499999999998E-2</v>
      </c>
      <c r="N38" s="77">
        <f t="shared" si="5"/>
        <v>1759.1000000000001</v>
      </c>
      <c r="O38" s="77">
        <f t="shared" si="5"/>
        <v>70.094750000000005</v>
      </c>
      <c r="P38" s="77">
        <f t="shared" si="5"/>
        <v>0</v>
      </c>
      <c r="Q38" s="77">
        <f t="shared" si="10"/>
        <v>224.375</v>
      </c>
      <c r="R38" s="77">
        <f t="shared" si="11"/>
        <v>0</v>
      </c>
      <c r="S38" s="77">
        <f t="shared" si="11"/>
        <v>0.42182500000000001</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88.762750000000011</v>
      </c>
      <c r="D39" s="77">
        <f t="shared" si="7"/>
        <v>18.258811800000004</v>
      </c>
      <c r="E39" s="77">
        <f t="shared" si="8"/>
        <v>2.3792724999999999</v>
      </c>
      <c r="F39" s="77">
        <f t="shared" si="9"/>
        <v>3.4374070500000005</v>
      </c>
      <c r="G39" s="77">
        <f t="shared" si="5"/>
        <v>0.34374250000000001</v>
      </c>
      <c r="H39" s="77">
        <f t="shared" si="5"/>
        <v>1.0411000000000001</v>
      </c>
      <c r="I39" s="77">
        <f t="shared" si="5"/>
        <v>3.2579249999999997E-2</v>
      </c>
      <c r="J39" s="77">
        <f t="shared" si="5"/>
        <v>1.9027000000000002E-2</v>
      </c>
      <c r="K39" s="77">
        <f t="shared" si="5"/>
        <v>1.0052000000000002E-2</v>
      </c>
      <c r="L39" s="77">
        <f t="shared" si="5"/>
        <v>0.12834250000000003</v>
      </c>
      <c r="M39" s="77">
        <f t="shared" si="5"/>
        <v>1.7052499999999998E-2</v>
      </c>
      <c r="N39" s="77">
        <f t="shared" si="5"/>
        <v>1759.1000000000001</v>
      </c>
      <c r="O39" s="77">
        <f t="shared" si="5"/>
        <v>70.094750000000005</v>
      </c>
      <c r="P39" s="77">
        <f t="shared" si="5"/>
        <v>0</v>
      </c>
      <c r="Q39" s="77">
        <f t="shared" si="10"/>
        <v>224.375</v>
      </c>
      <c r="R39" s="77">
        <f t="shared" si="11"/>
        <v>0</v>
      </c>
      <c r="S39" s="77">
        <f t="shared" si="11"/>
        <v>0.42182500000000001</v>
      </c>
      <c r="T39" s="77">
        <f t="shared" si="11"/>
        <v>0</v>
      </c>
      <c r="U39" s="77">
        <f t="shared" si="11"/>
        <v>0</v>
      </c>
      <c r="AB39" s="59"/>
      <c r="AC39" s="59"/>
      <c r="AD39" s="59"/>
      <c r="AE39" s="59"/>
      <c r="AF39" s="59"/>
      <c r="AG39" s="59"/>
      <c r="AH39" s="59"/>
      <c r="AI39" s="59"/>
    </row>
    <row r="40" spans="1:35" s="72" customFormat="1" ht="13" x14ac:dyDescent="0.35">
      <c r="A40" s="13" t="str">
        <f>L8</f>
        <v>Sheep Shed</v>
      </c>
      <c r="B40" s="15">
        <v>250</v>
      </c>
      <c r="C40" s="77">
        <f t="shared" si="6"/>
        <v>88.762750000000011</v>
      </c>
      <c r="D40" s="77">
        <f t="shared" si="7"/>
        <v>18.258811800000004</v>
      </c>
      <c r="E40" s="77">
        <f t="shared" si="8"/>
        <v>2.3792724999999999</v>
      </c>
      <c r="F40" s="77">
        <f t="shared" si="9"/>
        <v>3.4374070500000005</v>
      </c>
      <c r="G40" s="77">
        <f t="shared" si="5"/>
        <v>0.34374250000000001</v>
      </c>
      <c r="H40" s="77">
        <f t="shared" si="5"/>
        <v>1.0411000000000001</v>
      </c>
      <c r="I40" s="77">
        <f t="shared" si="5"/>
        <v>3.2579249999999997E-2</v>
      </c>
      <c r="J40" s="77">
        <f t="shared" si="5"/>
        <v>1.9027000000000002E-2</v>
      </c>
      <c r="K40" s="77">
        <f t="shared" si="5"/>
        <v>1.0052000000000002E-2</v>
      </c>
      <c r="L40" s="77">
        <f t="shared" si="5"/>
        <v>0.12834250000000003</v>
      </c>
      <c r="M40" s="77">
        <f t="shared" si="5"/>
        <v>1.7052499999999998E-2</v>
      </c>
      <c r="N40" s="77">
        <f t="shared" si="5"/>
        <v>1759.1000000000001</v>
      </c>
      <c r="O40" s="77">
        <f t="shared" si="5"/>
        <v>70.094750000000005</v>
      </c>
      <c r="P40" s="77">
        <f t="shared" si="5"/>
        <v>0</v>
      </c>
      <c r="Q40" s="77">
        <f t="shared" si="10"/>
        <v>224.375</v>
      </c>
      <c r="R40" s="77">
        <f t="shared" si="11"/>
        <v>0</v>
      </c>
      <c r="S40" s="77">
        <f t="shared" si="11"/>
        <v>0.42182500000000001</v>
      </c>
      <c r="T40" s="77">
        <f t="shared" si="11"/>
        <v>0</v>
      </c>
      <c r="U40" s="77">
        <f t="shared" si="11"/>
        <v>0</v>
      </c>
      <c r="AB40" s="59"/>
      <c r="AC40" s="59"/>
      <c r="AD40" s="59"/>
      <c r="AE40" s="59"/>
      <c r="AF40" s="59"/>
      <c r="AG40" s="59"/>
      <c r="AH40" s="59"/>
      <c r="AI40" s="59"/>
    </row>
    <row r="41" spans="1:35" s="72" customFormat="1" ht="13" x14ac:dyDescent="0.35">
      <c r="A41" s="13" t="str">
        <f>M8</f>
        <v>Badger Burry</v>
      </c>
      <c r="B41" s="15">
        <v>250</v>
      </c>
      <c r="C41" s="77">
        <f t="shared" si="6"/>
        <v>88.762750000000011</v>
      </c>
      <c r="D41" s="77">
        <f t="shared" si="7"/>
        <v>18.258811800000004</v>
      </c>
      <c r="E41" s="77">
        <f t="shared" si="8"/>
        <v>2.3792724999999999</v>
      </c>
      <c r="F41" s="77">
        <f t="shared" si="9"/>
        <v>3.4374070500000005</v>
      </c>
      <c r="G41" s="77">
        <f t="shared" si="5"/>
        <v>0.34374250000000001</v>
      </c>
      <c r="H41" s="77">
        <f t="shared" si="5"/>
        <v>1.0411000000000001</v>
      </c>
      <c r="I41" s="77">
        <f t="shared" si="5"/>
        <v>3.2579249999999997E-2</v>
      </c>
      <c r="J41" s="77">
        <f t="shared" si="5"/>
        <v>1.9027000000000002E-2</v>
      </c>
      <c r="K41" s="77">
        <f t="shared" si="5"/>
        <v>1.0052000000000002E-2</v>
      </c>
      <c r="L41" s="77">
        <f t="shared" si="5"/>
        <v>0.12834250000000003</v>
      </c>
      <c r="M41" s="77">
        <f t="shared" si="5"/>
        <v>1.7052499999999998E-2</v>
      </c>
      <c r="N41" s="77">
        <f t="shared" si="5"/>
        <v>1759.1000000000001</v>
      </c>
      <c r="O41" s="77">
        <f t="shared" si="5"/>
        <v>70.094750000000005</v>
      </c>
      <c r="P41" s="77">
        <f t="shared" si="5"/>
        <v>0</v>
      </c>
      <c r="Q41" s="77">
        <f t="shared" si="10"/>
        <v>224.375</v>
      </c>
      <c r="R41" s="77">
        <f t="shared" si="11"/>
        <v>0</v>
      </c>
      <c r="S41" s="77">
        <f t="shared" si="11"/>
        <v>0.42182500000000001</v>
      </c>
      <c r="T41" s="77">
        <f t="shared" si="11"/>
        <v>0</v>
      </c>
      <c r="U41" s="77">
        <f t="shared" si="11"/>
        <v>0</v>
      </c>
      <c r="AB41" s="59"/>
      <c r="AC41" s="59"/>
      <c r="AD41" s="59"/>
      <c r="AE41" s="59"/>
      <c r="AF41" s="59"/>
      <c r="AG41" s="59"/>
      <c r="AH41" s="59"/>
      <c r="AI41" s="59"/>
    </row>
    <row r="42" spans="1:35" s="72" customFormat="1" ht="13" x14ac:dyDescent="0.35">
      <c r="A42" s="13" t="str">
        <f>N8</f>
        <v>Long meadow</v>
      </c>
      <c r="B42" s="15">
        <v>250</v>
      </c>
      <c r="C42" s="77">
        <f t="shared" si="6"/>
        <v>88.762750000000011</v>
      </c>
      <c r="D42" s="77">
        <f t="shared" si="7"/>
        <v>18.258811800000004</v>
      </c>
      <c r="E42" s="77">
        <f t="shared" si="8"/>
        <v>2.3792724999999999</v>
      </c>
      <c r="F42" s="77">
        <f t="shared" si="9"/>
        <v>3.4374070500000005</v>
      </c>
      <c r="G42" s="77">
        <f t="shared" si="5"/>
        <v>0.34374250000000001</v>
      </c>
      <c r="H42" s="77">
        <f t="shared" si="5"/>
        <v>1.0411000000000001</v>
      </c>
      <c r="I42" s="77">
        <f t="shared" si="5"/>
        <v>3.2579249999999997E-2</v>
      </c>
      <c r="J42" s="77">
        <f t="shared" si="5"/>
        <v>1.9027000000000002E-2</v>
      </c>
      <c r="K42" s="77">
        <f t="shared" si="5"/>
        <v>1.0052000000000002E-2</v>
      </c>
      <c r="L42" s="77">
        <f t="shared" si="5"/>
        <v>0.12834250000000003</v>
      </c>
      <c r="M42" s="77">
        <f t="shared" si="5"/>
        <v>1.7052499999999998E-2</v>
      </c>
      <c r="N42" s="77">
        <f t="shared" si="5"/>
        <v>1759.1000000000001</v>
      </c>
      <c r="O42" s="77">
        <f t="shared" si="5"/>
        <v>70.094750000000005</v>
      </c>
      <c r="P42" s="77">
        <f t="shared" si="5"/>
        <v>0</v>
      </c>
      <c r="Q42" s="77">
        <f t="shared" si="10"/>
        <v>224.375</v>
      </c>
      <c r="R42" s="77">
        <f t="shared" si="11"/>
        <v>0</v>
      </c>
      <c r="S42" s="77">
        <f t="shared" si="11"/>
        <v>0.42182500000000001</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17 Acres</v>
      </c>
      <c r="C57" s="8" t="str">
        <f t="shared" ref="C57:U57" si="13">D8</f>
        <v>Top Pentwyn</v>
      </c>
      <c r="D57" s="8" t="str">
        <f t="shared" si="13"/>
        <v xml:space="preserve">Bottom Pentwyn </v>
      </c>
      <c r="E57" s="8" t="str">
        <f t="shared" si="13"/>
        <v xml:space="preserve">Lodge </v>
      </c>
      <c r="F57" s="8" t="str">
        <f t="shared" si="13"/>
        <v>Pentwyn Corner</v>
      </c>
      <c r="G57" s="8" t="str">
        <f t="shared" si="13"/>
        <v>16 Acres</v>
      </c>
      <c r="H57" s="8" t="str">
        <f t="shared" si="13"/>
        <v>A</v>
      </c>
      <c r="I57" s="8" t="str">
        <f t="shared" si="13"/>
        <v>B</v>
      </c>
      <c r="J57" s="8" t="str">
        <f t="shared" si="13"/>
        <v>C</v>
      </c>
      <c r="K57" s="8" t="str">
        <f t="shared" si="13"/>
        <v>Sheep Shed</v>
      </c>
      <c r="L57" s="8" t="str">
        <f t="shared" si="13"/>
        <v>Badger Burry</v>
      </c>
      <c r="M57" s="8" t="str">
        <f t="shared" si="13"/>
        <v>Long meadow</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Arable</v>
      </c>
      <c r="M58" s="13" t="str">
        <f>N16&amp;" I "&amp;(VLOOKUP(N14,Table245811[],6,FALSE))</f>
        <v>Medium/Clay I Grass</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6.7</v>
      </c>
      <c r="M59" s="76">
        <f>VLOOKUP(N$14,Table245811[],5,FALSE)</f>
        <v>6.2</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6.5</v>
      </c>
      <c r="C60" s="76">
        <f t="shared" ref="C60:U60" si="14">D10</f>
        <v>6.6</v>
      </c>
      <c r="D60" s="76">
        <f t="shared" si="14"/>
        <v>6.9</v>
      </c>
      <c r="E60" s="76">
        <f t="shared" si="14"/>
        <v>5.6</v>
      </c>
      <c r="F60" s="76">
        <f t="shared" si="14"/>
        <v>6.4</v>
      </c>
      <c r="G60" s="76">
        <f t="shared" si="14"/>
        <v>6.5</v>
      </c>
      <c r="H60" s="76">
        <f t="shared" si="14"/>
        <v>6.1</v>
      </c>
      <c r="I60" s="76">
        <f t="shared" si="14"/>
        <v>6.3</v>
      </c>
      <c r="J60" s="76">
        <f t="shared" si="14"/>
        <v>6.2</v>
      </c>
      <c r="K60" s="76">
        <f t="shared" si="14"/>
        <v>6.1</v>
      </c>
      <c r="L60" s="76">
        <f t="shared" si="14"/>
        <v>6.3</v>
      </c>
      <c r="M60" s="76">
        <f t="shared" si="14"/>
        <v>6.2</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8</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-4.2000000000000011</v>
      </c>
      <c r="E64" s="77">
        <f t="shared" si="17"/>
        <v>3.6000000000000032</v>
      </c>
      <c r="F64" s="77">
        <f t="shared" si="17"/>
        <v>-1.2000000000000011</v>
      </c>
      <c r="G64" s="77">
        <f t="shared" si="17"/>
        <v>-1.7999999999999989</v>
      </c>
      <c r="H64" s="77">
        <f t="shared" si="17"/>
        <v>0.6000000000000032</v>
      </c>
      <c r="I64" s="77">
        <f t="shared" si="17"/>
        <v>-0.59999999999999787</v>
      </c>
      <c r="J64" s="77">
        <f t="shared" si="17"/>
        <v>0</v>
      </c>
      <c r="K64" s="77">
        <f t="shared" si="17"/>
        <v>0.6000000000000032</v>
      </c>
      <c r="L64" s="77">
        <f t="shared" si="17"/>
        <v>3.2000000000000028</v>
      </c>
      <c r="M64" s="77">
        <f t="shared" si="17"/>
        <v>0</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4.2000000000000011</v>
      </c>
      <c r="E65" s="77">
        <f t="shared" si="18"/>
        <v>-3.6000000000000032</v>
      </c>
      <c r="F65" s="77">
        <f t="shared" si="18"/>
        <v>1.2000000000000011</v>
      </c>
      <c r="G65" s="77">
        <f t="shared" si="18"/>
        <v>1.7999999999999989</v>
      </c>
      <c r="H65" s="77">
        <f t="shared" si="18"/>
        <v>-0.6000000000000032</v>
      </c>
      <c r="I65" s="77">
        <f t="shared" si="18"/>
        <v>0.59999999999999787</v>
      </c>
      <c r="J65" s="77">
        <f t="shared" si="18"/>
        <v>0</v>
      </c>
      <c r="K65" s="77">
        <f t="shared" si="18"/>
        <v>-0.6000000000000032</v>
      </c>
      <c r="L65" s="77">
        <f t="shared" si="18"/>
        <v>-3.2000000000000028</v>
      </c>
      <c r="M65" s="77">
        <f t="shared" si="18"/>
        <v>0</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UNDER</v>
      </c>
      <c r="L66" s="78" t="str">
        <f t="shared" si="19"/>
        <v>UNDER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92" priority="37" operator="equal">
      <formula>"DECREASE"</formula>
    </cfRule>
    <cfRule type="cellIs" dxfId="91" priority="38" operator="equal">
      <formula>"INCREASE"</formula>
    </cfRule>
  </conditionalFormatting>
  <conditionalFormatting sqref="B31:B50 B62:U66">
    <cfRule type="cellIs" dxfId="90" priority="36" operator="greaterThan">
      <formula>$B$51</formula>
    </cfRule>
  </conditionalFormatting>
  <conditionalFormatting sqref="C31:C50">
    <cfRule type="cellIs" dxfId="89" priority="35" operator="greaterThan">
      <formula>$C$51</formula>
    </cfRule>
  </conditionalFormatting>
  <conditionalFormatting sqref="C18:V18">
    <cfRule type="cellIs" dxfId="88" priority="34" operator="equal">
      <formula>0</formula>
    </cfRule>
  </conditionalFormatting>
  <conditionalFormatting sqref="C17:V17">
    <cfRule type="cellIs" dxfId="87" priority="33" operator="equal">
      <formula>0</formula>
    </cfRule>
  </conditionalFormatting>
  <conditionalFormatting sqref="C19:V19">
    <cfRule type="cellIs" dxfId="86" priority="32" operator="equal">
      <formula>0</formula>
    </cfRule>
  </conditionalFormatting>
  <conditionalFormatting sqref="G31:G50">
    <cfRule type="cellIs" dxfId="85" priority="31" operator="greaterThan">
      <formula>$G$51</formula>
    </cfRule>
  </conditionalFormatting>
  <conditionalFormatting sqref="H31:H50">
    <cfRule type="cellIs" dxfId="84" priority="30" operator="greaterThan">
      <formula>$H$51</formula>
    </cfRule>
  </conditionalFormatting>
  <conditionalFormatting sqref="I31:I50">
    <cfRule type="cellIs" dxfId="83" priority="29" operator="greaterThan">
      <formula>$I$51</formula>
    </cfRule>
  </conditionalFormatting>
  <conditionalFormatting sqref="K31:K50">
    <cfRule type="cellIs" dxfId="82" priority="28" operator="greaterThan">
      <formula>$K$51</formula>
    </cfRule>
  </conditionalFormatting>
  <conditionalFormatting sqref="L31:L50">
    <cfRule type="cellIs" dxfId="81" priority="27" operator="greaterThan">
      <formula>$L$51</formula>
    </cfRule>
  </conditionalFormatting>
  <conditionalFormatting sqref="M31:M50">
    <cfRule type="cellIs" dxfId="80" priority="26" operator="greaterThan">
      <formula>$M$51</formula>
    </cfRule>
  </conditionalFormatting>
  <conditionalFormatting sqref="P31:P50">
    <cfRule type="cellIs" dxfId="79" priority="25" operator="greaterThan">
      <formula>$P$51</formula>
    </cfRule>
  </conditionalFormatting>
  <conditionalFormatting sqref="R31:R50">
    <cfRule type="cellIs" dxfId="78" priority="24" operator="greaterThan">
      <formula>$R$51</formula>
    </cfRule>
  </conditionalFormatting>
  <conditionalFormatting sqref="S31:S50">
    <cfRule type="cellIs" dxfId="77" priority="23" operator="greaterThan">
      <formula>$S$51</formula>
    </cfRule>
  </conditionalFormatting>
  <conditionalFormatting sqref="T31:T50">
    <cfRule type="cellIs" dxfId="76" priority="22" operator="greaterThan">
      <formula>$T$51</formula>
    </cfRule>
  </conditionalFormatting>
  <conditionalFormatting sqref="U31:U50">
    <cfRule type="cellIs" dxfId="75" priority="21" operator="greaterThan">
      <formula>$U$51</formula>
    </cfRule>
  </conditionalFormatting>
  <conditionalFormatting sqref="C22:V22">
    <cfRule type="cellIs" dxfId="74" priority="20" operator="equal">
      <formula>0</formula>
    </cfRule>
  </conditionalFormatting>
  <conditionalFormatting sqref="C24:V24">
    <cfRule type="cellIs" dxfId="73" priority="18" operator="equal">
      <formula>"DECREASE"</formula>
    </cfRule>
    <cfRule type="cellIs" dxfId="72" priority="19" operator="equal">
      <formula>"INCREASE"</formula>
    </cfRule>
  </conditionalFormatting>
  <conditionalFormatting sqref="C23:V23">
    <cfRule type="cellIs" dxfId="71" priority="17" operator="equal">
      <formula>0</formula>
    </cfRule>
  </conditionalFormatting>
  <conditionalFormatting sqref="C21:V21">
    <cfRule type="cellIs" dxfId="70" priority="13" operator="equal">
      <formula>0</formula>
    </cfRule>
  </conditionalFormatting>
  <conditionalFormatting sqref="B66:U66">
    <cfRule type="cellIs" dxfId="69" priority="11" operator="equal">
      <formula>"UNDER"</formula>
    </cfRule>
    <cfRule type="cellIs" dxfId="68" priority="12" operator="equal">
      <formula>"OVER"</formula>
    </cfRule>
  </conditionalFormatting>
  <conditionalFormatting sqref="J31:J50">
    <cfRule type="cellIs" dxfId="67" priority="8" operator="greaterThan">
      <formula>$J$51</formula>
    </cfRule>
  </conditionalFormatting>
  <conditionalFormatting sqref="L3">
    <cfRule type="cellIs" dxfId="66" priority="4" operator="lessThan">
      <formula>30</formula>
    </cfRule>
    <cfRule type="cellIs" dxfId="65" priority="5" operator="greaterThanOrEqual">
      <formula>30</formula>
    </cfRule>
  </conditionalFormatting>
  <conditionalFormatting sqref="I1">
    <cfRule type="cellIs" dxfId="64" priority="3" operator="between">
      <formula>0.1</formula>
      <formula>5</formula>
    </cfRule>
  </conditionalFormatting>
  <conditionalFormatting sqref="I2">
    <cfRule type="cellIs" dxfId="63" priority="2" operator="greaterThan">
      <formula>5000.1</formula>
    </cfRule>
  </conditionalFormatting>
  <conditionalFormatting sqref="I3">
    <cfRule type="cellIs" dxfId="62"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9" zoomScale="90" zoomScaleNormal="90" workbookViewId="0">
      <selection activeCell="E27" sqref="E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'Cefn Dryscoed'!C1:D1</f>
        <v>PAN-025174</v>
      </c>
      <c r="D1" s="141"/>
      <c r="E1" s="93" t="s">
        <v>45</v>
      </c>
      <c r="F1" s="39">
        <f>'Cefn Dryscoed'!F1</f>
        <v>49.24</v>
      </c>
      <c r="G1" s="123" t="s">
        <v>43</v>
      </c>
      <c r="H1" s="124"/>
      <c r="I1" s="118">
        <v>6.6</v>
      </c>
      <c r="J1" s="127" t="s">
        <v>153</v>
      </c>
      <c r="K1" s="127"/>
      <c r="L1" s="97">
        <v>157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'Cefn Dryscoed'!C2:D2</f>
        <v>EPR/GP3792SK</v>
      </c>
      <c r="D2" s="143"/>
      <c r="E2" s="93" t="s">
        <v>109</v>
      </c>
      <c r="F2" s="96" t="s">
        <v>182</v>
      </c>
      <c r="G2" s="125" t="s">
        <v>110</v>
      </c>
      <c r="H2" s="126"/>
      <c r="I2" s="118"/>
      <c r="J2" s="127" t="s">
        <v>158</v>
      </c>
      <c r="K2" s="127"/>
      <c r="L2" s="97">
        <v>1.23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'Cefn Dryscoed'!C3:D3</f>
        <v xml:space="preserve">ByProduct Recovery LTD </v>
      </c>
      <c r="D3" s="143"/>
      <c r="E3" s="93" t="s">
        <v>108</v>
      </c>
      <c r="F3" s="31" t="s">
        <v>78</v>
      </c>
      <c r="G3" s="127" t="s">
        <v>159</v>
      </c>
      <c r="H3" s="127"/>
      <c r="I3" s="118"/>
      <c r="J3" s="123" t="s">
        <v>154</v>
      </c>
      <c r="K3" s="124"/>
      <c r="L3" s="97">
        <f>(L1/(L2*10000))*100</f>
        <v>1.2764227642276422</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'Cefn Dryscoed'!C4:D4</f>
        <v>Pentwyn Farm, Brecon, Powys, LD3 0SW</v>
      </c>
      <c r="D4" s="141"/>
      <c r="E4" s="94" t="s">
        <v>1</v>
      </c>
      <c r="F4" s="96" t="s">
        <v>185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'Cefn Dryscoed'!C5:D5</f>
        <v xml:space="preserve">Megan Tucker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'Cefn Dryscoed'!C8</f>
        <v>17 Acres</v>
      </c>
      <c r="D8" s="60" t="str">
        <f>'Cefn Dryscoed'!D8</f>
        <v>Top Pentwyn</v>
      </c>
      <c r="E8" s="60" t="str">
        <f>'Cefn Dryscoed'!E8</f>
        <v xml:space="preserve">Bottom Pentwyn </v>
      </c>
      <c r="F8" s="60" t="str">
        <f>'Cefn Dryscoed'!F8</f>
        <v xml:space="preserve">Lodge </v>
      </c>
      <c r="G8" s="60" t="str">
        <f>'Cefn Dryscoed'!G8</f>
        <v>Pentwyn Corner</v>
      </c>
      <c r="H8" s="60" t="str">
        <f>'Cefn Dryscoed'!H8</f>
        <v>16 Acres</v>
      </c>
      <c r="I8" s="60" t="str">
        <f>'Cefn Dryscoed'!I8</f>
        <v>A</v>
      </c>
      <c r="J8" s="60" t="str">
        <f>'Cefn Dryscoed'!J8</f>
        <v>B</v>
      </c>
      <c r="K8" s="60" t="str">
        <f>'Cefn Dryscoed'!K8</f>
        <v>C</v>
      </c>
      <c r="L8" s="60" t="str">
        <f>'Cefn Dryscoed'!L8</f>
        <v>Sheep Shed</v>
      </c>
      <c r="M8" s="60" t="str">
        <f>'Cefn Dryscoed'!M8</f>
        <v>Badger Burry</v>
      </c>
      <c r="N8" s="60" t="str">
        <f>'Cefn Dryscoed'!N8</f>
        <v>Long meadow</v>
      </c>
      <c r="O8" s="60">
        <f>'Cefn Dryscoed'!O8</f>
        <v>0</v>
      </c>
      <c r="P8" s="60">
        <f>'Cefn Dryscoed'!P8</f>
        <v>0</v>
      </c>
      <c r="Q8" s="60">
        <f>'Cefn Dryscoed'!Q8</f>
        <v>0</v>
      </c>
      <c r="R8" s="60">
        <f>'Cefn Dryscoed'!R8</f>
        <v>0</v>
      </c>
      <c r="S8" s="60">
        <f>'Cefn Dryscoed'!S8</f>
        <v>0</v>
      </c>
      <c r="T8" s="60">
        <f>'Cefn Dryscoed'!T8</f>
        <v>0</v>
      </c>
      <c r="U8" s="60">
        <f>'Cefn Dryscoed'!U8</f>
        <v>0</v>
      </c>
      <c r="V8" s="60">
        <f>'Cefn Dryscoed'!V8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'Cefn Dryscoed'!C9</f>
        <v>Medium</v>
      </c>
      <c r="D9" s="60" t="str">
        <f>'Cefn Dryscoed'!D9</f>
        <v>Medium</v>
      </c>
      <c r="E9" s="60" t="str">
        <f>'Cefn Dryscoed'!E9</f>
        <v xml:space="preserve">Medium </v>
      </c>
      <c r="F9" s="60">
        <f>'Cefn Dryscoed'!F9</f>
        <v>0</v>
      </c>
      <c r="G9" s="60" t="str">
        <f>'Cefn Dryscoed'!G9</f>
        <v>Medium</v>
      </c>
      <c r="H9" s="60" t="str">
        <f>'Cefn Dryscoed'!H9</f>
        <v>Medium</v>
      </c>
      <c r="I9" s="60" t="str">
        <f>'Cefn Dryscoed'!I9</f>
        <v>Medium</v>
      </c>
      <c r="J9" s="60" t="str">
        <f>'Cefn Dryscoed'!J9</f>
        <v>Medium</v>
      </c>
      <c r="K9" s="60" t="str">
        <f>'Cefn Dryscoed'!K9</f>
        <v>Medium</v>
      </c>
      <c r="L9" s="60" t="str">
        <f>'Cefn Dryscoed'!L9</f>
        <v>Meidum</v>
      </c>
      <c r="M9" s="60">
        <f>'Cefn Dryscoed'!M9</f>
        <v>1</v>
      </c>
      <c r="N9" s="60" t="str">
        <f>'Cefn Dryscoed'!N9</f>
        <v xml:space="preserve">Medium </v>
      </c>
      <c r="O9" s="60">
        <f>'Cefn Dryscoed'!O9</f>
        <v>0</v>
      </c>
      <c r="P9" s="60">
        <f>'Cefn Dryscoed'!P9</f>
        <v>0</v>
      </c>
      <c r="Q9" s="60">
        <f>'Cefn Dryscoed'!Q9</f>
        <v>0</v>
      </c>
      <c r="R9" s="60">
        <f>'Cefn Dryscoed'!R9</f>
        <v>0</v>
      </c>
      <c r="S9" s="60">
        <f>'Cefn Dryscoed'!S9</f>
        <v>0</v>
      </c>
      <c r="T9" s="60">
        <f>'Cefn Dryscoed'!T9</f>
        <v>0</v>
      </c>
      <c r="U9" s="60">
        <f>'Cefn Dryscoed'!U9</f>
        <v>0</v>
      </c>
      <c r="V9" s="60">
        <f>'Cefn Dryscoed'!V9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'Cefn Dryscoed'!C10</f>
        <v>6.5</v>
      </c>
      <c r="D10" s="60">
        <f>'Cefn Dryscoed'!D10</f>
        <v>6.6</v>
      </c>
      <c r="E10" s="60">
        <f>'Cefn Dryscoed'!E10</f>
        <v>6.9</v>
      </c>
      <c r="F10" s="60">
        <f>'Cefn Dryscoed'!F10</f>
        <v>5.6</v>
      </c>
      <c r="G10" s="60">
        <f>'Cefn Dryscoed'!G10</f>
        <v>6.4</v>
      </c>
      <c r="H10" s="60">
        <f>'Cefn Dryscoed'!H10</f>
        <v>6.5</v>
      </c>
      <c r="I10" s="60">
        <f>'Cefn Dryscoed'!I10</f>
        <v>6.1</v>
      </c>
      <c r="J10" s="60">
        <f>'Cefn Dryscoed'!J10</f>
        <v>6.3</v>
      </c>
      <c r="K10" s="60">
        <f>'Cefn Dryscoed'!K10</f>
        <v>6.2</v>
      </c>
      <c r="L10" s="60">
        <f>'Cefn Dryscoed'!L10</f>
        <v>6.1</v>
      </c>
      <c r="M10" s="60">
        <f>'Cefn Dryscoed'!M10</f>
        <v>6.3</v>
      </c>
      <c r="N10" s="60">
        <f>'Cefn Dryscoed'!N10</f>
        <v>6.2</v>
      </c>
      <c r="O10" s="60">
        <f>'Cefn Dryscoed'!O10</f>
        <v>0</v>
      </c>
      <c r="P10" s="60">
        <f>'Cefn Dryscoed'!P10</f>
        <v>0</v>
      </c>
      <c r="Q10" s="60">
        <f>'Cefn Dryscoed'!Q10</f>
        <v>0</v>
      </c>
      <c r="R10" s="60">
        <f>'Cefn Dryscoed'!R10</f>
        <v>0</v>
      </c>
      <c r="S10" s="60">
        <f>'Cefn Dryscoed'!S10</f>
        <v>0</v>
      </c>
      <c r="T10" s="60">
        <f>'Cefn Dryscoed'!T10</f>
        <v>0</v>
      </c>
      <c r="U10" s="60">
        <f>'Cefn Dryscoed'!U10</f>
        <v>0</v>
      </c>
      <c r="V10" s="60">
        <f>'Cefn Dryscoed'!V10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'Cefn Dryscoed'!C11</f>
        <v>3</v>
      </c>
      <c r="D11" s="60">
        <f>'Cefn Dryscoed'!D11</f>
        <v>2</v>
      </c>
      <c r="E11" s="60">
        <f>'Cefn Dryscoed'!E11</f>
        <v>2</v>
      </c>
      <c r="F11" s="60">
        <f>'Cefn Dryscoed'!F11</f>
        <v>3</v>
      </c>
      <c r="G11" s="60">
        <f>'Cefn Dryscoed'!G11</f>
        <v>3</v>
      </c>
      <c r="H11" s="60">
        <f>'Cefn Dryscoed'!H11</f>
        <v>3</v>
      </c>
      <c r="I11" s="60">
        <f>'Cefn Dryscoed'!I11</f>
        <v>3</v>
      </c>
      <c r="J11" s="60">
        <f>'Cefn Dryscoed'!J11</f>
        <v>3</v>
      </c>
      <c r="K11" s="60">
        <f>'Cefn Dryscoed'!K11</f>
        <v>3</v>
      </c>
      <c r="L11" s="60">
        <f>'Cefn Dryscoed'!L11</f>
        <v>2</v>
      </c>
      <c r="M11" s="60">
        <f>'Cefn Dryscoed'!M11</f>
        <v>3</v>
      </c>
      <c r="N11" s="60">
        <f>'Cefn Dryscoed'!N11</f>
        <v>2</v>
      </c>
      <c r="O11" s="60">
        <f>'Cefn Dryscoed'!O11</f>
        <v>0</v>
      </c>
      <c r="P11" s="60">
        <f>'Cefn Dryscoed'!P11</f>
        <v>0</v>
      </c>
      <c r="Q11" s="60">
        <f>'Cefn Dryscoed'!Q11</f>
        <v>0</v>
      </c>
      <c r="R11" s="60">
        <f>'Cefn Dryscoed'!R11</f>
        <v>0</v>
      </c>
      <c r="S11" s="60">
        <f>'Cefn Dryscoed'!S11</f>
        <v>0</v>
      </c>
      <c r="T11" s="60">
        <f>'Cefn Dryscoed'!T11</f>
        <v>0</v>
      </c>
      <c r="U11" s="60">
        <f>'Cefn Dryscoed'!U11</f>
        <v>0</v>
      </c>
      <c r="V11" s="60">
        <f>'Cefn Dryscoed'!V11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'Cefn Dryscoed'!C12</f>
        <v>2</v>
      </c>
      <c r="D12" s="60">
        <f>'Cefn Dryscoed'!D12</f>
        <v>2</v>
      </c>
      <c r="E12" s="60">
        <f>'Cefn Dryscoed'!E12</f>
        <v>2</v>
      </c>
      <c r="F12" s="60">
        <f>'Cefn Dryscoed'!F12</f>
        <v>2</v>
      </c>
      <c r="G12" s="60">
        <f>'Cefn Dryscoed'!G12</f>
        <v>3</v>
      </c>
      <c r="H12" s="60">
        <f>'Cefn Dryscoed'!H12</f>
        <v>2</v>
      </c>
      <c r="I12" s="60">
        <f>'Cefn Dryscoed'!I12</f>
        <v>2</v>
      </c>
      <c r="J12" s="60">
        <f>'Cefn Dryscoed'!J12</f>
        <v>2</v>
      </c>
      <c r="K12" s="60">
        <f>'Cefn Dryscoed'!K12</f>
        <v>2</v>
      </c>
      <c r="L12" s="60">
        <f>'Cefn Dryscoed'!L12</f>
        <v>2</v>
      </c>
      <c r="M12" s="60">
        <f>'Cefn Dryscoed'!M12</f>
        <v>4</v>
      </c>
      <c r="N12" s="60">
        <f>'Cefn Dryscoed'!N12</f>
        <v>2</v>
      </c>
      <c r="O12" s="60">
        <f>'Cefn Dryscoed'!O12</f>
        <v>0</v>
      </c>
      <c r="P12" s="60">
        <f>'Cefn Dryscoed'!P12</f>
        <v>0</v>
      </c>
      <c r="Q12" s="60">
        <f>'Cefn Dryscoed'!Q12</f>
        <v>0</v>
      </c>
      <c r="R12" s="60">
        <f>'Cefn Dryscoed'!R12</f>
        <v>0</v>
      </c>
      <c r="S12" s="60">
        <f>'Cefn Dryscoed'!S12</f>
        <v>0</v>
      </c>
      <c r="T12" s="60">
        <f>'Cefn Dryscoed'!T12</f>
        <v>0</v>
      </c>
      <c r="U12" s="60">
        <f>'Cefn Dryscoed'!U12</f>
        <v>0</v>
      </c>
      <c r="V12" s="60">
        <f>'Cefn Dryscoed'!V12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'Cefn Dryscoed'!C13</f>
        <v>2</v>
      </c>
      <c r="D13" s="60">
        <f>'Cefn Dryscoed'!D13</f>
        <v>2</v>
      </c>
      <c r="E13" s="60">
        <f>'Cefn Dryscoed'!E13</f>
        <v>2</v>
      </c>
      <c r="F13" s="60">
        <f>'Cefn Dryscoed'!F13</f>
        <v>2</v>
      </c>
      <c r="G13" s="60">
        <f>'Cefn Dryscoed'!G13</f>
        <v>3</v>
      </c>
      <c r="H13" s="60">
        <f>'Cefn Dryscoed'!H13</f>
        <v>2</v>
      </c>
      <c r="I13" s="60">
        <f>'Cefn Dryscoed'!I13</f>
        <v>3</v>
      </c>
      <c r="J13" s="60">
        <f>'Cefn Dryscoed'!J13</f>
        <v>3</v>
      </c>
      <c r="K13" s="60">
        <f>'Cefn Dryscoed'!K13</f>
        <v>3</v>
      </c>
      <c r="L13" s="60">
        <f>'Cefn Dryscoed'!L13</f>
        <v>2</v>
      </c>
      <c r="M13" s="60">
        <f>'Cefn Dryscoed'!M13</f>
        <v>2</v>
      </c>
      <c r="N13" s="60">
        <f>'Cefn Dryscoed'!N13</f>
        <v>2</v>
      </c>
      <c r="O13" s="60">
        <f>'Cefn Dryscoed'!O13</f>
        <v>0</v>
      </c>
      <c r="P13" s="60">
        <f>'Cefn Dryscoed'!P13</f>
        <v>0</v>
      </c>
      <c r="Q13" s="60">
        <f>'Cefn Dryscoed'!Q13</f>
        <v>0</v>
      </c>
      <c r="R13" s="60">
        <f>'Cefn Dryscoed'!R13</f>
        <v>0</v>
      </c>
      <c r="S13" s="60">
        <f>'Cefn Dryscoed'!S13</f>
        <v>0</v>
      </c>
      <c r="T13" s="60">
        <f>'Cefn Dryscoed'!T13</f>
        <v>0</v>
      </c>
      <c r="U13" s="60">
        <f>'Cefn Dryscoed'!U13</f>
        <v>0</v>
      </c>
      <c r="V13" s="60">
        <f>'Cefn Dryscoed'!V13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'Cefn Dryscoed'!C14</f>
        <v xml:space="preserve">Grass Silage (30% DM) </v>
      </c>
      <c r="D14" s="102" t="str">
        <f>'Cefn Dryscoed'!D14</f>
        <v xml:space="preserve">Grass Silage (30% DM) </v>
      </c>
      <c r="E14" s="102" t="str">
        <f>'Cefn Dryscoed'!E14</f>
        <v xml:space="preserve">Grass Silage (30% DM) </v>
      </c>
      <c r="F14" s="102" t="str">
        <f>'Cefn Dryscoed'!F14</f>
        <v xml:space="preserve">Grass Silage (30% DM) </v>
      </c>
      <c r="G14" s="102" t="str">
        <f>'Cefn Dryscoed'!G14</f>
        <v xml:space="preserve">Grass Silage (30% DM) </v>
      </c>
      <c r="H14" s="102" t="str">
        <f>'Cefn Dryscoed'!H14</f>
        <v xml:space="preserve">Grass Silage (30% DM) </v>
      </c>
      <c r="I14" s="102" t="str">
        <f>'Cefn Dryscoed'!I14</f>
        <v xml:space="preserve">Grass Silage (30% DM) </v>
      </c>
      <c r="J14" s="102" t="str">
        <f>'Cefn Dryscoed'!J14</f>
        <v xml:space="preserve">Grass Silage (30% DM) </v>
      </c>
      <c r="K14" s="102" t="str">
        <f>'Cefn Dryscoed'!K14</f>
        <v xml:space="preserve">Grass Silage (30% DM) </v>
      </c>
      <c r="L14" s="102" t="str">
        <f>'Cefn Dryscoed'!L14</f>
        <v xml:space="preserve">Grass Silage (30% DM) </v>
      </c>
      <c r="M14" s="102" t="str">
        <f>'Cefn Dryscoed'!M14</f>
        <v>Spring wheat/barley</v>
      </c>
      <c r="N14" s="102" t="str">
        <f>'Cefn Dryscoed'!N14</f>
        <v xml:space="preserve">Grass Silage (30% DM) </v>
      </c>
      <c r="O14" s="102">
        <f>'Cefn Dryscoed'!O14</f>
        <v>0</v>
      </c>
      <c r="P14" s="102">
        <f>'Cefn Dryscoed'!P14</f>
        <v>0</v>
      </c>
      <c r="Q14" s="102">
        <f>'Cefn Dryscoed'!Q14</f>
        <v>0</v>
      </c>
      <c r="R14" s="102">
        <f>'Cefn Dryscoed'!R14</f>
        <v>0</v>
      </c>
      <c r="S14" s="102">
        <f>'Cefn Dryscoed'!S14</f>
        <v>0</v>
      </c>
      <c r="T14" s="102">
        <f>'Cefn Dryscoed'!T14</f>
        <v>0</v>
      </c>
      <c r="U14" s="102">
        <f>'Cefn Dryscoed'!U14</f>
        <v>0</v>
      </c>
      <c r="V14" s="102">
        <f>'Cefn Dryscoed'!V14</f>
        <v>0</v>
      </c>
      <c r="AD14" s="30" t="s">
        <v>138</v>
      </c>
      <c r="AE14" s="30">
        <v>6</v>
      </c>
      <c r="AI14" s="53" t="s">
        <v>119</v>
      </c>
      <c r="AJ14" s="54">
        <v>0.8</v>
      </c>
      <c r="AK14" s="55">
        <v>1.7</v>
      </c>
      <c r="AL14" s="11">
        <v>12</v>
      </c>
      <c r="AM14" s="11">
        <v>6.7</v>
      </c>
      <c r="AN14" s="11" t="s">
        <v>135</v>
      </c>
    </row>
    <row r="15" spans="1:41" ht="13" x14ac:dyDescent="0.25">
      <c r="A15" s="135" t="s">
        <v>9</v>
      </c>
      <c r="B15" s="135"/>
      <c r="C15" s="60">
        <f>'Cefn Dryscoed'!C15</f>
        <v>38</v>
      </c>
      <c r="D15" s="60">
        <f>'Cefn Dryscoed'!D15</f>
        <v>38</v>
      </c>
      <c r="E15" s="60">
        <f>'Cefn Dryscoed'!E15</f>
        <v>38</v>
      </c>
      <c r="F15" s="60">
        <f>'Cefn Dryscoed'!F15</f>
        <v>38</v>
      </c>
      <c r="G15" s="60">
        <f>'Cefn Dryscoed'!G15</f>
        <v>38</v>
      </c>
      <c r="H15" s="60">
        <f>'Cefn Dryscoed'!H15</f>
        <v>38</v>
      </c>
      <c r="I15" s="60">
        <f>'Cefn Dryscoed'!I15</f>
        <v>38</v>
      </c>
      <c r="J15" s="60">
        <f>'Cefn Dryscoed'!J15</f>
        <v>38</v>
      </c>
      <c r="K15" s="60">
        <f>'Cefn Dryscoed'!K15</f>
        <v>38</v>
      </c>
      <c r="L15" s="60">
        <f>'Cefn Dryscoed'!L15</f>
        <v>38</v>
      </c>
      <c r="M15" s="60">
        <f>'Cefn Dryscoed'!M15</f>
        <v>5.5</v>
      </c>
      <c r="N15" s="60">
        <f>'Cefn Dryscoed'!N15</f>
        <v>38</v>
      </c>
      <c r="O15" s="60">
        <f>'Cefn Dryscoed'!O15</f>
        <v>0</v>
      </c>
      <c r="P15" s="60">
        <f>'Cefn Dryscoed'!P15</f>
        <v>0</v>
      </c>
      <c r="Q15" s="60">
        <f>'Cefn Dryscoed'!Q15</f>
        <v>0</v>
      </c>
      <c r="R15" s="60">
        <f>'Cefn Dryscoed'!R15</f>
        <v>0</v>
      </c>
      <c r="S15" s="60">
        <f>'Cefn Dryscoed'!S15</f>
        <v>0</v>
      </c>
      <c r="T15" s="60">
        <f>'Cefn Dryscoed'!T15</f>
        <v>0</v>
      </c>
      <c r="U15" s="60">
        <f>'Cefn Dryscoed'!U15</f>
        <v>0</v>
      </c>
      <c r="V15" s="60">
        <f>'Cefn Dryscoed'!V15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'Cefn Dryscoed'!C16</f>
        <v>Medium/Clay</v>
      </c>
      <c r="D16" s="103" t="str">
        <f>'Cefn Dryscoed'!D16</f>
        <v>Medium/Clay</v>
      </c>
      <c r="E16" s="103" t="str">
        <f>'Cefn Dryscoed'!E16</f>
        <v>Medium/Clay</v>
      </c>
      <c r="F16" s="103" t="str">
        <f>'Cefn Dryscoed'!F16</f>
        <v>Medium/Clay</v>
      </c>
      <c r="G16" s="103" t="str">
        <f>'Cefn Dryscoed'!G16</f>
        <v>Medium/Clay</v>
      </c>
      <c r="H16" s="103" t="str">
        <f>'Cefn Dryscoed'!H16</f>
        <v>Medium/Clay</v>
      </c>
      <c r="I16" s="103" t="str">
        <f>'Cefn Dryscoed'!I16</f>
        <v>Medium/Clay</v>
      </c>
      <c r="J16" s="103" t="str">
        <f>'Cefn Dryscoed'!J16</f>
        <v>Medium/Clay</v>
      </c>
      <c r="K16" s="103" t="str">
        <f>'Cefn Dryscoed'!K16</f>
        <v>Medium/Clay</v>
      </c>
      <c r="L16" s="103" t="str">
        <f>'Cefn Dryscoed'!L16</f>
        <v>Medium/Clay</v>
      </c>
      <c r="M16" s="103" t="str">
        <f>'Cefn Dryscoed'!M16</f>
        <v>Medium/Clay</v>
      </c>
      <c r="N16" s="103" t="str">
        <f>'Cefn Dryscoed'!N16</f>
        <v>Medium/Clay</v>
      </c>
      <c r="O16" s="103">
        <f>'Cefn Dryscoed'!O16</f>
        <v>0</v>
      </c>
      <c r="P16" s="103">
        <f>'Cefn Dryscoed'!P16</f>
        <v>0</v>
      </c>
      <c r="Q16" s="103">
        <f>'Cefn Dryscoed'!Q16</f>
        <v>0</v>
      </c>
      <c r="R16" s="103">
        <f>'Cefn Dryscoed'!R16</f>
        <v>0</v>
      </c>
      <c r="S16" s="103">
        <f>'Cefn Dryscoed'!S16</f>
        <v>0</v>
      </c>
      <c r="T16" s="103">
        <f>'Cefn Dryscoed'!T16</f>
        <v>0</v>
      </c>
      <c r="U16" s="103">
        <f>'Cefn Dryscoed'!U16</f>
        <v>0</v>
      </c>
      <c r="V16" s="103">
        <f>'Cefn Dryscoed'!V16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f t="shared" si="0"/>
        <v>46.75</v>
      </c>
      <c r="N17" s="28">
        <f t="shared" si="0"/>
        <v>79.8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19.941665850000003</v>
      </c>
      <c r="D18" s="16">
        <f>$D32</f>
        <v>65.027171250000009</v>
      </c>
      <c r="E18" s="16">
        <f>$D33</f>
        <v>64.160142300000004</v>
      </c>
      <c r="F18" s="16">
        <f>$D34</f>
        <v>0</v>
      </c>
      <c r="G18" s="16">
        <f>$D35</f>
        <v>19.941665850000003</v>
      </c>
      <c r="H18" s="16">
        <f>$D36</f>
        <v>19.941665850000003</v>
      </c>
      <c r="I18" s="16">
        <f>$D37</f>
        <v>19.941665850000003</v>
      </c>
      <c r="J18" s="16">
        <f>$D38</f>
        <v>19.941665850000003</v>
      </c>
      <c r="K18" s="16">
        <f>$D39</f>
        <v>19.941665850000003</v>
      </c>
      <c r="L18" s="16">
        <f>$D40</f>
        <v>65.027171250000009</v>
      </c>
      <c r="M18" s="16">
        <f>$D41</f>
        <v>19.941665850000003</v>
      </c>
      <c r="N18" s="16">
        <f>$D42</f>
        <v>65.027171250000009</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-59.85833414999999</v>
      </c>
      <c r="D19" s="16">
        <f t="shared" ref="D19:V19" si="1">D18-D17</f>
        <v>-14.772828749999988</v>
      </c>
      <c r="E19" s="16">
        <f t="shared" si="1"/>
        <v>-15.639857699999993</v>
      </c>
      <c r="F19" s="16">
        <f t="shared" si="1"/>
        <v>-79.8</v>
      </c>
      <c r="G19" s="16">
        <f t="shared" si="1"/>
        <v>-59.85833414999999</v>
      </c>
      <c r="H19" s="16">
        <f t="shared" si="1"/>
        <v>-59.85833414999999</v>
      </c>
      <c r="I19" s="16">
        <f t="shared" si="1"/>
        <v>-59.85833414999999</v>
      </c>
      <c r="J19" s="16">
        <f t="shared" si="1"/>
        <v>-59.85833414999999</v>
      </c>
      <c r="K19" s="16">
        <f t="shared" si="1"/>
        <v>-59.85833414999999</v>
      </c>
      <c r="L19" s="16">
        <f t="shared" si="1"/>
        <v>-14.772828749999988</v>
      </c>
      <c r="M19" s="16">
        <f t="shared" si="1"/>
        <v>-26.808334149999997</v>
      </c>
      <c r="N19" s="16">
        <f t="shared" si="1"/>
        <v>-14.772828749999988</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f t="shared" si="2"/>
        <v>66</v>
      </c>
      <c r="N21" s="28">
        <f t="shared" si="2"/>
        <v>273.60000000000002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2.6571479100000004</v>
      </c>
      <c r="D22" s="16">
        <f>$E32</f>
        <v>8.6646127500000016</v>
      </c>
      <c r="E22" s="16">
        <f>$E33</f>
        <v>8.5490845800000024</v>
      </c>
      <c r="F22" s="16">
        <f>$E34</f>
        <v>0</v>
      </c>
      <c r="G22" s="16">
        <f>$E35</f>
        <v>2.6571479100000004</v>
      </c>
      <c r="H22" s="16">
        <f>$E36</f>
        <v>2.6571479100000004</v>
      </c>
      <c r="I22" s="16">
        <f>$E37</f>
        <v>2.6571479100000004</v>
      </c>
      <c r="J22" s="16">
        <f>$E38</f>
        <v>2.6571479100000004</v>
      </c>
      <c r="K22" s="16">
        <f>$E39</f>
        <v>2.6571479100000004</v>
      </c>
      <c r="L22" s="16">
        <f>$E40</f>
        <v>8.6646127500000016</v>
      </c>
      <c r="M22" s="16">
        <f>$E41</f>
        <v>2.6571479100000004</v>
      </c>
      <c r="N22" s="16">
        <f>$E42</f>
        <v>8.6646127500000016</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-270.94285209000003</v>
      </c>
      <c r="D23" s="16">
        <f t="shared" ref="D23:V23" si="3">D22-D21</f>
        <v>-264.93538725000002</v>
      </c>
      <c r="E23" s="16">
        <f t="shared" si="3"/>
        <v>-265.05091542000002</v>
      </c>
      <c r="F23" s="16">
        <f t="shared" si="3"/>
        <v>-273.60000000000002</v>
      </c>
      <c r="G23" s="16">
        <f t="shared" si="3"/>
        <v>-270.94285209000003</v>
      </c>
      <c r="H23" s="16">
        <f t="shared" si="3"/>
        <v>-270.94285209000003</v>
      </c>
      <c r="I23" s="16">
        <f t="shared" si="3"/>
        <v>-270.94285209000003</v>
      </c>
      <c r="J23" s="16">
        <f t="shared" si="3"/>
        <v>-270.94285209000003</v>
      </c>
      <c r="K23" s="16">
        <f t="shared" si="3"/>
        <v>-270.94285209000003</v>
      </c>
      <c r="L23" s="16">
        <f t="shared" si="3"/>
        <v>-264.93538725000002</v>
      </c>
      <c r="M23" s="16">
        <f t="shared" si="3"/>
        <v>-63.342852090000001</v>
      </c>
      <c r="N23" s="16">
        <f t="shared" si="3"/>
        <v>-264.93538725000002</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8.41</v>
      </c>
      <c r="C28" s="15">
        <v>1.23</v>
      </c>
      <c r="D28" s="15">
        <v>0.45</v>
      </c>
      <c r="E28" s="15">
        <v>0.114</v>
      </c>
      <c r="F28" s="15">
        <v>2680</v>
      </c>
      <c r="G28" s="15">
        <v>100</v>
      </c>
      <c r="H28" s="15">
        <v>272</v>
      </c>
      <c r="I28" s="15">
        <v>26.9</v>
      </c>
      <c r="J28" s="15">
        <v>1.01</v>
      </c>
      <c r="K28" s="23">
        <v>0.48</v>
      </c>
      <c r="L28" s="15">
        <v>55.6</v>
      </c>
      <c r="M28" s="15">
        <v>36.200000000000003</v>
      </c>
      <c r="N28" s="15">
        <v>245000</v>
      </c>
      <c r="O28" s="15">
        <v>49800</v>
      </c>
      <c r="P28" s="15"/>
      <c r="Q28" s="15">
        <v>10300</v>
      </c>
      <c r="R28" s="15"/>
      <c r="S28" s="15">
        <v>37.1</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17 Acres</v>
      </c>
      <c r="B31" s="15">
        <v>23</v>
      </c>
      <c r="C31" s="77">
        <f>IF(C$27="%w/w SAR",((C$28*10)*$B31),IF(C$27="%w/w DM",(((C$28*10)*($B$28/100))*$B31),IF(C$27="kg/t SAR",(C$28*$B31),IF(C$27="kg/t DM",((C$28*($B$28/100))*$B31),IF(C$27="mg/kg SAR",((C$28*0.001)*$B31),IF(C$27="mg/kg DM",(((C$28*0.001)*($B$28/100))*$B31),0))))))</f>
        <v>23.791890000000006</v>
      </c>
      <c r="D31" s="77">
        <f>(IF(D$27="%w/w SAR",((D$28*10)*$B31),IF(D$27="%w/w DM",(((D$28*10)*($B$28/100))*$B31),IF(D$27="kg/t SAR",(D$28*$B31),IF(D$27="kg/t DM",((D$28*($B$28/100))*$B31),IF(D$27="mg/kg SAR",((D$28*0.001)*$B31),IF(D$27="mg/kg DM",(((D$28*0.001)*($B$28/100))*$B31),"0")))))))*2.291</f>
        <v>19.941665850000003</v>
      </c>
      <c r="E31" s="77">
        <f>(IF(E$27="%w/w SAR",((E$28*10)*$B31),IF(E$27="%w/w DM",(((E$28*10)*($B$28/100))*$B31),IF(E$27="kg/t SAR",(E$28*$B31),IF(E$27="kg/t DM",((E$28*($B$28/100))*$B31),IF(E$27="mg/kg SAR",((E$28*0.001)*$B31),IF(E$27="mg/kg DM",(((E$28*0.001)*($B$28/100))*$B31),"0")))))))*1.205</f>
        <v>2.6571479100000004</v>
      </c>
      <c r="F31" s="77">
        <f>(IF(F$27="%w/w SAR",((F$28*10)*$B31),IF(F$27="%w/w DM",(((F$28*10)*($B$28/100))*$B31),IF(F$27="kg/t SAR",(F$28*$B31),IF(F$27="kg/t DM",((F$28*($B$28/100))*$B31),IF(F$27="mg/kg SAR",((F$28*0.001)*$B31),IF(F$27="mg/kg DM",(((F$28*0.001)*($B$28/100))*$B31),"0")))))))*1.658</f>
        <v>8.5949459920000013</v>
      </c>
      <c r="G31" s="77">
        <f t="shared" ref="G31:P46" si="5">IF(G$27="%w/w SAR",((G$28*10)*$B31),IF(G$27="%w/w DM",(((G$28*10)*($B$28/100))*$B31),IF(G$27="kg/t SAR",(G$28*$B31),IF(G$27="kg/t DM",((G$28*($B$28/100))*$B31),IF(G$27="mg/kg SAR",((G$28*0.001)*$B31),IF(G$27="mg/kg DM",(((G$28*0.001)*($B$28/100))*$B31),0))))))</f>
        <v>0.19343000000000002</v>
      </c>
      <c r="H31" s="77">
        <f t="shared" si="5"/>
        <v>0.52612960000000009</v>
      </c>
      <c r="I31" s="77">
        <f t="shared" si="5"/>
        <v>5.2032670000000003E-2</v>
      </c>
      <c r="J31" s="77">
        <f t="shared" si="5"/>
        <v>1.9536430000000001E-3</v>
      </c>
      <c r="K31" s="77">
        <f t="shared" si="5"/>
        <v>9.2846400000000005E-4</v>
      </c>
      <c r="L31" s="77">
        <f t="shared" si="5"/>
        <v>0.10754708000000002</v>
      </c>
      <c r="M31" s="77">
        <f t="shared" si="5"/>
        <v>7.0021660000000013E-2</v>
      </c>
      <c r="N31" s="77">
        <f t="shared" si="5"/>
        <v>473.90350000000001</v>
      </c>
      <c r="O31" s="77">
        <f t="shared" si="5"/>
        <v>96.328140000000019</v>
      </c>
      <c r="P31" s="77">
        <f t="shared" si="5"/>
        <v>0</v>
      </c>
      <c r="Q31" s="77">
        <f>(IF(Q$27="%w/w SAR",((Q$28*10)*$B31),IF(Q$27="%w/w DM",(((Q$28*10)*($B$28/100))*$B31),IF(Q$27="kg/t SAR",(Q$28*$B31),IF(Q$27="kg/t DM",((Q$28*($B$28/100))*$B31),IF(Q$27="mg/kg SAR",((Q$28*0.001)*$B31),IF(Q$27="mg/kg DM",(((Q$28*0.001)*($B$28/100))*$B31),0)))))))*2.5</f>
        <v>49.808225000000014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7.1762530000000019E-2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Top Pentwyn</v>
      </c>
      <c r="B32" s="15">
        <v>75</v>
      </c>
      <c r="C32" s="77">
        <f t="shared" ref="C32:C50" si="6">IF(C$27="%w/w SAR",((C$28*10)*$B32),IF(C$27="%w/w DM",(((C$28*10)*($B$28/100))*$B32),IF(C$27="kg/t SAR",(C$28*$B32),IF(C$27="kg/t DM",((C$28*($B$28/100))*$B32),IF(C$27="mg/kg SAR",((C$28*0.001)*$B32),IF(C$27="mg/kg DM",(((C$28*0.001)*($B$28/100))*$B32),0))))))</f>
        <v>77.582250000000016</v>
      </c>
      <c r="D32" s="77">
        <f t="shared" ref="D32:D50" si="7">(IF(D$27="%w/w SAR",((D$28*10)*$B32),IF(D$27="%w/w DM",(((D$28*10)*($B$28/100))*$B32),IF(D$27="kg/t SAR",(D$28*$B32),IF(D$27="kg/t DM",((D$28*($B$28/100))*$B32),IF(D$27="mg/kg SAR",((D$28*0.001)*$B32),IF(D$27="mg/kg DM",(((D$28*0.001)*($B$28/100))*$B32),"0")))))))*2.291</f>
        <v>65.027171250000009</v>
      </c>
      <c r="E32" s="77">
        <f t="shared" ref="E32:E50" si="8">(IF(E$27="%w/w SAR",((E$28*10)*$B32),IF(E$27="%w/w DM",(((E$28*10)*($B$28/100))*$B32),IF(E$27="kg/t SAR",(E$28*$B32),IF(E$27="kg/t DM",((E$28*($B$28/100))*$B32),IF(E$27="mg/kg SAR",((E$28*0.001)*$B32),IF(E$27="mg/kg DM",(((E$28*0.001)*($B$28/100))*$B32),"0")))))))*1.205</f>
        <v>8.6646127500000016</v>
      </c>
      <c r="F32" s="77">
        <f t="shared" ref="F32:F50" si="9">(IF(F$27="%w/w SAR",((F$28*10)*$B32),IF(F$27="%w/w DM",(((F$28*10)*($B$28/100))*$B32),IF(F$27="kg/t SAR",(F$28*$B32),IF(F$27="kg/t DM",((F$28*($B$28/100))*$B32),IF(F$27="mg/kg SAR",((F$28*0.001)*$B32),IF(F$27="mg/kg DM",(((F$28*0.001)*($B$28/100))*$B32),"0")))))))*1.658</f>
        <v>28.026997800000004</v>
      </c>
      <c r="G32" s="77">
        <f t="shared" si="5"/>
        <v>0.63075000000000003</v>
      </c>
      <c r="H32" s="77">
        <f t="shared" si="5"/>
        <v>1.7156400000000005</v>
      </c>
      <c r="I32" s="77">
        <f t="shared" si="5"/>
        <v>0.16967175000000001</v>
      </c>
      <c r="J32" s="77">
        <f t="shared" si="5"/>
        <v>6.3705750000000007E-3</v>
      </c>
      <c r="K32" s="77">
        <f t="shared" si="5"/>
        <v>3.0276000000000001E-3</v>
      </c>
      <c r="L32" s="77">
        <f t="shared" si="5"/>
        <v>0.35069700000000004</v>
      </c>
      <c r="M32" s="77">
        <f t="shared" si="5"/>
        <v>0.22833150000000002</v>
      </c>
      <c r="N32" s="77">
        <f t="shared" si="5"/>
        <v>1545.3375000000001</v>
      </c>
      <c r="O32" s="77">
        <f t="shared" si="5"/>
        <v>314.11350000000004</v>
      </c>
      <c r="P32" s="77">
        <f t="shared" si="5"/>
        <v>0</v>
      </c>
      <c r="Q32" s="77">
        <f t="shared" ref="Q32:Q50" si="10">(IF(Q$27="%w/w SAR",((Q$28*10)*$B32),IF(Q$27="%w/w DM",(((Q$28*10)*($B$28/100))*$B32),IF(Q$27="kg/t SAR",(Q$28*$B32),IF(Q$27="kg/t DM",((Q$28*($B$28/100))*$B32),IF(Q$27="mg/kg SAR",((Q$28*0.001)*$B32),IF(Q$27="mg/kg DM",(((Q$28*0.001)*($B$28/100))*$B32),0)))))))*2.5</f>
        <v>162.41812500000003</v>
      </c>
      <c r="R32" s="77">
        <f t="shared" ref="R32:U50" si="11">IF(R$27="%w/w SAR",((R$28*10)*$B32),IF(R$27="%w/w DM",(((R$28*10)*($B$28/100))*$B32),IF(R$27="kg/t SAR",(R$28*$B32),IF(R$27="kg/t DM",((R$28*($B$28/100))*$B32),IF(R$27="mg/kg SAR",((R$28*0.001)*$B32),IF(R$27="mg/kg DM",(((R$28*0.001)*($B$28/100))*$B32),0))))))</f>
        <v>0</v>
      </c>
      <c r="S32" s="77">
        <f t="shared" si="11"/>
        <v>0.23400825000000006</v>
      </c>
      <c r="T32" s="77">
        <f t="shared" si="11"/>
        <v>0</v>
      </c>
      <c r="U32" s="77">
        <f t="shared" si="11"/>
        <v>0</v>
      </c>
      <c r="AB32" s="59"/>
      <c r="AC32" s="59"/>
      <c r="AD32" s="59"/>
      <c r="AE32" s="59"/>
      <c r="AF32" s="59"/>
      <c r="AG32" s="59"/>
      <c r="AH32" s="59"/>
      <c r="AI32" s="59"/>
    </row>
    <row r="33" spans="1:35" s="72" customFormat="1" ht="13" x14ac:dyDescent="0.35">
      <c r="A33" s="13" t="str">
        <f>E8</f>
        <v xml:space="preserve">Bottom Pentwyn </v>
      </c>
      <c r="B33" s="15">
        <v>74</v>
      </c>
      <c r="C33" s="77">
        <f t="shared" si="6"/>
        <v>76.547820000000016</v>
      </c>
      <c r="D33" s="77">
        <f t="shared" si="7"/>
        <v>64.160142300000004</v>
      </c>
      <c r="E33" s="77">
        <f t="shared" si="8"/>
        <v>8.5490845800000024</v>
      </c>
      <c r="F33" s="77">
        <f t="shared" si="9"/>
        <v>27.653304496000001</v>
      </c>
      <c r="G33" s="77">
        <f t="shared" si="5"/>
        <v>0.62234000000000012</v>
      </c>
      <c r="H33" s="77">
        <f t="shared" si="5"/>
        <v>1.6927648000000004</v>
      </c>
      <c r="I33" s="77">
        <f t="shared" si="5"/>
        <v>0.16740946000000001</v>
      </c>
      <c r="J33" s="77">
        <f t="shared" si="5"/>
        <v>6.2856340000000009E-3</v>
      </c>
      <c r="K33" s="77">
        <f t="shared" si="5"/>
        <v>2.9872320000000003E-3</v>
      </c>
      <c r="L33" s="77">
        <f t="shared" si="5"/>
        <v>0.34602104000000006</v>
      </c>
      <c r="M33" s="77">
        <f t="shared" si="5"/>
        <v>0.22528708000000003</v>
      </c>
      <c r="N33" s="77">
        <f t="shared" si="5"/>
        <v>1524.7330000000002</v>
      </c>
      <c r="O33" s="77">
        <f t="shared" si="5"/>
        <v>309.92532000000006</v>
      </c>
      <c r="P33" s="77">
        <f t="shared" si="5"/>
        <v>0</v>
      </c>
      <c r="Q33" s="77">
        <f t="shared" si="10"/>
        <v>160.25255000000001</v>
      </c>
      <c r="R33" s="77">
        <f t="shared" si="11"/>
        <v>0</v>
      </c>
      <c r="S33" s="77">
        <f t="shared" si="11"/>
        <v>0.23088814000000005</v>
      </c>
      <c r="T33" s="77">
        <f t="shared" si="11"/>
        <v>0</v>
      </c>
      <c r="U33" s="77">
        <f t="shared" si="11"/>
        <v>0</v>
      </c>
      <c r="AB33" s="59"/>
      <c r="AC33" s="59"/>
      <c r="AD33" s="59"/>
      <c r="AE33" s="59"/>
      <c r="AF33" s="59"/>
      <c r="AG33" s="59"/>
      <c r="AH33" s="59"/>
      <c r="AI33" s="59"/>
    </row>
    <row r="34" spans="1:35" s="72" customFormat="1" ht="13" x14ac:dyDescent="0.35">
      <c r="A34" s="13" t="str">
        <f>F8</f>
        <v xml:space="preserve">Lodge </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Pentwyn Corner</v>
      </c>
      <c r="B35" s="15">
        <v>23</v>
      </c>
      <c r="C35" s="77">
        <f t="shared" si="6"/>
        <v>23.791890000000006</v>
      </c>
      <c r="D35" s="77">
        <f t="shared" si="7"/>
        <v>19.941665850000003</v>
      </c>
      <c r="E35" s="77">
        <f t="shared" si="8"/>
        <v>2.6571479100000004</v>
      </c>
      <c r="F35" s="77">
        <f t="shared" si="9"/>
        <v>8.5949459920000013</v>
      </c>
      <c r="G35" s="77">
        <f t="shared" si="5"/>
        <v>0.19343000000000002</v>
      </c>
      <c r="H35" s="77">
        <f t="shared" si="5"/>
        <v>0.52612960000000009</v>
      </c>
      <c r="I35" s="77">
        <f t="shared" si="5"/>
        <v>5.2032670000000003E-2</v>
      </c>
      <c r="J35" s="77">
        <f t="shared" si="5"/>
        <v>1.9536430000000001E-3</v>
      </c>
      <c r="K35" s="77">
        <f t="shared" si="5"/>
        <v>9.2846400000000005E-4</v>
      </c>
      <c r="L35" s="77">
        <f t="shared" si="5"/>
        <v>0.10754708000000002</v>
      </c>
      <c r="M35" s="77">
        <f t="shared" si="5"/>
        <v>7.0021660000000013E-2</v>
      </c>
      <c r="N35" s="77">
        <f t="shared" si="5"/>
        <v>473.90350000000001</v>
      </c>
      <c r="O35" s="77">
        <f t="shared" si="5"/>
        <v>96.328140000000019</v>
      </c>
      <c r="P35" s="77">
        <f t="shared" si="5"/>
        <v>0</v>
      </c>
      <c r="Q35" s="77">
        <f t="shared" si="10"/>
        <v>49.808225000000014</v>
      </c>
      <c r="R35" s="77">
        <f t="shared" si="11"/>
        <v>0</v>
      </c>
      <c r="S35" s="77">
        <f t="shared" si="11"/>
        <v>7.1762530000000019E-2</v>
      </c>
      <c r="T35" s="77">
        <f t="shared" si="11"/>
        <v>0</v>
      </c>
      <c r="U35" s="77">
        <f t="shared" si="11"/>
        <v>0</v>
      </c>
      <c r="AB35" s="59"/>
      <c r="AC35" s="59"/>
      <c r="AD35" s="59"/>
      <c r="AE35" s="59"/>
      <c r="AF35" s="59"/>
      <c r="AG35" s="59"/>
      <c r="AH35" s="59"/>
      <c r="AI35" s="59"/>
    </row>
    <row r="36" spans="1:35" s="72" customFormat="1" ht="13" x14ac:dyDescent="0.35">
      <c r="A36" s="13" t="str">
        <f>H8</f>
        <v>16 Acres</v>
      </c>
      <c r="B36" s="15">
        <v>23</v>
      </c>
      <c r="C36" s="77">
        <f t="shared" si="6"/>
        <v>23.791890000000006</v>
      </c>
      <c r="D36" s="77">
        <f t="shared" si="7"/>
        <v>19.941665850000003</v>
      </c>
      <c r="E36" s="77">
        <f t="shared" si="8"/>
        <v>2.6571479100000004</v>
      </c>
      <c r="F36" s="77">
        <f t="shared" si="9"/>
        <v>8.5949459920000013</v>
      </c>
      <c r="G36" s="77">
        <f t="shared" si="5"/>
        <v>0.19343000000000002</v>
      </c>
      <c r="H36" s="77">
        <f t="shared" si="5"/>
        <v>0.52612960000000009</v>
      </c>
      <c r="I36" s="77">
        <f t="shared" si="5"/>
        <v>5.2032670000000003E-2</v>
      </c>
      <c r="J36" s="77">
        <f t="shared" si="5"/>
        <v>1.9536430000000001E-3</v>
      </c>
      <c r="K36" s="77">
        <f t="shared" si="5"/>
        <v>9.2846400000000005E-4</v>
      </c>
      <c r="L36" s="77">
        <f t="shared" si="5"/>
        <v>0.10754708000000002</v>
      </c>
      <c r="M36" s="77">
        <f t="shared" si="5"/>
        <v>7.0021660000000013E-2</v>
      </c>
      <c r="N36" s="77">
        <f t="shared" si="5"/>
        <v>473.90350000000001</v>
      </c>
      <c r="O36" s="77">
        <f t="shared" si="5"/>
        <v>96.328140000000019</v>
      </c>
      <c r="P36" s="77">
        <f t="shared" si="5"/>
        <v>0</v>
      </c>
      <c r="Q36" s="77">
        <f t="shared" si="10"/>
        <v>49.808225000000014</v>
      </c>
      <c r="R36" s="77">
        <f t="shared" si="11"/>
        <v>0</v>
      </c>
      <c r="S36" s="77">
        <f t="shared" si="11"/>
        <v>7.1762530000000019E-2</v>
      </c>
      <c r="T36" s="77">
        <f t="shared" si="11"/>
        <v>0</v>
      </c>
      <c r="U36" s="77">
        <f t="shared" si="11"/>
        <v>0</v>
      </c>
      <c r="AB36" s="59"/>
      <c r="AC36" s="59"/>
      <c r="AD36" s="59"/>
      <c r="AE36" s="59"/>
      <c r="AF36" s="59"/>
      <c r="AG36" s="59"/>
      <c r="AH36" s="59"/>
      <c r="AI36" s="59"/>
    </row>
    <row r="37" spans="1:35" s="72" customFormat="1" ht="13" x14ac:dyDescent="0.35">
      <c r="A37" s="13" t="str">
        <f>I8</f>
        <v>A</v>
      </c>
      <c r="B37" s="15">
        <v>23</v>
      </c>
      <c r="C37" s="77">
        <f t="shared" si="6"/>
        <v>23.791890000000006</v>
      </c>
      <c r="D37" s="77">
        <f t="shared" si="7"/>
        <v>19.941665850000003</v>
      </c>
      <c r="E37" s="77">
        <f t="shared" si="8"/>
        <v>2.6571479100000004</v>
      </c>
      <c r="F37" s="77">
        <f t="shared" si="9"/>
        <v>8.5949459920000013</v>
      </c>
      <c r="G37" s="77">
        <f t="shared" si="5"/>
        <v>0.19343000000000002</v>
      </c>
      <c r="H37" s="77">
        <f t="shared" si="5"/>
        <v>0.52612960000000009</v>
      </c>
      <c r="I37" s="77">
        <f t="shared" si="5"/>
        <v>5.2032670000000003E-2</v>
      </c>
      <c r="J37" s="77">
        <f t="shared" si="5"/>
        <v>1.9536430000000001E-3</v>
      </c>
      <c r="K37" s="77">
        <f t="shared" si="5"/>
        <v>9.2846400000000005E-4</v>
      </c>
      <c r="L37" s="77">
        <f t="shared" si="5"/>
        <v>0.10754708000000002</v>
      </c>
      <c r="M37" s="77">
        <f t="shared" si="5"/>
        <v>7.0021660000000013E-2</v>
      </c>
      <c r="N37" s="77">
        <f t="shared" si="5"/>
        <v>473.90350000000001</v>
      </c>
      <c r="O37" s="77">
        <f t="shared" si="5"/>
        <v>96.328140000000019</v>
      </c>
      <c r="P37" s="77">
        <f t="shared" si="5"/>
        <v>0</v>
      </c>
      <c r="Q37" s="77">
        <f t="shared" si="10"/>
        <v>49.808225000000014</v>
      </c>
      <c r="R37" s="77">
        <f t="shared" si="11"/>
        <v>0</v>
      </c>
      <c r="S37" s="77">
        <f t="shared" si="11"/>
        <v>7.1762530000000019E-2</v>
      </c>
      <c r="T37" s="77">
        <f t="shared" si="11"/>
        <v>0</v>
      </c>
      <c r="U37" s="77">
        <f t="shared" si="11"/>
        <v>0</v>
      </c>
      <c r="AB37" s="59"/>
      <c r="AC37" s="59"/>
      <c r="AD37" s="59"/>
      <c r="AE37" s="59"/>
      <c r="AF37" s="59"/>
      <c r="AG37" s="59"/>
      <c r="AH37" s="59"/>
      <c r="AI37" s="59"/>
    </row>
    <row r="38" spans="1:35" s="72" customFormat="1" ht="13" x14ac:dyDescent="0.35">
      <c r="A38" s="13" t="str">
        <f>J8</f>
        <v>B</v>
      </c>
      <c r="B38" s="15">
        <v>23</v>
      </c>
      <c r="C38" s="77">
        <f t="shared" si="6"/>
        <v>23.791890000000006</v>
      </c>
      <c r="D38" s="77">
        <f t="shared" si="7"/>
        <v>19.941665850000003</v>
      </c>
      <c r="E38" s="77">
        <f t="shared" si="8"/>
        <v>2.6571479100000004</v>
      </c>
      <c r="F38" s="77">
        <f t="shared" si="9"/>
        <v>8.5949459920000013</v>
      </c>
      <c r="G38" s="77">
        <f t="shared" si="5"/>
        <v>0.19343000000000002</v>
      </c>
      <c r="H38" s="77">
        <f t="shared" si="5"/>
        <v>0.52612960000000009</v>
      </c>
      <c r="I38" s="77">
        <f t="shared" si="5"/>
        <v>5.2032670000000003E-2</v>
      </c>
      <c r="J38" s="77">
        <f t="shared" si="5"/>
        <v>1.9536430000000001E-3</v>
      </c>
      <c r="K38" s="77">
        <f t="shared" si="5"/>
        <v>9.2846400000000005E-4</v>
      </c>
      <c r="L38" s="77">
        <f t="shared" si="5"/>
        <v>0.10754708000000002</v>
      </c>
      <c r="M38" s="77">
        <f t="shared" si="5"/>
        <v>7.0021660000000013E-2</v>
      </c>
      <c r="N38" s="77">
        <f t="shared" si="5"/>
        <v>473.90350000000001</v>
      </c>
      <c r="O38" s="77">
        <f t="shared" si="5"/>
        <v>96.328140000000019</v>
      </c>
      <c r="P38" s="77">
        <f t="shared" si="5"/>
        <v>0</v>
      </c>
      <c r="Q38" s="77">
        <f t="shared" si="10"/>
        <v>49.808225000000014</v>
      </c>
      <c r="R38" s="77">
        <f t="shared" si="11"/>
        <v>0</v>
      </c>
      <c r="S38" s="77">
        <f t="shared" si="11"/>
        <v>7.1762530000000019E-2</v>
      </c>
      <c r="T38" s="77">
        <f t="shared" si="11"/>
        <v>0</v>
      </c>
      <c r="U38" s="77">
        <f t="shared" si="11"/>
        <v>0</v>
      </c>
      <c r="AB38" s="59"/>
      <c r="AC38" s="59"/>
      <c r="AD38" s="59"/>
      <c r="AE38" s="59"/>
      <c r="AF38" s="59"/>
      <c r="AG38" s="59"/>
      <c r="AH38" s="59"/>
      <c r="AI38" s="59"/>
    </row>
    <row r="39" spans="1:35" s="72" customFormat="1" ht="13" x14ac:dyDescent="0.35">
      <c r="A39" s="13" t="str">
        <f>K8</f>
        <v>C</v>
      </c>
      <c r="B39" s="15">
        <v>23</v>
      </c>
      <c r="C39" s="77">
        <f t="shared" si="6"/>
        <v>23.791890000000006</v>
      </c>
      <c r="D39" s="77">
        <f t="shared" si="7"/>
        <v>19.941665850000003</v>
      </c>
      <c r="E39" s="77">
        <f t="shared" si="8"/>
        <v>2.6571479100000004</v>
      </c>
      <c r="F39" s="77">
        <f t="shared" si="9"/>
        <v>8.5949459920000013</v>
      </c>
      <c r="G39" s="77">
        <f t="shared" si="5"/>
        <v>0.19343000000000002</v>
      </c>
      <c r="H39" s="77">
        <f t="shared" si="5"/>
        <v>0.52612960000000009</v>
      </c>
      <c r="I39" s="77">
        <f t="shared" si="5"/>
        <v>5.2032670000000003E-2</v>
      </c>
      <c r="J39" s="77">
        <f t="shared" si="5"/>
        <v>1.9536430000000001E-3</v>
      </c>
      <c r="K39" s="77">
        <f t="shared" si="5"/>
        <v>9.2846400000000005E-4</v>
      </c>
      <c r="L39" s="77">
        <f t="shared" si="5"/>
        <v>0.10754708000000002</v>
      </c>
      <c r="M39" s="77">
        <f t="shared" si="5"/>
        <v>7.0021660000000013E-2</v>
      </c>
      <c r="N39" s="77">
        <f t="shared" si="5"/>
        <v>473.90350000000001</v>
      </c>
      <c r="O39" s="77">
        <f t="shared" si="5"/>
        <v>96.328140000000019</v>
      </c>
      <c r="P39" s="77">
        <f t="shared" si="5"/>
        <v>0</v>
      </c>
      <c r="Q39" s="77">
        <f t="shared" si="10"/>
        <v>49.808225000000014</v>
      </c>
      <c r="R39" s="77">
        <f t="shared" si="11"/>
        <v>0</v>
      </c>
      <c r="S39" s="77">
        <f t="shared" si="11"/>
        <v>7.1762530000000019E-2</v>
      </c>
      <c r="T39" s="77">
        <f t="shared" si="11"/>
        <v>0</v>
      </c>
      <c r="U39" s="77">
        <f t="shared" si="11"/>
        <v>0</v>
      </c>
      <c r="AB39" s="59"/>
      <c r="AC39" s="59"/>
      <c r="AD39" s="59"/>
      <c r="AE39" s="59"/>
      <c r="AF39" s="59"/>
      <c r="AG39" s="59"/>
      <c r="AH39" s="59"/>
      <c r="AI39" s="59"/>
    </row>
    <row r="40" spans="1:35" s="72" customFormat="1" ht="13" x14ac:dyDescent="0.35">
      <c r="A40" s="13" t="str">
        <f>L8</f>
        <v>Sheep Shed</v>
      </c>
      <c r="B40" s="15">
        <v>75</v>
      </c>
      <c r="C40" s="77">
        <f t="shared" si="6"/>
        <v>77.582250000000016</v>
      </c>
      <c r="D40" s="77">
        <f t="shared" si="7"/>
        <v>65.027171250000009</v>
      </c>
      <c r="E40" s="77">
        <f t="shared" si="8"/>
        <v>8.6646127500000016</v>
      </c>
      <c r="F40" s="77">
        <f t="shared" si="9"/>
        <v>28.026997800000004</v>
      </c>
      <c r="G40" s="77">
        <f t="shared" si="5"/>
        <v>0.63075000000000003</v>
      </c>
      <c r="H40" s="77">
        <f t="shared" si="5"/>
        <v>1.7156400000000005</v>
      </c>
      <c r="I40" s="77">
        <f t="shared" si="5"/>
        <v>0.16967175000000001</v>
      </c>
      <c r="J40" s="77">
        <f t="shared" si="5"/>
        <v>6.3705750000000007E-3</v>
      </c>
      <c r="K40" s="77">
        <f t="shared" si="5"/>
        <v>3.0276000000000001E-3</v>
      </c>
      <c r="L40" s="77">
        <f t="shared" si="5"/>
        <v>0.35069700000000004</v>
      </c>
      <c r="M40" s="77">
        <f t="shared" si="5"/>
        <v>0.22833150000000002</v>
      </c>
      <c r="N40" s="77">
        <f t="shared" si="5"/>
        <v>1545.3375000000001</v>
      </c>
      <c r="O40" s="77">
        <f t="shared" si="5"/>
        <v>314.11350000000004</v>
      </c>
      <c r="P40" s="77">
        <f t="shared" si="5"/>
        <v>0</v>
      </c>
      <c r="Q40" s="77">
        <f t="shared" si="10"/>
        <v>162.41812500000003</v>
      </c>
      <c r="R40" s="77">
        <f t="shared" si="11"/>
        <v>0</v>
      </c>
      <c r="S40" s="77">
        <f t="shared" si="11"/>
        <v>0.23400825000000006</v>
      </c>
      <c r="T40" s="77">
        <f t="shared" si="11"/>
        <v>0</v>
      </c>
      <c r="U40" s="77">
        <f t="shared" si="11"/>
        <v>0</v>
      </c>
      <c r="AB40" s="59"/>
      <c r="AC40" s="59"/>
      <c r="AD40" s="59"/>
      <c r="AE40" s="59"/>
      <c r="AF40" s="59"/>
      <c r="AG40" s="59"/>
      <c r="AH40" s="59"/>
      <c r="AI40" s="59"/>
    </row>
    <row r="41" spans="1:35" s="72" customFormat="1" ht="13" x14ac:dyDescent="0.35">
      <c r="A41" s="13" t="str">
        <f>M8</f>
        <v>Badger Burry</v>
      </c>
      <c r="B41" s="15">
        <v>23</v>
      </c>
      <c r="C41" s="77">
        <f t="shared" si="6"/>
        <v>23.791890000000006</v>
      </c>
      <c r="D41" s="77">
        <f t="shared" si="7"/>
        <v>19.941665850000003</v>
      </c>
      <c r="E41" s="77">
        <f t="shared" si="8"/>
        <v>2.6571479100000004</v>
      </c>
      <c r="F41" s="77">
        <f t="shared" si="9"/>
        <v>8.5949459920000013</v>
      </c>
      <c r="G41" s="77">
        <f t="shared" si="5"/>
        <v>0.19343000000000002</v>
      </c>
      <c r="H41" s="77">
        <f t="shared" si="5"/>
        <v>0.52612960000000009</v>
      </c>
      <c r="I41" s="77">
        <f t="shared" si="5"/>
        <v>5.2032670000000003E-2</v>
      </c>
      <c r="J41" s="77">
        <f t="shared" si="5"/>
        <v>1.9536430000000001E-3</v>
      </c>
      <c r="K41" s="77">
        <f t="shared" si="5"/>
        <v>9.2846400000000005E-4</v>
      </c>
      <c r="L41" s="77">
        <f t="shared" si="5"/>
        <v>0.10754708000000002</v>
      </c>
      <c r="M41" s="77">
        <f t="shared" si="5"/>
        <v>7.0021660000000013E-2</v>
      </c>
      <c r="N41" s="77">
        <f t="shared" si="5"/>
        <v>473.90350000000001</v>
      </c>
      <c r="O41" s="77">
        <f t="shared" si="5"/>
        <v>96.328140000000019</v>
      </c>
      <c r="P41" s="77">
        <f t="shared" si="5"/>
        <v>0</v>
      </c>
      <c r="Q41" s="77">
        <f t="shared" si="10"/>
        <v>49.808225000000014</v>
      </c>
      <c r="R41" s="77">
        <f t="shared" si="11"/>
        <v>0</v>
      </c>
      <c r="S41" s="77">
        <f t="shared" si="11"/>
        <v>7.1762530000000019E-2</v>
      </c>
      <c r="T41" s="77">
        <f t="shared" si="11"/>
        <v>0</v>
      </c>
      <c r="U41" s="77">
        <f t="shared" si="11"/>
        <v>0</v>
      </c>
      <c r="AB41" s="59"/>
      <c r="AC41" s="59"/>
      <c r="AD41" s="59"/>
      <c r="AE41" s="59"/>
      <c r="AF41" s="59"/>
      <c r="AG41" s="59"/>
      <c r="AH41" s="59"/>
      <c r="AI41" s="59"/>
    </row>
    <row r="42" spans="1:35" s="72" customFormat="1" ht="13" x14ac:dyDescent="0.35">
      <c r="A42" s="13" t="str">
        <f>N8</f>
        <v>Long meadow</v>
      </c>
      <c r="B42" s="15">
        <v>75</v>
      </c>
      <c r="C42" s="77">
        <f t="shared" si="6"/>
        <v>77.582250000000016</v>
      </c>
      <c r="D42" s="77">
        <f t="shared" si="7"/>
        <v>65.027171250000009</v>
      </c>
      <c r="E42" s="77">
        <f t="shared" si="8"/>
        <v>8.6646127500000016</v>
      </c>
      <c r="F42" s="77">
        <f t="shared" si="9"/>
        <v>28.026997800000004</v>
      </c>
      <c r="G42" s="77">
        <f t="shared" si="5"/>
        <v>0.63075000000000003</v>
      </c>
      <c r="H42" s="77">
        <f t="shared" si="5"/>
        <v>1.7156400000000005</v>
      </c>
      <c r="I42" s="77">
        <f t="shared" si="5"/>
        <v>0.16967175000000001</v>
      </c>
      <c r="J42" s="77">
        <f t="shared" si="5"/>
        <v>6.3705750000000007E-3</v>
      </c>
      <c r="K42" s="77">
        <f t="shared" si="5"/>
        <v>3.0276000000000001E-3</v>
      </c>
      <c r="L42" s="77">
        <f t="shared" si="5"/>
        <v>0.35069700000000004</v>
      </c>
      <c r="M42" s="77">
        <f t="shared" si="5"/>
        <v>0.22833150000000002</v>
      </c>
      <c r="N42" s="77">
        <f t="shared" si="5"/>
        <v>1545.3375000000001</v>
      </c>
      <c r="O42" s="77">
        <f t="shared" si="5"/>
        <v>314.11350000000004</v>
      </c>
      <c r="P42" s="77">
        <f t="shared" si="5"/>
        <v>0</v>
      </c>
      <c r="Q42" s="77">
        <f t="shared" si="10"/>
        <v>162.41812500000003</v>
      </c>
      <c r="R42" s="77">
        <f t="shared" si="11"/>
        <v>0</v>
      </c>
      <c r="S42" s="77">
        <f t="shared" si="11"/>
        <v>0.23400825000000006</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17 Acres</v>
      </c>
      <c r="C57" s="8" t="str">
        <f t="shared" ref="C57:U57" si="13">D8</f>
        <v>Top Pentwyn</v>
      </c>
      <c r="D57" s="8" t="str">
        <f t="shared" si="13"/>
        <v xml:space="preserve">Bottom Pentwyn </v>
      </c>
      <c r="E57" s="8" t="str">
        <f t="shared" si="13"/>
        <v xml:space="preserve">Lodge </v>
      </c>
      <c r="F57" s="8" t="str">
        <f t="shared" si="13"/>
        <v>Pentwyn Corner</v>
      </c>
      <c r="G57" s="8" t="str">
        <f t="shared" si="13"/>
        <v>16 Acres</v>
      </c>
      <c r="H57" s="8" t="str">
        <f t="shared" si="13"/>
        <v>A</v>
      </c>
      <c r="I57" s="8" t="str">
        <f t="shared" si="13"/>
        <v>B</v>
      </c>
      <c r="J57" s="8" t="str">
        <f t="shared" si="13"/>
        <v>C</v>
      </c>
      <c r="K57" s="8" t="str">
        <f t="shared" si="13"/>
        <v>Sheep Shed</v>
      </c>
      <c r="L57" s="8" t="str">
        <f t="shared" si="13"/>
        <v>Badger Burry</v>
      </c>
      <c r="M57" s="8" t="str">
        <f t="shared" si="13"/>
        <v>Long meadow</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Arable</v>
      </c>
      <c r="M58" s="13" t="str">
        <f>N16&amp;" I "&amp;(VLOOKUP(N14,Table24581112[],6,FALSE))</f>
        <v>Medium/Clay I Grass</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6.7</v>
      </c>
      <c r="M59" s="76">
        <f>VLOOKUP(N$14,Table24581112[],5,FALSE)</f>
        <v>6.2</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6.5</v>
      </c>
      <c r="C60" s="76">
        <f t="shared" ref="C60:U60" si="14">D10</f>
        <v>6.6</v>
      </c>
      <c r="D60" s="76">
        <f t="shared" si="14"/>
        <v>6.9</v>
      </c>
      <c r="E60" s="76">
        <f t="shared" si="14"/>
        <v>5.6</v>
      </c>
      <c r="F60" s="76">
        <f t="shared" si="14"/>
        <v>6.4</v>
      </c>
      <c r="G60" s="76">
        <f t="shared" si="14"/>
        <v>6.5</v>
      </c>
      <c r="H60" s="76">
        <f t="shared" si="14"/>
        <v>6.1</v>
      </c>
      <c r="I60" s="76">
        <f t="shared" si="14"/>
        <v>6.3</v>
      </c>
      <c r="J60" s="76">
        <f t="shared" si="14"/>
        <v>6.2</v>
      </c>
      <c r="K60" s="76">
        <f t="shared" si="14"/>
        <v>6.1</v>
      </c>
      <c r="L60" s="76">
        <f t="shared" si="14"/>
        <v>6.3</v>
      </c>
      <c r="M60" s="76">
        <f t="shared" si="14"/>
        <v>6.2</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8</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23</v>
      </c>
      <c r="C62" s="77">
        <f>B32</f>
        <v>75</v>
      </c>
      <c r="D62" s="77">
        <f>B33</f>
        <v>74</v>
      </c>
      <c r="E62" s="77">
        <f>B34</f>
        <v>0</v>
      </c>
      <c r="F62" s="77">
        <f>B35</f>
        <v>23</v>
      </c>
      <c r="G62" s="77">
        <f>B36</f>
        <v>23</v>
      </c>
      <c r="H62" s="77">
        <f>B37</f>
        <v>23</v>
      </c>
      <c r="I62" s="77">
        <f>B38</f>
        <v>23</v>
      </c>
      <c r="J62" s="77">
        <f>B39</f>
        <v>23</v>
      </c>
      <c r="K62" s="77">
        <f>B40</f>
        <v>75</v>
      </c>
      <c r="L62" s="77">
        <f>B41</f>
        <v>23</v>
      </c>
      <c r="M62" s="77">
        <f>B42</f>
        <v>75</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-4.2000000000000011</v>
      </c>
      <c r="E64" s="77">
        <f t="shared" si="17"/>
        <v>3.6000000000000032</v>
      </c>
      <c r="F64" s="77">
        <f t="shared" si="17"/>
        <v>-1.2000000000000011</v>
      </c>
      <c r="G64" s="77">
        <f t="shared" si="17"/>
        <v>-1.7999999999999989</v>
      </c>
      <c r="H64" s="77">
        <f t="shared" si="17"/>
        <v>0.6000000000000032</v>
      </c>
      <c r="I64" s="77">
        <f t="shared" si="17"/>
        <v>-0.59999999999999787</v>
      </c>
      <c r="J64" s="77">
        <f t="shared" si="17"/>
        <v>0</v>
      </c>
      <c r="K64" s="77">
        <f t="shared" si="17"/>
        <v>0.6000000000000032</v>
      </c>
      <c r="L64" s="77">
        <f t="shared" si="17"/>
        <v>3.2000000000000028</v>
      </c>
      <c r="M64" s="77">
        <f t="shared" si="17"/>
        <v>0</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4.2000000000000011</v>
      </c>
      <c r="E65" s="77">
        <f t="shared" si="18"/>
        <v>-3.6000000000000032</v>
      </c>
      <c r="F65" s="77">
        <f t="shared" si="18"/>
        <v>1.2000000000000011</v>
      </c>
      <c r="G65" s="77">
        <f t="shared" si="18"/>
        <v>1.7999999999999989</v>
      </c>
      <c r="H65" s="77">
        <f t="shared" si="18"/>
        <v>-0.6000000000000032</v>
      </c>
      <c r="I65" s="77">
        <f t="shared" si="18"/>
        <v>0.59999999999999787</v>
      </c>
      <c r="J65" s="77">
        <f t="shared" si="18"/>
        <v>0</v>
      </c>
      <c r="K65" s="77">
        <f t="shared" si="18"/>
        <v>-0.6000000000000032</v>
      </c>
      <c r="L65" s="77">
        <f t="shared" si="18"/>
        <v>-3.2000000000000028</v>
      </c>
      <c r="M65" s="77">
        <f t="shared" si="18"/>
        <v>0</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UNDER</v>
      </c>
      <c r="L66" s="78" t="str">
        <f t="shared" si="19"/>
        <v>UNDER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61" priority="37" operator="equal">
      <formula>"DECREASE"</formula>
    </cfRule>
    <cfRule type="cellIs" dxfId="60" priority="38" operator="equal">
      <formula>"INCREASE"</formula>
    </cfRule>
  </conditionalFormatting>
  <conditionalFormatting sqref="B31:B50 B62:U66">
    <cfRule type="cellIs" dxfId="59" priority="36" operator="greaterThan">
      <formula>$B$51</formula>
    </cfRule>
  </conditionalFormatting>
  <conditionalFormatting sqref="C31:C50">
    <cfRule type="cellIs" dxfId="58" priority="35" operator="greaterThan">
      <formula>$C$51</formula>
    </cfRule>
  </conditionalFormatting>
  <conditionalFormatting sqref="C18:V18">
    <cfRule type="cellIs" dxfId="57" priority="34" operator="equal">
      <formula>0</formula>
    </cfRule>
  </conditionalFormatting>
  <conditionalFormatting sqref="C17:V17">
    <cfRule type="cellIs" dxfId="56" priority="33" operator="equal">
      <formula>0</formula>
    </cfRule>
  </conditionalFormatting>
  <conditionalFormatting sqref="C19:V19">
    <cfRule type="cellIs" dxfId="55" priority="32" operator="equal">
      <formula>0</formula>
    </cfRule>
  </conditionalFormatting>
  <conditionalFormatting sqref="G31:G50">
    <cfRule type="cellIs" dxfId="54" priority="31" operator="greaterThan">
      <formula>$G$51</formula>
    </cfRule>
  </conditionalFormatting>
  <conditionalFormatting sqref="H31:H50">
    <cfRule type="cellIs" dxfId="53" priority="30" operator="greaterThan">
      <formula>$H$51</formula>
    </cfRule>
  </conditionalFormatting>
  <conditionalFormatting sqref="I31:I50">
    <cfRule type="cellIs" dxfId="52" priority="29" operator="greaterThan">
      <formula>$I$51</formula>
    </cfRule>
  </conditionalFormatting>
  <conditionalFormatting sqref="K31:K50">
    <cfRule type="cellIs" dxfId="51" priority="28" operator="greaterThan">
      <formula>$K$51</formula>
    </cfRule>
  </conditionalFormatting>
  <conditionalFormatting sqref="L31:L50">
    <cfRule type="cellIs" dxfId="50" priority="27" operator="greaterThan">
      <formula>$L$51</formula>
    </cfRule>
  </conditionalFormatting>
  <conditionalFormatting sqref="M31:M50">
    <cfRule type="cellIs" dxfId="49" priority="26" operator="greaterThan">
      <formula>$M$51</formula>
    </cfRule>
  </conditionalFormatting>
  <conditionalFormatting sqref="P31:P50">
    <cfRule type="cellIs" dxfId="48" priority="25" operator="greaterThan">
      <formula>$P$51</formula>
    </cfRule>
  </conditionalFormatting>
  <conditionalFormatting sqref="R31:R50">
    <cfRule type="cellIs" dxfId="47" priority="24" operator="greaterThan">
      <formula>$R$51</formula>
    </cfRule>
  </conditionalFormatting>
  <conditionalFormatting sqref="S31:S50">
    <cfRule type="cellIs" dxfId="46" priority="23" operator="greaterThan">
      <formula>$S$51</formula>
    </cfRule>
  </conditionalFormatting>
  <conditionalFormatting sqref="T31:T50">
    <cfRule type="cellIs" dxfId="45" priority="22" operator="greaterThan">
      <formula>$T$51</formula>
    </cfRule>
  </conditionalFormatting>
  <conditionalFormatting sqref="U31:U50">
    <cfRule type="cellIs" dxfId="44" priority="21" operator="greaterThan">
      <formula>$U$51</formula>
    </cfRule>
  </conditionalFormatting>
  <conditionalFormatting sqref="C22:V22">
    <cfRule type="cellIs" dxfId="43" priority="20" operator="equal">
      <formula>0</formula>
    </cfRule>
  </conditionalFormatting>
  <conditionalFormatting sqref="C24:V24">
    <cfRule type="cellIs" dxfId="42" priority="18" operator="equal">
      <formula>"DECREASE"</formula>
    </cfRule>
    <cfRule type="cellIs" dxfId="41" priority="19" operator="equal">
      <formula>"INCREASE"</formula>
    </cfRule>
  </conditionalFormatting>
  <conditionalFormatting sqref="C23:V23">
    <cfRule type="cellIs" dxfId="40" priority="17" operator="equal">
      <formula>0</formula>
    </cfRule>
  </conditionalFormatting>
  <conditionalFormatting sqref="C21:V21">
    <cfRule type="cellIs" dxfId="39" priority="13" operator="equal">
      <formula>0</formula>
    </cfRule>
  </conditionalFormatting>
  <conditionalFormatting sqref="B66:U66">
    <cfRule type="cellIs" dxfId="38" priority="11" operator="equal">
      <formula>"UNDER"</formula>
    </cfRule>
    <cfRule type="cellIs" dxfId="37" priority="12" operator="equal">
      <formula>"OVER"</formula>
    </cfRule>
  </conditionalFormatting>
  <conditionalFormatting sqref="J31:J50">
    <cfRule type="cellIs" dxfId="36" priority="8" operator="greaterThan">
      <formula>$J$51</formula>
    </cfRule>
  </conditionalFormatting>
  <conditionalFormatting sqref="L3">
    <cfRule type="cellIs" dxfId="35" priority="4" operator="lessThan">
      <formula>30</formula>
    </cfRule>
    <cfRule type="cellIs" dxfId="34" priority="5" operator="greaterThanOrEqual">
      <formula>30</formula>
    </cfRule>
  </conditionalFormatting>
  <conditionalFormatting sqref="I1">
    <cfRule type="cellIs" dxfId="33" priority="3" operator="between">
      <formula>0.1</formula>
      <formula>5</formula>
    </cfRule>
  </conditionalFormatting>
  <conditionalFormatting sqref="I2">
    <cfRule type="cellIs" dxfId="32" priority="2" operator="greaterThan">
      <formula>5000.1</formula>
    </cfRule>
  </conditionalFormatting>
  <conditionalFormatting sqref="I3">
    <cfRule type="cellIs" dxfId="3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21" zoomScale="90" zoomScaleNormal="90" workbookViewId="0">
      <selection activeCell="E43" sqref="E4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'Cefn Dryscoed'!C1:D1</f>
        <v>PAN-025174</v>
      </c>
      <c r="D1" s="141"/>
      <c r="E1" s="93" t="s">
        <v>45</v>
      </c>
      <c r="F1" s="39">
        <f>'Cefn Dryscoed'!F1</f>
        <v>49.24</v>
      </c>
      <c r="G1" s="123" t="s">
        <v>43</v>
      </c>
      <c r="H1" s="124"/>
      <c r="I1" s="118">
        <v>6.1</v>
      </c>
      <c r="J1" s="127" t="s">
        <v>153</v>
      </c>
      <c r="K1" s="127"/>
      <c r="L1" s="97">
        <v>292</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'Cefn Dryscoed'!C2:D2</f>
        <v>EPR/GP3792SK</v>
      </c>
      <c r="D2" s="143"/>
      <c r="E2" s="93" t="s">
        <v>109</v>
      </c>
      <c r="F2" s="96" t="s">
        <v>182</v>
      </c>
      <c r="G2" s="125" t="s">
        <v>110</v>
      </c>
      <c r="H2" s="126"/>
      <c r="I2" s="118"/>
      <c r="J2" s="127" t="s">
        <v>158</v>
      </c>
      <c r="K2" s="127"/>
      <c r="L2" s="97">
        <v>0.67400000000000004</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'Cefn Dryscoed'!C3:D3</f>
        <v xml:space="preserve">ByProduct Recovery LTD </v>
      </c>
      <c r="D3" s="143"/>
      <c r="E3" s="93" t="s">
        <v>108</v>
      </c>
      <c r="F3" s="31" t="s">
        <v>78</v>
      </c>
      <c r="G3" s="127" t="s">
        <v>159</v>
      </c>
      <c r="H3" s="127"/>
      <c r="I3" s="118"/>
      <c r="J3" s="123" t="s">
        <v>154</v>
      </c>
      <c r="K3" s="124"/>
      <c r="L3" s="97">
        <f>(L1/(L2*10000))*100</f>
        <v>4.3323442136498516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'Cefn Dryscoed'!C4:D4</f>
        <v>Pentwyn Farm, Brecon, Powys, LD3 0SW</v>
      </c>
      <c r="D4" s="141"/>
      <c r="E4" s="94" t="s">
        <v>1</v>
      </c>
      <c r="F4" s="96" t="s">
        <v>186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'Cefn Dryscoed'!C5:D5</f>
        <v xml:space="preserve">Megan Tucker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'Cefn Dryscoed'!C8</f>
        <v>17 Acres</v>
      </c>
      <c r="D8" s="60" t="str">
        <f>'Cefn Dryscoed'!D8</f>
        <v>Top Pentwyn</v>
      </c>
      <c r="E8" s="60" t="str">
        <f>'Cefn Dryscoed'!E8</f>
        <v xml:space="preserve">Bottom Pentwyn </v>
      </c>
      <c r="F8" s="60" t="str">
        <f>'Cefn Dryscoed'!F8</f>
        <v xml:space="preserve">Lodge </v>
      </c>
      <c r="G8" s="60" t="str">
        <f>'Cefn Dryscoed'!G8</f>
        <v>Pentwyn Corner</v>
      </c>
      <c r="H8" s="60" t="str">
        <f>'Cefn Dryscoed'!H8</f>
        <v>16 Acres</v>
      </c>
      <c r="I8" s="60" t="str">
        <f>'Cefn Dryscoed'!I8</f>
        <v>A</v>
      </c>
      <c r="J8" s="60" t="str">
        <f>'Cefn Dryscoed'!J8</f>
        <v>B</v>
      </c>
      <c r="K8" s="60" t="str">
        <f>'Cefn Dryscoed'!K8</f>
        <v>C</v>
      </c>
      <c r="L8" s="60" t="str">
        <f>'Cefn Dryscoed'!L8</f>
        <v>Sheep Shed</v>
      </c>
      <c r="M8" s="60" t="str">
        <f>'Cefn Dryscoed'!M8</f>
        <v>Badger Burry</v>
      </c>
      <c r="N8" s="60" t="str">
        <f>'Cefn Dryscoed'!N8</f>
        <v>Long meadow</v>
      </c>
      <c r="O8" s="60">
        <f>'Cefn Dryscoed'!O8</f>
        <v>0</v>
      </c>
      <c r="P8" s="60">
        <f>'Cefn Dryscoed'!P8</f>
        <v>0</v>
      </c>
      <c r="Q8" s="60">
        <f>'Cefn Dryscoed'!Q8</f>
        <v>0</v>
      </c>
      <c r="R8" s="60">
        <f>'Cefn Dryscoed'!R8</f>
        <v>0</v>
      </c>
      <c r="S8" s="60">
        <f>'Cefn Dryscoed'!S8</f>
        <v>0</v>
      </c>
      <c r="T8" s="60">
        <f>'Cefn Dryscoed'!T8</f>
        <v>0</v>
      </c>
      <c r="U8" s="60">
        <f>'Cefn Dryscoed'!U8</f>
        <v>0</v>
      </c>
      <c r="V8" s="60">
        <f>'Cefn Dryscoed'!V8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'Cefn Dryscoed'!C9</f>
        <v>Medium</v>
      </c>
      <c r="D9" s="60" t="str">
        <f>'Cefn Dryscoed'!D9</f>
        <v>Medium</v>
      </c>
      <c r="E9" s="60" t="str">
        <f>'Cefn Dryscoed'!E9</f>
        <v xml:space="preserve">Medium </v>
      </c>
      <c r="F9" s="60">
        <f>'Cefn Dryscoed'!F9</f>
        <v>0</v>
      </c>
      <c r="G9" s="60" t="str">
        <f>'Cefn Dryscoed'!G9</f>
        <v>Medium</v>
      </c>
      <c r="H9" s="60" t="str">
        <f>'Cefn Dryscoed'!H9</f>
        <v>Medium</v>
      </c>
      <c r="I9" s="60" t="str">
        <f>'Cefn Dryscoed'!I9</f>
        <v>Medium</v>
      </c>
      <c r="J9" s="60" t="str">
        <f>'Cefn Dryscoed'!J9</f>
        <v>Medium</v>
      </c>
      <c r="K9" s="60" t="str">
        <f>'Cefn Dryscoed'!K9</f>
        <v>Medium</v>
      </c>
      <c r="L9" s="60" t="str">
        <f>'Cefn Dryscoed'!L9</f>
        <v>Meidum</v>
      </c>
      <c r="M9" s="60">
        <f>'Cefn Dryscoed'!M9</f>
        <v>1</v>
      </c>
      <c r="N9" s="60" t="str">
        <f>'Cefn Dryscoed'!N9</f>
        <v xml:space="preserve">Medium </v>
      </c>
      <c r="O9" s="60">
        <f>'Cefn Dryscoed'!O9</f>
        <v>0</v>
      </c>
      <c r="P9" s="60">
        <f>'Cefn Dryscoed'!P9</f>
        <v>0</v>
      </c>
      <c r="Q9" s="60">
        <f>'Cefn Dryscoed'!Q9</f>
        <v>0</v>
      </c>
      <c r="R9" s="60">
        <f>'Cefn Dryscoed'!R9</f>
        <v>0</v>
      </c>
      <c r="S9" s="60">
        <f>'Cefn Dryscoed'!S9</f>
        <v>0</v>
      </c>
      <c r="T9" s="60">
        <f>'Cefn Dryscoed'!T9</f>
        <v>0</v>
      </c>
      <c r="U9" s="60">
        <f>'Cefn Dryscoed'!U9</f>
        <v>0</v>
      </c>
      <c r="V9" s="60">
        <f>'Cefn Dryscoed'!V9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'Cefn Dryscoed'!C10</f>
        <v>6.5</v>
      </c>
      <c r="D10" s="60">
        <f>'Cefn Dryscoed'!D10</f>
        <v>6.6</v>
      </c>
      <c r="E10" s="60">
        <f>'Cefn Dryscoed'!E10</f>
        <v>6.9</v>
      </c>
      <c r="F10" s="60">
        <f>'Cefn Dryscoed'!F10</f>
        <v>5.6</v>
      </c>
      <c r="G10" s="60">
        <f>'Cefn Dryscoed'!G10</f>
        <v>6.4</v>
      </c>
      <c r="H10" s="60">
        <f>'Cefn Dryscoed'!H10</f>
        <v>6.5</v>
      </c>
      <c r="I10" s="60">
        <f>'Cefn Dryscoed'!I10</f>
        <v>6.1</v>
      </c>
      <c r="J10" s="60">
        <f>'Cefn Dryscoed'!J10</f>
        <v>6.3</v>
      </c>
      <c r="K10" s="60">
        <f>'Cefn Dryscoed'!K10</f>
        <v>6.2</v>
      </c>
      <c r="L10" s="60">
        <f>'Cefn Dryscoed'!L10</f>
        <v>6.1</v>
      </c>
      <c r="M10" s="60">
        <f>'Cefn Dryscoed'!M10</f>
        <v>6.3</v>
      </c>
      <c r="N10" s="60">
        <f>'Cefn Dryscoed'!N10</f>
        <v>6.2</v>
      </c>
      <c r="O10" s="60">
        <f>'Cefn Dryscoed'!O10</f>
        <v>0</v>
      </c>
      <c r="P10" s="60">
        <f>'Cefn Dryscoed'!P10</f>
        <v>0</v>
      </c>
      <c r="Q10" s="60">
        <f>'Cefn Dryscoed'!Q10</f>
        <v>0</v>
      </c>
      <c r="R10" s="60">
        <f>'Cefn Dryscoed'!R10</f>
        <v>0</v>
      </c>
      <c r="S10" s="60">
        <f>'Cefn Dryscoed'!S10</f>
        <v>0</v>
      </c>
      <c r="T10" s="60">
        <f>'Cefn Dryscoed'!T10</f>
        <v>0</v>
      </c>
      <c r="U10" s="60">
        <f>'Cefn Dryscoed'!U10</f>
        <v>0</v>
      </c>
      <c r="V10" s="60">
        <f>'Cefn Dryscoed'!V10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'Cefn Dryscoed'!C11</f>
        <v>3</v>
      </c>
      <c r="D11" s="60">
        <f>'Cefn Dryscoed'!D11</f>
        <v>2</v>
      </c>
      <c r="E11" s="60">
        <f>'Cefn Dryscoed'!E11</f>
        <v>2</v>
      </c>
      <c r="F11" s="60">
        <f>'Cefn Dryscoed'!F11</f>
        <v>3</v>
      </c>
      <c r="G11" s="60">
        <f>'Cefn Dryscoed'!G11</f>
        <v>3</v>
      </c>
      <c r="H11" s="60">
        <f>'Cefn Dryscoed'!H11</f>
        <v>3</v>
      </c>
      <c r="I11" s="60">
        <f>'Cefn Dryscoed'!I11</f>
        <v>3</v>
      </c>
      <c r="J11" s="60">
        <f>'Cefn Dryscoed'!J11</f>
        <v>3</v>
      </c>
      <c r="K11" s="60">
        <f>'Cefn Dryscoed'!K11</f>
        <v>3</v>
      </c>
      <c r="L11" s="60">
        <f>'Cefn Dryscoed'!L11</f>
        <v>2</v>
      </c>
      <c r="M11" s="60">
        <f>'Cefn Dryscoed'!M11</f>
        <v>3</v>
      </c>
      <c r="N11" s="60">
        <f>'Cefn Dryscoed'!N11</f>
        <v>2</v>
      </c>
      <c r="O11" s="60">
        <f>'Cefn Dryscoed'!O11</f>
        <v>0</v>
      </c>
      <c r="P11" s="60">
        <f>'Cefn Dryscoed'!P11</f>
        <v>0</v>
      </c>
      <c r="Q11" s="60">
        <f>'Cefn Dryscoed'!Q11</f>
        <v>0</v>
      </c>
      <c r="R11" s="60">
        <f>'Cefn Dryscoed'!R11</f>
        <v>0</v>
      </c>
      <c r="S11" s="60">
        <f>'Cefn Dryscoed'!S11</f>
        <v>0</v>
      </c>
      <c r="T11" s="60">
        <f>'Cefn Dryscoed'!T11</f>
        <v>0</v>
      </c>
      <c r="U11" s="60">
        <f>'Cefn Dryscoed'!U11</f>
        <v>0</v>
      </c>
      <c r="V11" s="60">
        <f>'Cefn Dryscoed'!V11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'Cefn Dryscoed'!C12</f>
        <v>2</v>
      </c>
      <c r="D12" s="60">
        <f>'Cefn Dryscoed'!D12</f>
        <v>2</v>
      </c>
      <c r="E12" s="60">
        <f>'Cefn Dryscoed'!E12</f>
        <v>2</v>
      </c>
      <c r="F12" s="60">
        <f>'Cefn Dryscoed'!F12</f>
        <v>2</v>
      </c>
      <c r="G12" s="60">
        <f>'Cefn Dryscoed'!G12</f>
        <v>3</v>
      </c>
      <c r="H12" s="60">
        <f>'Cefn Dryscoed'!H12</f>
        <v>2</v>
      </c>
      <c r="I12" s="60">
        <f>'Cefn Dryscoed'!I12</f>
        <v>2</v>
      </c>
      <c r="J12" s="60">
        <f>'Cefn Dryscoed'!J12</f>
        <v>2</v>
      </c>
      <c r="K12" s="60">
        <f>'Cefn Dryscoed'!K12</f>
        <v>2</v>
      </c>
      <c r="L12" s="60">
        <f>'Cefn Dryscoed'!L12</f>
        <v>2</v>
      </c>
      <c r="M12" s="60">
        <f>'Cefn Dryscoed'!M12</f>
        <v>4</v>
      </c>
      <c r="N12" s="60">
        <f>'Cefn Dryscoed'!N12</f>
        <v>2</v>
      </c>
      <c r="O12" s="60">
        <f>'Cefn Dryscoed'!O12</f>
        <v>0</v>
      </c>
      <c r="P12" s="60">
        <f>'Cefn Dryscoed'!P12</f>
        <v>0</v>
      </c>
      <c r="Q12" s="60">
        <f>'Cefn Dryscoed'!Q12</f>
        <v>0</v>
      </c>
      <c r="R12" s="60">
        <f>'Cefn Dryscoed'!R12</f>
        <v>0</v>
      </c>
      <c r="S12" s="60">
        <f>'Cefn Dryscoed'!S12</f>
        <v>0</v>
      </c>
      <c r="T12" s="60">
        <f>'Cefn Dryscoed'!T12</f>
        <v>0</v>
      </c>
      <c r="U12" s="60">
        <f>'Cefn Dryscoed'!U12</f>
        <v>0</v>
      </c>
      <c r="V12" s="60">
        <f>'Cefn Dryscoed'!V12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'Cefn Dryscoed'!C13</f>
        <v>2</v>
      </c>
      <c r="D13" s="60">
        <f>'Cefn Dryscoed'!D13</f>
        <v>2</v>
      </c>
      <c r="E13" s="60">
        <f>'Cefn Dryscoed'!E13</f>
        <v>2</v>
      </c>
      <c r="F13" s="60">
        <f>'Cefn Dryscoed'!F13</f>
        <v>2</v>
      </c>
      <c r="G13" s="60">
        <f>'Cefn Dryscoed'!G13</f>
        <v>3</v>
      </c>
      <c r="H13" s="60">
        <f>'Cefn Dryscoed'!H13</f>
        <v>2</v>
      </c>
      <c r="I13" s="60">
        <f>'Cefn Dryscoed'!I13</f>
        <v>3</v>
      </c>
      <c r="J13" s="60">
        <f>'Cefn Dryscoed'!J13</f>
        <v>3</v>
      </c>
      <c r="K13" s="60">
        <f>'Cefn Dryscoed'!K13</f>
        <v>3</v>
      </c>
      <c r="L13" s="60">
        <f>'Cefn Dryscoed'!L13</f>
        <v>2</v>
      </c>
      <c r="M13" s="60">
        <f>'Cefn Dryscoed'!M13</f>
        <v>2</v>
      </c>
      <c r="N13" s="60">
        <f>'Cefn Dryscoed'!N13</f>
        <v>2</v>
      </c>
      <c r="O13" s="60">
        <f>'Cefn Dryscoed'!O13</f>
        <v>0</v>
      </c>
      <c r="P13" s="60">
        <f>'Cefn Dryscoed'!P13</f>
        <v>0</v>
      </c>
      <c r="Q13" s="60">
        <f>'Cefn Dryscoed'!Q13</f>
        <v>0</v>
      </c>
      <c r="R13" s="60">
        <f>'Cefn Dryscoed'!R13</f>
        <v>0</v>
      </c>
      <c r="S13" s="60">
        <f>'Cefn Dryscoed'!S13</f>
        <v>0</v>
      </c>
      <c r="T13" s="60">
        <f>'Cefn Dryscoed'!T13</f>
        <v>0</v>
      </c>
      <c r="U13" s="60">
        <f>'Cefn Dryscoed'!U13</f>
        <v>0</v>
      </c>
      <c r="V13" s="60">
        <f>'Cefn Dryscoed'!V13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'Cefn Dryscoed'!C14</f>
        <v xml:space="preserve">Grass Silage (30% DM) </v>
      </c>
      <c r="D14" s="102" t="str">
        <f>'Cefn Dryscoed'!D14</f>
        <v xml:space="preserve">Grass Silage (30% DM) </v>
      </c>
      <c r="E14" s="102" t="str">
        <f>'Cefn Dryscoed'!E14</f>
        <v xml:space="preserve">Grass Silage (30% DM) </v>
      </c>
      <c r="F14" s="102" t="str">
        <f>'Cefn Dryscoed'!F14</f>
        <v xml:space="preserve">Grass Silage (30% DM) </v>
      </c>
      <c r="G14" s="102" t="str">
        <f>'Cefn Dryscoed'!G14</f>
        <v xml:space="preserve">Grass Silage (30% DM) </v>
      </c>
      <c r="H14" s="102" t="str">
        <f>'Cefn Dryscoed'!H14</f>
        <v xml:space="preserve">Grass Silage (30% DM) </v>
      </c>
      <c r="I14" s="102" t="str">
        <f>'Cefn Dryscoed'!I14</f>
        <v xml:space="preserve">Grass Silage (30% DM) </v>
      </c>
      <c r="J14" s="102" t="str">
        <f>'Cefn Dryscoed'!J14</f>
        <v xml:space="preserve">Grass Silage (30% DM) </v>
      </c>
      <c r="K14" s="102" t="str">
        <f>'Cefn Dryscoed'!K14</f>
        <v xml:space="preserve">Grass Silage (30% DM) </v>
      </c>
      <c r="L14" s="102" t="str">
        <f>'Cefn Dryscoed'!L14</f>
        <v xml:space="preserve">Grass Silage (30% DM) </v>
      </c>
      <c r="M14" s="102" t="str">
        <f>'Cefn Dryscoed'!M14</f>
        <v>Spring wheat/barley</v>
      </c>
      <c r="N14" s="102" t="str">
        <f>'Cefn Dryscoed'!N14</f>
        <v xml:space="preserve">Grass Silage (30% DM) </v>
      </c>
      <c r="O14" s="102">
        <f>'Cefn Dryscoed'!O14</f>
        <v>0</v>
      </c>
      <c r="P14" s="102">
        <f>'Cefn Dryscoed'!P14</f>
        <v>0</v>
      </c>
      <c r="Q14" s="102">
        <f>'Cefn Dryscoed'!Q14</f>
        <v>0</v>
      </c>
      <c r="R14" s="102">
        <f>'Cefn Dryscoed'!R14</f>
        <v>0</v>
      </c>
      <c r="S14" s="102">
        <f>'Cefn Dryscoed'!S14</f>
        <v>0</v>
      </c>
      <c r="T14" s="102">
        <f>'Cefn Dryscoed'!T14</f>
        <v>0</v>
      </c>
      <c r="U14" s="102">
        <f>'Cefn Dryscoed'!U14</f>
        <v>0</v>
      </c>
      <c r="V14" s="102">
        <f>'Cefn Dryscoed'!V14</f>
        <v>0</v>
      </c>
      <c r="AD14" s="30" t="s">
        <v>138</v>
      </c>
      <c r="AE14" s="30">
        <v>6</v>
      </c>
      <c r="AI14" s="53" t="s">
        <v>119</v>
      </c>
      <c r="AJ14" s="54">
        <v>0.8</v>
      </c>
      <c r="AK14" s="55">
        <v>1.7</v>
      </c>
      <c r="AL14" s="11">
        <v>12</v>
      </c>
      <c r="AM14" s="11">
        <v>6.7</v>
      </c>
      <c r="AN14" s="11" t="s">
        <v>135</v>
      </c>
    </row>
    <row r="15" spans="1:41" ht="13" x14ac:dyDescent="0.25">
      <c r="A15" s="135" t="s">
        <v>9</v>
      </c>
      <c r="B15" s="135"/>
      <c r="C15" s="60">
        <f>'Cefn Dryscoed'!C15</f>
        <v>38</v>
      </c>
      <c r="D15" s="60">
        <f>'Cefn Dryscoed'!D15</f>
        <v>38</v>
      </c>
      <c r="E15" s="60">
        <f>'Cefn Dryscoed'!E15</f>
        <v>38</v>
      </c>
      <c r="F15" s="60">
        <f>'Cefn Dryscoed'!F15</f>
        <v>38</v>
      </c>
      <c r="G15" s="60">
        <f>'Cefn Dryscoed'!G15</f>
        <v>38</v>
      </c>
      <c r="H15" s="60">
        <f>'Cefn Dryscoed'!H15</f>
        <v>38</v>
      </c>
      <c r="I15" s="60">
        <f>'Cefn Dryscoed'!I15</f>
        <v>38</v>
      </c>
      <c r="J15" s="60">
        <f>'Cefn Dryscoed'!J15</f>
        <v>38</v>
      </c>
      <c r="K15" s="60">
        <f>'Cefn Dryscoed'!K15</f>
        <v>38</v>
      </c>
      <c r="L15" s="60">
        <f>'Cefn Dryscoed'!L15</f>
        <v>38</v>
      </c>
      <c r="M15" s="60">
        <f>'Cefn Dryscoed'!M15</f>
        <v>5.5</v>
      </c>
      <c r="N15" s="60">
        <f>'Cefn Dryscoed'!N15</f>
        <v>38</v>
      </c>
      <c r="O15" s="60">
        <f>'Cefn Dryscoed'!O15</f>
        <v>0</v>
      </c>
      <c r="P15" s="60">
        <f>'Cefn Dryscoed'!P15</f>
        <v>0</v>
      </c>
      <c r="Q15" s="60">
        <f>'Cefn Dryscoed'!Q15</f>
        <v>0</v>
      </c>
      <c r="R15" s="60">
        <f>'Cefn Dryscoed'!R15</f>
        <v>0</v>
      </c>
      <c r="S15" s="60">
        <f>'Cefn Dryscoed'!S15</f>
        <v>0</v>
      </c>
      <c r="T15" s="60">
        <f>'Cefn Dryscoed'!T15</f>
        <v>0</v>
      </c>
      <c r="U15" s="60">
        <f>'Cefn Dryscoed'!U15</f>
        <v>0</v>
      </c>
      <c r="V15" s="60">
        <f>'Cefn Dryscoed'!V15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'Cefn Dryscoed'!C16</f>
        <v>Medium/Clay</v>
      </c>
      <c r="D16" s="103" t="str">
        <f>'Cefn Dryscoed'!D16</f>
        <v>Medium/Clay</v>
      </c>
      <c r="E16" s="103" t="str">
        <f>'Cefn Dryscoed'!E16</f>
        <v>Medium/Clay</v>
      </c>
      <c r="F16" s="103" t="str">
        <f>'Cefn Dryscoed'!F16</f>
        <v>Medium/Clay</v>
      </c>
      <c r="G16" s="103" t="str">
        <f>'Cefn Dryscoed'!G16</f>
        <v>Medium/Clay</v>
      </c>
      <c r="H16" s="103" t="str">
        <f>'Cefn Dryscoed'!H16</f>
        <v>Medium/Clay</v>
      </c>
      <c r="I16" s="103" t="str">
        <f>'Cefn Dryscoed'!I16</f>
        <v>Medium/Clay</v>
      </c>
      <c r="J16" s="103" t="str">
        <f>'Cefn Dryscoed'!J16</f>
        <v>Medium/Clay</v>
      </c>
      <c r="K16" s="103" t="str">
        <f>'Cefn Dryscoed'!K16</f>
        <v>Medium/Clay</v>
      </c>
      <c r="L16" s="103" t="str">
        <f>'Cefn Dryscoed'!L16</f>
        <v>Medium/Clay</v>
      </c>
      <c r="M16" s="103" t="str">
        <f>'Cefn Dryscoed'!M16</f>
        <v>Medium/Clay</v>
      </c>
      <c r="N16" s="103" t="str">
        <f>'Cefn Dryscoed'!N16</f>
        <v>Medium/Clay</v>
      </c>
      <c r="O16" s="103">
        <f>'Cefn Dryscoed'!O16</f>
        <v>0</v>
      </c>
      <c r="P16" s="103">
        <f>'Cefn Dryscoed'!P16</f>
        <v>0</v>
      </c>
      <c r="Q16" s="103">
        <f>'Cefn Dryscoed'!Q16</f>
        <v>0</v>
      </c>
      <c r="R16" s="103">
        <f>'Cefn Dryscoed'!R16</f>
        <v>0</v>
      </c>
      <c r="S16" s="103">
        <f>'Cefn Dryscoed'!S16</f>
        <v>0</v>
      </c>
      <c r="T16" s="103">
        <f>'Cefn Dryscoed'!T16</f>
        <v>0</v>
      </c>
      <c r="U16" s="103">
        <f>'Cefn Dryscoed'!U16</f>
        <v>0</v>
      </c>
      <c r="V16" s="103">
        <f>'Cefn Dryscoed'!V16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v>
      </c>
      <c r="D17" s="28">
        <f t="shared" ref="D17:V17" si="0">(VLOOKUP(D$14,$AI2:$AK26,2,FALSE))*D$15</f>
        <v>79.8</v>
      </c>
      <c r="E17" s="28">
        <f t="shared" si="0"/>
        <v>79.8</v>
      </c>
      <c r="F17" s="28">
        <f t="shared" si="0"/>
        <v>79.8</v>
      </c>
      <c r="G17" s="28">
        <f t="shared" si="0"/>
        <v>79.8</v>
      </c>
      <c r="H17" s="28">
        <f t="shared" si="0"/>
        <v>79.8</v>
      </c>
      <c r="I17" s="28">
        <f t="shared" si="0"/>
        <v>79.8</v>
      </c>
      <c r="J17" s="28">
        <f t="shared" si="0"/>
        <v>79.8</v>
      </c>
      <c r="K17" s="28">
        <f t="shared" si="0"/>
        <v>79.8</v>
      </c>
      <c r="L17" s="28">
        <f t="shared" si="0"/>
        <v>79.8</v>
      </c>
      <c r="M17" s="28">
        <f t="shared" si="0"/>
        <v>46.75</v>
      </c>
      <c r="N17" s="28">
        <f t="shared" si="0"/>
        <v>79.8</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9.708055224999999</v>
      </c>
      <c r="D18" s="16">
        <f>$D32</f>
        <v>9.708055224999999</v>
      </c>
      <c r="E18" s="16">
        <f>$D33</f>
        <v>9.708055224999999</v>
      </c>
      <c r="F18" s="16">
        <f>$D34</f>
        <v>9.708055224999999</v>
      </c>
      <c r="G18" s="16">
        <f>$D35</f>
        <v>9.708055224999999</v>
      </c>
      <c r="H18" s="16">
        <f>$D36</f>
        <v>9.708055224999999</v>
      </c>
      <c r="I18" s="16">
        <f>$D37</f>
        <v>9.708055224999999</v>
      </c>
      <c r="J18" s="16">
        <f>$D38</f>
        <v>9.708055224999999</v>
      </c>
      <c r="K18" s="16">
        <f>$D39</f>
        <v>9.708055224999999</v>
      </c>
      <c r="L18" s="16">
        <f>$D40</f>
        <v>9.708055224999999</v>
      </c>
      <c r="M18" s="16">
        <f>$D41</f>
        <v>9.708055224999999</v>
      </c>
      <c r="N18" s="16">
        <f>$D42</f>
        <v>9.708055224999999</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-70.091944775000002</v>
      </c>
      <c r="D19" s="16">
        <f t="shared" ref="D19:V19" si="1">D18-D17</f>
        <v>-70.091944775000002</v>
      </c>
      <c r="E19" s="16">
        <f t="shared" si="1"/>
        <v>-70.091944775000002</v>
      </c>
      <c r="F19" s="16">
        <f t="shared" si="1"/>
        <v>-70.091944775000002</v>
      </c>
      <c r="G19" s="16">
        <f t="shared" si="1"/>
        <v>-70.091944775000002</v>
      </c>
      <c r="H19" s="16">
        <f t="shared" si="1"/>
        <v>-70.091944775000002</v>
      </c>
      <c r="I19" s="16">
        <f t="shared" si="1"/>
        <v>-70.091944775000002</v>
      </c>
      <c r="J19" s="16">
        <f t="shared" si="1"/>
        <v>-70.091944775000002</v>
      </c>
      <c r="K19" s="16">
        <f t="shared" si="1"/>
        <v>-70.091944775000002</v>
      </c>
      <c r="L19" s="16">
        <f t="shared" si="1"/>
        <v>-70.091944775000002</v>
      </c>
      <c r="M19" s="16">
        <f t="shared" si="1"/>
        <v>-37.041944775000005</v>
      </c>
      <c r="N19" s="16">
        <f t="shared" si="1"/>
        <v>-70.091944775000002</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273.60000000000002</v>
      </c>
      <c r="D21" s="28">
        <f t="shared" ref="D21:V21" si="2">(VLOOKUP(D$14,$AI2:$AK26,3,FALSE))*D$15</f>
        <v>273.60000000000002</v>
      </c>
      <c r="E21" s="28">
        <f t="shared" si="2"/>
        <v>273.60000000000002</v>
      </c>
      <c r="F21" s="28">
        <f t="shared" si="2"/>
        <v>273.60000000000002</v>
      </c>
      <c r="G21" s="28">
        <f t="shared" si="2"/>
        <v>273.60000000000002</v>
      </c>
      <c r="H21" s="28">
        <f t="shared" si="2"/>
        <v>273.60000000000002</v>
      </c>
      <c r="I21" s="28">
        <f t="shared" si="2"/>
        <v>273.60000000000002</v>
      </c>
      <c r="J21" s="28">
        <f t="shared" si="2"/>
        <v>273.60000000000002</v>
      </c>
      <c r="K21" s="28">
        <f t="shared" si="2"/>
        <v>273.60000000000002</v>
      </c>
      <c r="L21" s="28">
        <f t="shared" si="2"/>
        <v>273.60000000000002</v>
      </c>
      <c r="M21" s="28">
        <f t="shared" si="2"/>
        <v>66</v>
      </c>
      <c r="N21" s="28">
        <f t="shared" si="2"/>
        <v>273.60000000000002</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1.0514528749999998</v>
      </c>
      <c r="D22" s="16">
        <f>$E32</f>
        <v>1.0514528749999998</v>
      </c>
      <c r="E22" s="16">
        <f>$E33</f>
        <v>1.0514528749999998</v>
      </c>
      <c r="F22" s="16">
        <f>$E34</f>
        <v>1.0514528749999998</v>
      </c>
      <c r="G22" s="16">
        <f>$E35</f>
        <v>1.0514528749999998</v>
      </c>
      <c r="H22" s="16">
        <f>$E36</f>
        <v>1.0514528749999998</v>
      </c>
      <c r="I22" s="16">
        <f>$E37</f>
        <v>1.0514528749999998</v>
      </c>
      <c r="J22" s="16">
        <f>$E38</f>
        <v>1.0514528749999998</v>
      </c>
      <c r="K22" s="16">
        <f>$E39</f>
        <v>1.0514528749999998</v>
      </c>
      <c r="L22" s="16">
        <f>$E40</f>
        <v>1.0514528749999998</v>
      </c>
      <c r="M22" s="16">
        <f>$E41</f>
        <v>1.0514528749999998</v>
      </c>
      <c r="N22" s="16">
        <f>$E42</f>
        <v>1.0514528749999998</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-272.54854712500003</v>
      </c>
      <c r="D23" s="16">
        <f t="shared" ref="D23:V23" si="3">D22-D21</f>
        <v>-272.54854712500003</v>
      </c>
      <c r="E23" s="16">
        <f t="shared" si="3"/>
        <v>-272.54854712500003</v>
      </c>
      <c r="F23" s="16">
        <f t="shared" si="3"/>
        <v>-272.54854712500003</v>
      </c>
      <c r="G23" s="16">
        <f t="shared" si="3"/>
        <v>-272.54854712500003</v>
      </c>
      <c r="H23" s="16">
        <f t="shared" si="3"/>
        <v>-272.54854712500003</v>
      </c>
      <c r="I23" s="16">
        <f t="shared" si="3"/>
        <v>-272.54854712500003</v>
      </c>
      <c r="J23" s="16">
        <f t="shared" si="3"/>
        <v>-272.54854712500003</v>
      </c>
      <c r="K23" s="16">
        <f t="shared" si="3"/>
        <v>-272.54854712500003</v>
      </c>
      <c r="L23" s="16">
        <f t="shared" si="3"/>
        <v>-272.54854712500003</v>
      </c>
      <c r="M23" s="16">
        <f t="shared" si="3"/>
        <v>-64.948547125000005</v>
      </c>
      <c r="N23" s="16">
        <f t="shared" si="3"/>
        <v>-272.54854712500003</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2.09</v>
      </c>
      <c r="C28" s="15">
        <v>0.67400000000000004</v>
      </c>
      <c r="D28" s="15">
        <v>8.1100000000000005E-2</v>
      </c>
      <c r="E28" s="15">
        <v>1.67E-2</v>
      </c>
      <c r="F28" s="15">
        <v>586</v>
      </c>
      <c r="G28" s="15">
        <v>25.7</v>
      </c>
      <c r="H28" s="15">
        <v>136</v>
      </c>
      <c r="I28" s="15">
        <v>9.6</v>
      </c>
      <c r="J28" s="15">
        <v>0.47</v>
      </c>
      <c r="K28" s="23">
        <v>0.97</v>
      </c>
      <c r="L28" s="15">
        <v>10.7</v>
      </c>
      <c r="M28" s="15">
        <v>15.2</v>
      </c>
      <c r="N28" s="15">
        <v>3050</v>
      </c>
      <c r="O28" s="15">
        <v>425000</v>
      </c>
      <c r="P28" s="15"/>
      <c r="Q28" s="15">
        <v>2570</v>
      </c>
      <c r="R28" s="15"/>
      <c r="S28" s="15">
        <v>41.4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17 Acres</v>
      </c>
      <c r="B31" s="15">
        <v>250</v>
      </c>
      <c r="C31" s="77">
        <f>IF(C$27="%w/w SAR",((C$28*10)*$B31),IF(C$27="%w/w DM",(((C$28*10)*($B$28/100))*$B31),IF(C$27="kg/t SAR",(C$28*$B31),IF(C$27="kg/t DM",((C$28*($B$28/100))*$B31),IF(C$27="mg/kg SAR",((C$28*0.001)*$B31),IF(C$27="mg/kg DM",(((C$28*0.001)*($B$28/100))*$B31),0))))))</f>
        <v>35.216499999999996</v>
      </c>
      <c r="D31" s="77">
        <f>(IF(D$27="%w/w SAR",((D$28*10)*$B31),IF(D$27="%w/w DM",(((D$28*10)*($B$28/100))*$B31),IF(D$27="kg/t SAR",(D$28*$B31),IF(D$27="kg/t DM",((D$28*($B$28/100))*$B31),IF(D$27="mg/kg SAR",((D$28*0.001)*$B31),IF(D$27="mg/kg DM",(((D$28*0.001)*($B$28/100))*$B31),"0")))))))*2.291</f>
        <v>9.708055224999999</v>
      </c>
      <c r="E31" s="77">
        <f>(IF(E$27="%w/w SAR",((E$28*10)*$B31),IF(E$27="%w/w DM",(((E$28*10)*($B$28/100))*$B31),IF(E$27="kg/t SAR",(E$28*$B31),IF(E$27="kg/t DM",((E$28*($B$28/100))*$B31),IF(E$27="mg/kg SAR",((E$28*0.001)*$B31),IF(E$27="mg/kg DM",(((E$28*0.001)*($B$28/100))*$B31),"0")))))))*1.205</f>
        <v>1.0514528749999998</v>
      </c>
      <c r="F31" s="77">
        <f>(IF(F$27="%w/w SAR",((F$28*10)*$B31),IF(F$27="%w/w DM",(((F$28*10)*($B$28/100))*$B31),IF(F$27="kg/t SAR",(F$28*$B31),IF(F$27="kg/t DM",((F$28*($B$28/100))*$B31),IF(F$27="mg/kg SAR",((F$28*0.001)*$B31),IF(F$27="mg/kg DM",(((F$28*0.001)*($B$28/100))*$B31),"0")))))))*1.658</f>
        <v>5.0765472999999997</v>
      </c>
      <c r="G31" s="77">
        <f t="shared" ref="G31:P46" si="5">IF(G$27="%w/w SAR",((G$28*10)*$B31),IF(G$27="%w/w DM",(((G$28*10)*($B$28/100))*$B31),IF(G$27="kg/t SAR",(G$28*$B31),IF(G$27="kg/t DM",((G$28*($B$28/100))*$B31),IF(G$27="mg/kg SAR",((G$28*0.001)*$B31),IF(G$27="mg/kg DM",(((G$28*0.001)*($B$28/100))*$B31),0))))))</f>
        <v>0.13428249999999997</v>
      </c>
      <c r="H31" s="77">
        <f t="shared" si="5"/>
        <v>0.71060000000000001</v>
      </c>
      <c r="I31" s="77">
        <f t="shared" si="5"/>
        <v>5.0159999999999996E-2</v>
      </c>
      <c r="J31" s="77">
        <f t="shared" si="5"/>
        <v>2.4557499999999996E-3</v>
      </c>
      <c r="K31" s="77">
        <f t="shared" si="5"/>
        <v>5.068249999999999E-3</v>
      </c>
      <c r="L31" s="77">
        <f t="shared" si="5"/>
        <v>5.5907499999999992E-2</v>
      </c>
      <c r="M31" s="77">
        <f t="shared" si="5"/>
        <v>7.9419999999999991E-2</v>
      </c>
      <c r="N31" s="77">
        <f t="shared" si="5"/>
        <v>15.936249999999999</v>
      </c>
      <c r="O31" s="77">
        <f t="shared" si="5"/>
        <v>2220.6249999999995</v>
      </c>
      <c r="P31" s="77">
        <f t="shared" si="5"/>
        <v>0</v>
      </c>
      <c r="Q31" s="77">
        <f>(IF(Q$27="%w/w SAR",((Q$28*10)*$B31),IF(Q$27="%w/w DM",(((Q$28*10)*($B$28/100))*$B31),IF(Q$27="kg/t SAR",(Q$28*$B31),IF(Q$27="kg/t DM",((Q$28*($B$28/100))*$B31),IF(Q$27="mg/kg SAR",((Q$28*0.001)*$B31),IF(Q$27="mg/kg DM",(((Q$28*0.001)*($B$28/100))*$B31),0)))))))*2.5</f>
        <v>33.570624999999993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0.21631499999999998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Top Pentwyn</v>
      </c>
      <c r="B32" s="15">
        <v>250</v>
      </c>
      <c r="C32" s="77">
        <f t="shared" ref="C32:C50" si="6">IF(C$27="%w/w SAR",((C$28*10)*$B32),IF(C$27="%w/w DM",(((C$28*10)*($B$28/100))*$B32),IF(C$27="kg/t SAR",(C$28*$B32),IF(C$27="kg/t DM",((C$28*($B$28/100))*$B32),IF(C$27="mg/kg SAR",((C$28*0.001)*$B32),IF(C$27="mg/kg DM",(((C$28*0.001)*($B$28/100))*$B32),0))))))</f>
        <v>35.216499999999996</v>
      </c>
      <c r="D32" s="77">
        <f t="shared" ref="D32:D50" si="7">(IF(D$27="%w/w SAR",((D$28*10)*$B32),IF(D$27="%w/w DM",(((D$28*10)*($B$28/100))*$B32),IF(D$27="kg/t SAR",(D$28*$B32),IF(D$27="kg/t DM",((D$28*($B$28/100))*$B32),IF(D$27="mg/kg SAR",((D$28*0.001)*$B32),IF(D$27="mg/kg DM",(((D$28*0.001)*($B$28/100))*$B32),"0")))))))*2.291</f>
        <v>9.708055224999999</v>
      </c>
      <c r="E32" s="77">
        <f t="shared" ref="E32:E50" si="8">(IF(E$27="%w/w SAR",((E$28*10)*$B32),IF(E$27="%w/w DM",(((E$28*10)*($B$28/100))*$B32),IF(E$27="kg/t SAR",(E$28*$B32),IF(E$27="kg/t DM",((E$28*($B$28/100))*$B32),IF(E$27="mg/kg SAR",((E$28*0.001)*$B32),IF(E$27="mg/kg DM",(((E$28*0.001)*($B$28/100))*$B32),"0")))))))*1.205</f>
        <v>1.0514528749999998</v>
      </c>
      <c r="F32" s="77">
        <f t="shared" ref="F32:F50" si="9">(IF(F$27="%w/w SAR",((F$28*10)*$B32),IF(F$27="%w/w DM",(((F$28*10)*($B$28/100))*$B32),IF(F$27="kg/t SAR",(F$28*$B32),IF(F$27="kg/t DM",((F$28*($B$28/100))*$B32),IF(F$27="mg/kg SAR",((F$28*0.001)*$B32),IF(F$27="mg/kg DM",(((F$28*0.001)*($B$28/100))*$B32),"0")))))))*1.658</f>
        <v>5.0765472999999997</v>
      </c>
      <c r="G32" s="77">
        <f t="shared" si="5"/>
        <v>0.13428249999999997</v>
      </c>
      <c r="H32" s="77">
        <f t="shared" si="5"/>
        <v>0.71060000000000001</v>
      </c>
      <c r="I32" s="77">
        <f t="shared" si="5"/>
        <v>5.0159999999999996E-2</v>
      </c>
      <c r="J32" s="77">
        <f t="shared" si="5"/>
        <v>2.4557499999999996E-3</v>
      </c>
      <c r="K32" s="77">
        <f t="shared" si="5"/>
        <v>5.068249999999999E-3</v>
      </c>
      <c r="L32" s="77">
        <f t="shared" si="5"/>
        <v>5.5907499999999992E-2</v>
      </c>
      <c r="M32" s="77">
        <f t="shared" si="5"/>
        <v>7.9419999999999991E-2</v>
      </c>
      <c r="N32" s="77">
        <f t="shared" si="5"/>
        <v>15.936249999999999</v>
      </c>
      <c r="O32" s="77">
        <f t="shared" si="5"/>
        <v>2220.6249999999995</v>
      </c>
      <c r="P32" s="77">
        <f t="shared" si="5"/>
        <v>0</v>
      </c>
      <c r="Q32" s="77">
        <f t="shared" ref="Q32:Q50" si="10">(IF(Q$27="%w/w SAR",((Q$28*10)*$B32),IF(Q$27="%w/w DM",(((Q$28*10)*($B$28/100))*$B32),IF(Q$27="kg/t SAR",(Q$28*$B32),IF(Q$27="kg/t DM",((Q$28*($B$28/100))*$B32),IF(Q$27="mg/kg SAR",((Q$28*0.001)*$B32),IF(Q$27="mg/kg DM",(((Q$28*0.001)*($B$28/100))*$B32),0)))))))*2.5</f>
        <v>33.570624999999993</v>
      </c>
      <c r="R32" s="77">
        <f t="shared" ref="R32:U50" si="11">IF(R$27="%w/w SAR",((R$28*10)*$B32),IF(R$27="%w/w DM",(((R$28*10)*($B$28/100))*$B32),IF(R$27="kg/t SAR",(R$28*$B32),IF(R$27="kg/t DM",((R$28*($B$28/100))*$B32),IF(R$27="mg/kg SAR",((R$28*0.001)*$B32),IF(R$27="mg/kg DM",(((R$28*0.001)*($B$28/100))*$B32),0))))))</f>
        <v>0</v>
      </c>
      <c r="S32" s="77">
        <f t="shared" si="11"/>
        <v>0.21631499999999998</v>
      </c>
      <c r="T32" s="77">
        <f t="shared" si="11"/>
        <v>0</v>
      </c>
      <c r="U32" s="77">
        <f t="shared" si="11"/>
        <v>0</v>
      </c>
      <c r="AB32" s="59"/>
      <c r="AC32" s="59"/>
      <c r="AD32" s="59"/>
      <c r="AE32" s="59"/>
      <c r="AF32" s="59"/>
      <c r="AG32" s="59"/>
      <c r="AH32" s="59"/>
      <c r="AI32" s="59"/>
    </row>
    <row r="33" spans="1:35" s="72" customFormat="1" ht="13" x14ac:dyDescent="0.35">
      <c r="A33" s="13" t="str">
        <f>E8</f>
        <v xml:space="preserve">Bottom Pentwyn </v>
      </c>
      <c r="B33" s="15">
        <v>250</v>
      </c>
      <c r="C33" s="77">
        <f t="shared" si="6"/>
        <v>35.216499999999996</v>
      </c>
      <c r="D33" s="77">
        <f t="shared" si="7"/>
        <v>9.708055224999999</v>
      </c>
      <c r="E33" s="77">
        <f t="shared" si="8"/>
        <v>1.0514528749999998</v>
      </c>
      <c r="F33" s="77">
        <f t="shared" si="9"/>
        <v>5.0765472999999997</v>
      </c>
      <c r="G33" s="77">
        <f t="shared" si="5"/>
        <v>0.13428249999999997</v>
      </c>
      <c r="H33" s="77">
        <f t="shared" si="5"/>
        <v>0.71060000000000001</v>
      </c>
      <c r="I33" s="77">
        <f t="shared" si="5"/>
        <v>5.0159999999999996E-2</v>
      </c>
      <c r="J33" s="77">
        <f t="shared" si="5"/>
        <v>2.4557499999999996E-3</v>
      </c>
      <c r="K33" s="77">
        <f t="shared" si="5"/>
        <v>5.068249999999999E-3</v>
      </c>
      <c r="L33" s="77">
        <f t="shared" si="5"/>
        <v>5.5907499999999992E-2</v>
      </c>
      <c r="M33" s="77">
        <f t="shared" si="5"/>
        <v>7.9419999999999991E-2</v>
      </c>
      <c r="N33" s="77">
        <f t="shared" si="5"/>
        <v>15.936249999999999</v>
      </c>
      <c r="O33" s="77">
        <f t="shared" si="5"/>
        <v>2220.6249999999995</v>
      </c>
      <c r="P33" s="77">
        <f t="shared" si="5"/>
        <v>0</v>
      </c>
      <c r="Q33" s="77">
        <f t="shared" si="10"/>
        <v>33.570624999999993</v>
      </c>
      <c r="R33" s="77">
        <f t="shared" si="11"/>
        <v>0</v>
      </c>
      <c r="S33" s="77">
        <f t="shared" si="11"/>
        <v>0.21631499999999998</v>
      </c>
      <c r="T33" s="77">
        <f t="shared" si="11"/>
        <v>0</v>
      </c>
      <c r="U33" s="77">
        <f t="shared" si="11"/>
        <v>0</v>
      </c>
      <c r="AB33" s="59"/>
      <c r="AC33" s="59"/>
      <c r="AD33" s="59"/>
      <c r="AE33" s="59"/>
      <c r="AF33" s="59"/>
      <c r="AG33" s="59"/>
      <c r="AH33" s="59"/>
      <c r="AI33" s="59"/>
    </row>
    <row r="34" spans="1:35" s="72" customFormat="1" ht="13" x14ac:dyDescent="0.35">
      <c r="A34" s="13" t="str">
        <f>F8</f>
        <v xml:space="preserve">Lodge </v>
      </c>
      <c r="B34" s="15">
        <v>250</v>
      </c>
      <c r="C34" s="77">
        <f t="shared" si="6"/>
        <v>35.216499999999996</v>
      </c>
      <c r="D34" s="77">
        <f t="shared" si="7"/>
        <v>9.708055224999999</v>
      </c>
      <c r="E34" s="77">
        <f t="shared" si="8"/>
        <v>1.0514528749999998</v>
      </c>
      <c r="F34" s="77">
        <f t="shared" si="9"/>
        <v>5.0765472999999997</v>
      </c>
      <c r="G34" s="77">
        <f t="shared" si="5"/>
        <v>0.13428249999999997</v>
      </c>
      <c r="H34" s="77">
        <f t="shared" si="5"/>
        <v>0.71060000000000001</v>
      </c>
      <c r="I34" s="77">
        <f t="shared" si="5"/>
        <v>5.0159999999999996E-2</v>
      </c>
      <c r="J34" s="77">
        <f t="shared" si="5"/>
        <v>2.4557499999999996E-3</v>
      </c>
      <c r="K34" s="77">
        <f t="shared" si="5"/>
        <v>5.068249999999999E-3</v>
      </c>
      <c r="L34" s="77">
        <f t="shared" si="5"/>
        <v>5.5907499999999992E-2</v>
      </c>
      <c r="M34" s="77">
        <f t="shared" si="5"/>
        <v>7.9419999999999991E-2</v>
      </c>
      <c r="N34" s="77">
        <f t="shared" si="5"/>
        <v>15.936249999999999</v>
      </c>
      <c r="O34" s="77">
        <f t="shared" si="5"/>
        <v>2220.6249999999995</v>
      </c>
      <c r="P34" s="77">
        <f t="shared" si="5"/>
        <v>0</v>
      </c>
      <c r="Q34" s="77">
        <f t="shared" si="10"/>
        <v>33.570624999999993</v>
      </c>
      <c r="R34" s="77">
        <f t="shared" si="11"/>
        <v>0</v>
      </c>
      <c r="S34" s="77">
        <f t="shared" si="11"/>
        <v>0.21631499999999998</v>
      </c>
      <c r="T34" s="77">
        <f t="shared" si="11"/>
        <v>0</v>
      </c>
      <c r="U34" s="77">
        <f t="shared" si="11"/>
        <v>0</v>
      </c>
      <c r="AB34" s="59"/>
      <c r="AC34" s="59"/>
      <c r="AD34" s="59"/>
      <c r="AE34" s="59"/>
      <c r="AF34" s="59"/>
      <c r="AG34" s="59"/>
      <c r="AH34" s="59"/>
      <c r="AI34" s="59"/>
    </row>
    <row r="35" spans="1:35" s="72" customFormat="1" ht="13" x14ac:dyDescent="0.35">
      <c r="A35" s="13" t="str">
        <f>G8</f>
        <v>Pentwyn Corner</v>
      </c>
      <c r="B35" s="15">
        <v>250</v>
      </c>
      <c r="C35" s="77">
        <f t="shared" si="6"/>
        <v>35.216499999999996</v>
      </c>
      <c r="D35" s="77">
        <f t="shared" si="7"/>
        <v>9.708055224999999</v>
      </c>
      <c r="E35" s="77">
        <f t="shared" si="8"/>
        <v>1.0514528749999998</v>
      </c>
      <c r="F35" s="77">
        <f t="shared" si="9"/>
        <v>5.0765472999999997</v>
      </c>
      <c r="G35" s="77">
        <f t="shared" si="5"/>
        <v>0.13428249999999997</v>
      </c>
      <c r="H35" s="77">
        <f t="shared" si="5"/>
        <v>0.71060000000000001</v>
      </c>
      <c r="I35" s="77">
        <f t="shared" si="5"/>
        <v>5.0159999999999996E-2</v>
      </c>
      <c r="J35" s="77">
        <f t="shared" si="5"/>
        <v>2.4557499999999996E-3</v>
      </c>
      <c r="K35" s="77">
        <f t="shared" si="5"/>
        <v>5.068249999999999E-3</v>
      </c>
      <c r="L35" s="77">
        <f t="shared" si="5"/>
        <v>5.5907499999999992E-2</v>
      </c>
      <c r="M35" s="77">
        <f t="shared" si="5"/>
        <v>7.9419999999999991E-2</v>
      </c>
      <c r="N35" s="77">
        <f t="shared" si="5"/>
        <v>15.936249999999999</v>
      </c>
      <c r="O35" s="77">
        <f t="shared" si="5"/>
        <v>2220.6249999999995</v>
      </c>
      <c r="P35" s="77">
        <f t="shared" si="5"/>
        <v>0</v>
      </c>
      <c r="Q35" s="77">
        <f t="shared" si="10"/>
        <v>33.570624999999993</v>
      </c>
      <c r="R35" s="77">
        <f t="shared" si="11"/>
        <v>0</v>
      </c>
      <c r="S35" s="77">
        <f t="shared" si="11"/>
        <v>0.21631499999999998</v>
      </c>
      <c r="T35" s="77">
        <f t="shared" si="11"/>
        <v>0</v>
      </c>
      <c r="U35" s="77">
        <f t="shared" si="11"/>
        <v>0</v>
      </c>
      <c r="AB35" s="59"/>
      <c r="AC35" s="59"/>
      <c r="AD35" s="59"/>
      <c r="AE35" s="59"/>
      <c r="AF35" s="59"/>
      <c r="AG35" s="59"/>
      <c r="AH35" s="59"/>
      <c r="AI35" s="59"/>
    </row>
    <row r="36" spans="1:35" s="72" customFormat="1" ht="13" x14ac:dyDescent="0.35">
      <c r="A36" s="13" t="str">
        <f>H8</f>
        <v>16 Acres</v>
      </c>
      <c r="B36" s="15">
        <v>250</v>
      </c>
      <c r="C36" s="77">
        <f t="shared" si="6"/>
        <v>35.216499999999996</v>
      </c>
      <c r="D36" s="77">
        <f t="shared" si="7"/>
        <v>9.708055224999999</v>
      </c>
      <c r="E36" s="77">
        <f t="shared" si="8"/>
        <v>1.0514528749999998</v>
      </c>
      <c r="F36" s="77">
        <f t="shared" si="9"/>
        <v>5.0765472999999997</v>
      </c>
      <c r="G36" s="77">
        <f t="shared" si="5"/>
        <v>0.13428249999999997</v>
      </c>
      <c r="H36" s="77">
        <f t="shared" si="5"/>
        <v>0.71060000000000001</v>
      </c>
      <c r="I36" s="77">
        <f t="shared" si="5"/>
        <v>5.0159999999999996E-2</v>
      </c>
      <c r="J36" s="77">
        <f t="shared" si="5"/>
        <v>2.4557499999999996E-3</v>
      </c>
      <c r="K36" s="77">
        <f t="shared" si="5"/>
        <v>5.068249999999999E-3</v>
      </c>
      <c r="L36" s="77">
        <f t="shared" si="5"/>
        <v>5.5907499999999992E-2</v>
      </c>
      <c r="M36" s="77">
        <f t="shared" si="5"/>
        <v>7.9419999999999991E-2</v>
      </c>
      <c r="N36" s="77">
        <f t="shared" si="5"/>
        <v>15.936249999999999</v>
      </c>
      <c r="O36" s="77">
        <f t="shared" si="5"/>
        <v>2220.6249999999995</v>
      </c>
      <c r="P36" s="77">
        <f t="shared" si="5"/>
        <v>0</v>
      </c>
      <c r="Q36" s="77">
        <f t="shared" si="10"/>
        <v>33.570624999999993</v>
      </c>
      <c r="R36" s="77">
        <f t="shared" si="11"/>
        <v>0</v>
      </c>
      <c r="S36" s="77">
        <f t="shared" si="11"/>
        <v>0.21631499999999998</v>
      </c>
      <c r="T36" s="77">
        <f t="shared" si="11"/>
        <v>0</v>
      </c>
      <c r="U36" s="77">
        <f t="shared" si="11"/>
        <v>0</v>
      </c>
      <c r="AB36" s="59"/>
      <c r="AC36" s="59"/>
      <c r="AD36" s="59"/>
      <c r="AE36" s="59"/>
      <c r="AF36" s="59"/>
      <c r="AG36" s="59"/>
      <c r="AH36" s="59"/>
      <c r="AI36" s="59"/>
    </row>
    <row r="37" spans="1:35" s="72" customFormat="1" ht="13" x14ac:dyDescent="0.35">
      <c r="A37" s="13" t="str">
        <f>I8</f>
        <v>A</v>
      </c>
      <c r="B37" s="15">
        <v>250</v>
      </c>
      <c r="C37" s="77">
        <f t="shared" si="6"/>
        <v>35.216499999999996</v>
      </c>
      <c r="D37" s="77">
        <f t="shared" si="7"/>
        <v>9.708055224999999</v>
      </c>
      <c r="E37" s="77">
        <f t="shared" si="8"/>
        <v>1.0514528749999998</v>
      </c>
      <c r="F37" s="77">
        <f t="shared" si="9"/>
        <v>5.0765472999999997</v>
      </c>
      <c r="G37" s="77">
        <f t="shared" si="5"/>
        <v>0.13428249999999997</v>
      </c>
      <c r="H37" s="77">
        <f t="shared" si="5"/>
        <v>0.71060000000000001</v>
      </c>
      <c r="I37" s="77">
        <f t="shared" si="5"/>
        <v>5.0159999999999996E-2</v>
      </c>
      <c r="J37" s="77">
        <f t="shared" si="5"/>
        <v>2.4557499999999996E-3</v>
      </c>
      <c r="K37" s="77">
        <f t="shared" si="5"/>
        <v>5.068249999999999E-3</v>
      </c>
      <c r="L37" s="77">
        <f t="shared" si="5"/>
        <v>5.5907499999999992E-2</v>
      </c>
      <c r="M37" s="77">
        <f t="shared" si="5"/>
        <v>7.9419999999999991E-2</v>
      </c>
      <c r="N37" s="77">
        <f t="shared" si="5"/>
        <v>15.936249999999999</v>
      </c>
      <c r="O37" s="77">
        <f t="shared" si="5"/>
        <v>2220.6249999999995</v>
      </c>
      <c r="P37" s="77">
        <f t="shared" si="5"/>
        <v>0</v>
      </c>
      <c r="Q37" s="77">
        <f t="shared" si="10"/>
        <v>33.570624999999993</v>
      </c>
      <c r="R37" s="77">
        <f t="shared" si="11"/>
        <v>0</v>
      </c>
      <c r="S37" s="77">
        <f t="shared" si="11"/>
        <v>0.21631499999999998</v>
      </c>
      <c r="T37" s="77">
        <f t="shared" si="11"/>
        <v>0</v>
      </c>
      <c r="U37" s="77">
        <f t="shared" si="11"/>
        <v>0</v>
      </c>
      <c r="AB37" s="59"/>
      <c r="AC37" s="59"/>
      <c r="AD37" s="59"/>
      <c r="AE37" s="59"/>
      <c r="AF37" s="59"/>
      <c r="AG37" s="59"/>
      <c r="AH37" s="59"/>
      <c r="AI37" s="59"/>
    </row>
    <row r="38" spans="1:35" s="72" customFormat="1" ht="13" x14ac:dyDescent="0.35">
      <c r="A38" s="13" t="str">
        <f>J8</f>
        <v>B</v>
      </c>
      <c r="B38" s="15">
        <v>250</v>
      </c>
      <c r="C38" s="77">
        <f t="shared" si="6"/>
        <v>35.216499999999996</v>
      </c>
      <c r="D38" s="77">
        <f t="shared" si="7"/>
        <v>9.708055224999999</v>
      </c>
      <c r="E38" s="77">
        <f t="shared" si="8"/>
        <v>1.0514528749999998</v>
      </c>
      <c r="F38" s="77">
        <f t="shared" si="9"/>
        <v>5.0765472999999997</v>
      </c>
      <c r="G38" s="77">
        <f t="shared" si="5"/>
        <v>0.13428249999999997</v>
      </c>
      <c r="H38" s="77">
        <f t="shared" si="5"/>
        <v>0.71060000000000001</v>
      </c>
      <c r="I38" s="77">
        <f t="shared" si="5"/>
        <v>5.0159999999999996E-2</v>
      </c>
      <c r="J38" s="77">
        <f t="shared" si="5"/>
        <v>2.4557499999999996E-3</v>
      </c>
      <c r="K38" s="77">
        <f t="shared" si="5"/>
        <v>5.068249999999999E-3</v>
      </c>
      <c r="L38" s="77">
        <f t="shared" si="5"/>
        <v>5.5907499999999992E-2</v>
      </c>
      <c r="M38" s="77">
        <f t="shared" si="5"/>
        <v>7.9419999999999991E-2</v>
      </c>
      <c r="N38" s="77">
        <f t="shared" si="5"/>
        <v>15.936249999999999</v>
      </c>
      <c r="O38" s="77">
        <f t="shared" si="5"/>
        <v>2220.6249999999995</v>
      </c>
      <c r="P38" s="77">
        <f t="shared" si="5"/>
        <v>0</v>
      </c>
      <c r="Q38" s="77">
        <f t="shared" si="10"/>
        <v>33.570624999999993</v>
      </c>
      <c r="R38" s="77">
        <f t="shared" si="11"/>
        <v>0</v>
      </c>
      <c r="S38" s="77">
        <f t="shared" si="11"/>
        <v>0.21631499999999998</v>
      </c>
      <c r="T38" s="77">
        <f t="shared" si="11"/>
        <v>0</v>
      </c>
      <c r="U38" s="77">
        <f t="shared" si="11"/>
        <v>0</v>
      </c>
      <c r="AB38" s="59"/>
      <c r="AC38" s="59"/>
      <c r="AD38" s="59"/>
      <c r="AE38" s="59"/>
      <c r="AF38" s="59"/>
      <c r="AG38" s="59"/>
      <c r="AH38" s="59"/>
      <c r="AI38" s="59"/>
    </row>
    <row r="39" spans="1:35" s="72" customFormat="1" ht="13" x14ac:dyDescent="0.35">
      <c r="A39" s="13" t="str">
        <f>K8</f>
        <v>C</v>
      </c>
      <c r="B39" s="15">
        <v>250</v>
      </c>
      <c r="C39" s="77">
        <f t="shared" si="6"/>
        <v>35.216499999999996</v>
      </c>
      <c r="D39" s="77">
        <f t="shared" si="7"/>
        <v>9.708055224999999</v>
      </c>
      <c r="E39" s="77">
        <f t="shared" si="8"/>
        <v>1.0514528749999998</v>
      </c>
      <c r="F39" s="77">
        <f t="shared" si="9"/>
        <v>5.0765472999999997</v>
      </c>
      <c r="G39" s="77">
        <f t="shared" si="5"/>
        <v>0.13428249999999997</v>
      </c>
      <c r="H39" s="77">
        <f t="shared" si="5"/>
        <v>0.71060000000000001</v>
      </c>
      <c r="I39" s="77">
        <f t="shared" si="5"/>
        <v>5.0159999999999996E-2</v>
      </c>
      <c r="J39" s="77">
        <f t="shared" si="5"/>
        <v>2.4557499999999996E-3</v>
      </c>
      <c r="K39" s="77">
        <f t="shared" si="5"/>
        <v>5.068249999999999E-3</v>
      </c>
      <c r="L39" s="77">
        <f t="shared" si="5"/>
        <v>5.5907499999999992E-2</v>
      </c>
      <c r="M39" s="77">
        <f t="shared" si="5"/>
        <v>7.9419999999999991E-2</v>
      </c>
      <c r="N39" s="77">
        <f t="shared" si="5"/>
        <v>15.936249999999999</v>
      </c>
      <c r="O39" s="77">
        <f t="shared" si="5"/>
        <v>2220.6249999999995</v>
      </c>
      <c r="P39" s="77">
        <f t="shared" si="5"/>
        <v>0</v>
      </c>
      <c r="Q39" s="77">
        <f t="shared" si="10"/>
        <v>33.570624999999993</v>
      </c>
      <c r="R39" s="77">
        <f t="shared" si="11"/>
        <v>0</v>
      </c>
      <c r="S39" s="77">
        <f t="shared" si="11"/>
        <v>0.21631499999999998</v>
      </c>
      <c r="T39" s="77">
        <f t="shared" si="11"/>
        <v>0</v>
      </c>
      <c r="U39" s="77">
        <f t="shared" si="11"/>
        <v>0</v>
      </c>
      <c r="AB39" s="59"/>
      <c r="AC39" s="59"/>
      <c r="AD39" s="59"/>
      <c r="AE39" s="59"/>
      <c r="AF39" s="59"/>
      <c r="AG39" s="59"/>
      <c r="AH39" s="59"/>
      <c r="AI39" s="59"/>
    </row>
    <row r="40" spans="1:35" s="72" customFormat="1" ht="13" x14ac:dyDescent="0.35">
      <c r="A40" s="13" t="str">
        <f>L8</f>
        <v>Sheep Shed</v>
      </c>
      <c r="B40" s="15">
        <v>250</v>
      </c>
      <c r="C40" s="77">
        <f t="shared" si="6"/>
        <v>35.216499999999996</v>
      </c>
      <c r="D40" s="77">
        <f t="shared" si="7"/>
        <v>9.708055224999999</v>
      </c>
      <c r="E40" s="77">
        <f t="shared" si="8"/>
        <v>1.0514528749999998</v>
      </c>
      <c r="F40" s="77">
        <f t="shared" si="9"/>
        <v>5.0765472999999997</v>
      </c>
      <c r="G40" s="77">
        <f t="shared" si="5"/>
        <v>0.13428249999999997</v>
      </c>
      <c r="H40" s="77">
        <f t="shared" si="5"/>
        <v>0.71060000000000001</v>
      </c>
      <c r="I40" s="77">
        <f t="shared" si="5"/>
        <v>5.0159999999999996E-2</v>
      </c>
      <c r="J40" s="77">
        <f t="shared" si="5"/>
        <v>2.4557499999999996E-3</v>
      </c>
      <c r="K40" s="77">
        <f t="shared" si="5"/>
        <v>5.068249999999999E-3</v>
      </c>
      <c r="L40" s="77">
        <f t="shared" si="5"/>
        <v>5.5907499999999992E-2</v>
      </c>
      <c r="M40" s="77">
        <f t="shared" si="5"/>
        <v>7.9419999999999991E-2</v>
      </c>
      <c r="N40" s="77">
        <f t="shared" si="5"/>
        <v>15.936249999999999</v>
      </c>
      <c r="O40" s="77">
        <f t="shared" si="5"/>
        <v>2220.6249999999995</v>
      </c>
      <c r="P40" s="77">
        <f t="shared" si="5"/>
        <v>0</v>
      </c>
      <c r="Q40" s="77">
        <f t="shared" si="10"/>
        <v>33.570624999999993</v>
      </c>
      <c r="R40" s="77">
        <f t="shared" si="11"/>
        <v>0</v>
      </c>
      <c r="S40" s="77">
        <f t="shared" si="11"/>
        <v>0.21631499999999998</v>
      </c>
      <c r="T40" s="77">
        <f t="shared" si="11"/>
        <v>0</v>
      </c>
      <c r="U40" s="77">
        <f t="shared" si="11"/>
        <v>0</v>
      </c>
      <c r="AB40" s="59"/>
      <c r="AC40" s="59"/>
      <c r="AD40" s="59"/>
      <c r="AE40" s="59"/>
      <c r="AF40" s="59"/>
      <c r="AG40" s="59"/>
      <c r="AH40" s="59"/>
      <c r="AI40" s="59"/>
    </row>
    <row r="41" spans="1:35" s="72" customFormat="1" ht="13" x14ac:dyDescent="0.35">
      <c r="A41" s="13" t="str">
        <f>M8</f>
        <v>Badger Burry</v>
      </c>
      <c r="B41" s="15">
        <v>250</v>
      </c>
      <c r="C41" s="77">
        <f t="shared" si="6"/>
        <v>35.216499999999996</v>
      </c>
      <c r="D41" s="77">
        <f t="shared" si="7"/>
        <v>9.708055224999999</v>
      </c>
      <c r="E41" s="77">
        <f t="shared" si="8"/>
        <v>1.0514528749999998</v>
      </c>
      <c r="F41" s="77">
        <f t="shared" si="9"/>
        <v>5.0765472999999997</v>
      </c>
      <c r="G41" s="77">
        <f t="shared" si="5"/>
        <v>0.13428249999999997</v>
      </c>
      <c r="H41" s="77">
        <f t="shared" si="5"/>
        <v>0.71060000000000001</v>
      </c>
      <c r="I41" s="77">
        <f t="shared" si="5"/>
        <v>5.0159999999999996E-2</v>
      </c>
      <c r="J41" s="77">
        <f t="shared" si="5"/>
        <v>2.4557499999999996E-3</v>
      </c>
      <c r="K41" s="77">
        <f t="shared" si="5"/>
        <v>5.068249999999999E-3</v>
      </c>
      <c r="L41" s="77">
        <f t="shared" si="5"/>
        <v>5.5907499999999992E-2</v>
      </c>
      <c r="M41" s="77">
        <f t="shared" si="5"/>
        <v>7.9419999999999991E-2</v>
      </c>
      <c r="N41" s="77">
        <f t="shared" si="5"/>
        <v>15.936249999999999</v>
      </c>
      <c r="O41" s="77">
        <f t="shared" si="5"/>
        <v>2220.6249999999995</v>
      </c>
      <c r="P41" s="77">
        <f t="shared" si="5"/>
        <v>0</v>
      </c>
      <c r="Q41" s="77">
        <f t="shared" si="10"/>
        <v>33.570624999999993</v>
      </c>
      <c r="R41" s="77">
        <f t="shared" si="11"/>
        <v>0</v>
      </c>
      <c r="S41" s="77">
        <f t="shared" si="11"/>
        <v>0.21631499999999998</v>
      </c>
      <c r="T41" s="77">
        <f t="shared" si="11"/>
        <v>0</v>
      </c>
      <c r="U41" s="77">
        <f t="shared" si="11"/>
        <v>0</v>
      </c>
      <c r="AB41" s="59"/>
      <c r="AC41" s="59"/>
      <c r="AD41" s="59"/>
      <c r="AE41" s="59"/>
      <c r="AF41" s="59"/>
      <c r="AG41" s="59"/>
      <c r="AH41" s="59"/>
      <c r="AI41" s="59"/>
    </row>
    <row r="42" spans="1:35" s="72" customFormat="1" ht="13" x14ac:dyDescent="0.35">
      <c r="A42" s="13" t="str">
        <f>N8</f>
        <v>Long meadow</v>
      </c>
      <c r="B42" s="15">
        <v>250</v>
      </c>
      <c r="C42" s="77">
        <f t="shared" si="6"/>
        <v>35.216499999999996</v>
      </c>
      <c r="D42" s="77">
        <f t="shared" si="7"/>
        <v>9.708055224999999</v>
      </c>
      <c r="E42" s="77">
        <f t="shared" si="8"/>
        <v>1.0514528749999998</v>
      </c>
      <c r="F42" s="77">
        <f t="shared" si="9"/>
        <v>5.0765472999999997</v>
      </c>
      <c r="G42" s="77">
        <f t="shared" si="5"/>
        <v>0.13428249999999997</v>
      </c>
      <c r="H42" s="77">
        <f t="shared" si="5"/>
        <v>0.71060000000000001</v>
      </c>
      <c r="I42" s="77">
        <f t="shared" si="5"/>
        <v>5.0159999999999996E-2</v>
      </c>
      <c r="J42" s="77">
        <f t="shared" si="5"/>
        <v>2.4557499999999996E-3</v>
      </c>
      <c r="K42" s="77">
        <f t="shared" si="5"/>
        <v>5.068249999999999E-3</v>
      </c>
      <c r="L42" s="77">
        <f t="shared" si="5"/>
        <v>5.5907499999999992E-2</v>
      </c>
      <c r="M42" s="77">
        <f t="shared" si="5"/>
        <v>7.9419999999999991E-2</v>
      </c>
      <c r="N42" s="77">
        <f t="shared" si="5"/>
        <v>15.936249999999999</v>
      </c>
      <c r="O42" s="77">
        <f t="shared" si="5"/>
        <v>2220.6249999999995</v>
      </c>
      <c r="P42" s="77">
        <f t="shared" si="5"/>
        <v>0</v>
      </c>
      <c r="Q42" s="77">
        <f t="shared" si="10"/>
        <v>33.570624999999993</v>
      </c>
      <c r="R42" s="77">
        <f t="shared" si="11"/>
        <v>0</v>
      </c>
      <c r="S42" s="77">
        <f t="shared" si="11"/>
        <v>0.21631499999999998</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17 Acres</v>
      </c>
      <c r="C57" s="8" t="str">
        <f t="shared" ref="C57:U57" si="13">D8</f>
        <v>Top Pentwyn</v>
      </c>
      <c r="D57" s="8" t="str">
        <f t="shared" si="13"/>
        <v xml:space="preserve">Bottom Pentwyn </v>
      </c>
      <c r="E57" s="8" t="str">
        <f t="shared" si="13"/>
        <v xml:space="preserve">Lodge </v>
      </c>
      <c r="F57" s="8" t="str">
        <f t="shared" si="13"/>
        <v>Pentwyn Corner</v>
      </c>
      <c r="G57" s="8" t="str">
        <f t="shared" si="13"/>
        <v>16 Acres</v>
      </c>
      <c r="H57" s="8" t="str">
        <f t="shared" si="13"/>
        <v>A</v>
      </c>
      <c r="I57" s="8" t="str">
        <f t="shared" si="13"/>
        <v>B</v>
      </c>
      <c r="J57" s="8" t="str">
        <f t="shared" si="13"/>
        <v>C</v>
      </c>
      <c r="K57" s="8" t="str">
        <f t="shared" si="13"/>
        <v>Sheep Shed</v>
      </c>
      <c r="L57" s="8" t="str">
        <f t="shared" si="13"/>
        <v>Badger Burry</v>
      </c>
      <c r="M57" s="8" t="str">
        <f t="shared" si="13"/>
        <v>Long meadow</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Arable</v>
      </c>
      <c r="M58" s="13" t="str">
        <f>N16&amp;" I "&amp;(VLOOKUP(N14,Table24581114[],6,FALSE))</f>
        <v>Medium/Clay I Grass</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6.7</v>
      </c>
      <c r="M59" s="76">
        <f>VLOOKUP(N$14,Table24581114[],5,FALSE)</f>
        <v>6.2</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6.5</v>
      </c>
      <c r="C60" s="76">
        <f t="shared" ref="C60:U60" si="14">D10</f>
        <v>6.6</v>
      </c>
      <c r="D60" s="76">
        <f t="shared" si="14"/>
        <v>6.9</v>
      </c>
      <c r="E60" s="76">
        <f t="shared" si="14"/>
        <v>5.6</v>
      </c>
      <c r="F60" s="76">
        <f t="shared" si="14"/>
        <v>6.4</v>
      </c>
      <c r="G60" s="76">
        <f t="shared" si="14"/>
        <v>6.5</v>
      </c>
      <c r="H60" s="76">
        <f t="shared" si="14"/>
        <v>6.1</v>
      </c>
      <c r="I60" s="76">
        <f t="shared" si="14"/>
        <v>6.3</v>
      </c>
      <c r="J60" s="76">
        <f t="shared" si="14"/>
        <v>6.2</v>
      </c>
      <c r="K60" s="76">
        <f t="shared" si="14"/>
        <v>6.1</v>
      </c>
      <c r="L60" s="76">
        <f t="shared" si="14"/>
        <v>6.3</v>
      </c>
      <c r="M60" s="76">
        <f t="shared" si="14"/>
        <v>6.2</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8</v>
      </c>
      <c r="M61" s="76">
        <f t="shared" si="15"/>
        <v>6</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-1.7999999999999989</v>
      </c>
      <c r="C64" s="77">
        <f t="shared" ref="C64:U64" si="17">(C59-C60)*C61</f>
        <v>-2.3999999999999968</v>
      </c>
      <c r="D64" s="77">
        <f t="shared" si="17"/>
        <v>-4.2000000000000011</v>
      </c>
      <c r="E64" s="77">
        <f t="shared" si="17"/>
        <v>3.6000000000000032</v>
      </c>
      <c r="F64" s="77">
        <f t="shared" si="17"/>
        <v>-1.2000000000000011</v>
      </c>
      <c r="G64" s="77">
        <f t="shared" si="17"/>
        <v>-1.7999999999999989</v>
      </c>
      <c r="H64" s="77">
        <f t="shared" si="17"/>
        <v>0.6000000000000032</v>
      </c>
      <c r="I64" s="77">
        <f t="shared" si="17"/>
        <v>-0.59999999999999787</v>
      </c>
      <c r="J64" s="77">
        <f t="shared" si="17"/>
        <v>0</v>
      </c>
      <c r="K64" s="77">
        <f t="shared" si="17"/>
        <v>0.6000000000000032</v>
      </c>
      <c r="L64" s="77">
        <f t="shared" si="17"/>
        <v>3.2000000000000028</v>
      </c>
      <c r="M64" s="77">
        <f t="shared" si="17"/>
        <v>0</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1.7999999999999989</v>
      </c>
      <c r="C65" s="77">
        <f t="shared" ref="C65:U65" si="18">C63-C64</f>
        <v>2.3999999999999968</v>
      </c>
      <c r="D65" s="77">
        <f t="shared" si="18"/>
        <v>4.2000000000000011</v>
      </c>
      <c r="E65" s="77">
        <f t="shared" si="18"/>
        <v>-3.6000000000000032</v>
      </c>
      <c r="F65" s="77">
        <f t="shared" si="18"/>
        <v>1.2000000000000011</v>
      </c>
      <c r="G65" s="77">
        <f t="shared" si="18"/>
        <v>1.7999999999999989</v>
      </c>
      <c r="H65" s="77">
        <f t="shared" si="18"/>
        <v>-0.6000000000000032</v>
      </c>
      <c r="I65" s="77">
        <f t="shared" si="18"/>
        <v>0.59999999999999787</v>
      </c>
      <c r="J65" s="77">
        <f t="shared" si="18"/>
        <v>0</v>
      </c>
      <c r="K65" s="77">
        <f t="shared" si="18"/>
        <v>-0.6000000000000032</v>
      </c>
      <c r="L65" s="77">
        <f t="shared" si="18"/>
        <v>-3.2000000000000028</v>
      </c>
      <c r="M65" s="77">
        <f t="shared" si="18"/>
        <v>0</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OVER</v>
      </c>
      <c r="G66" s="78" t="str">
        <f t="shared" si="19"/>
        <v>OVER</v>
      </c>
      <c r="H66" s="78" t="str">
        <f t="shared" si="19"/>
        <v>UNDER</v>
      </c>
      <c r="I66" s="78" t="str">
        <f t="shared" si="19"/>
        <v>OVER</v>
      </c>
      <c r="J66" s="78" t="str">
        <f t="shared" si="19"/>
        <v>OVER</v>
      </c>
      <c r="K66" s="78" t="str">
        <f t="shared" si="19"/>
        <v>UNDER</v>
      </c>
      <c r="L66" s="78" t="str">
        <f t="shared" si="19"/>
        <v>UNDER</v>
      </c>
      <c r="M66" s="78" t="str">
        <f t="shared" si="19"/>
        <v>OVER</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0" priority="37" operator="equal">
      <formula>"DECREASE"</formula>
    </cfRule>
    <cfRule type="cellIs" dxfId="29" priority="38" operator="equal">
      <formula>"INCREASE"</formula>
    </cfRule>
  </conditionalFormatting>
  <conditionalFormatting sqref="B31:B50 B62:U66">
    <cfRule type="cellIs" dxfId="28" priority="36" operator="greaterThan">
      <formula>$B$51</formula>
    </cfRule>
  </conditionalFormatting>
  <conditionalFormatting sqref="C31:C50">
    <cfRule type="cellIs" dxfId="27" priority="35" operator="greaterThan">
      <formula>$C$51</formula>
    </cfRule>
  </conditionalFormatting>
  <conditionalFormatting sqref="C18:V18">
    <cfRule type="cellIs" dxfId="26" priority="34" operator="equal">
      <formula>0</formula>
    </cfRule>
  </conditionalFormatting>
  <conditionalFormatting sqref="C17:V17">
    <cfRule type="cellIs" dxfId="25" priority="33" operator="equal">
      <formula>0</formula>
    </cfRule>
  </conditionalFormatting>
  <conditionalFormatting sqref="C19:V19">
    <cfRule type="cellIs" dxfId="24" priority="32" operator="equal">
      <formula>0</formula>
    </cfRule>
  </conditionalFormatting>
  <conditionalFormatting sqref="G31:G50">
    <cfRule type="cellIs" dxfId="23" priority="31" operator="greaterThan">
      <formula>$G$51</formula>
    </cfRule>
  </conditionalFormatting>
  <conditionalFormatting sqref="H31:H50">
    <cfRule type="cellIs" dxfId="22" priority="30" operator="greaterThan">
      <formula>$H$51</formula>
    </cfRule>
  </conditionalFormatting>
  <conditionalFormatting sqref="I31:I50">
    <cfRule type="cellIs" dxfId="21" priority="29" operator="greaterThan">
      <formula>$I$51</formula>
    </cfRule>
  </conditionalFormatting>
  <conditionalFormatting sqref="K31:K50">
    <cfRule type="cellIs" dxfId="20" priority="28" operator="greaterThan">
      <formula>$K$51</formula>
    </cfRule>
  </conditionalFormatting>
  <conditionalFormatting sqref="L31:L50">
    <cfRule type="cellIs" dxfId="19" priority="27" operator="greaterThan">
      <formula>$L$51</formula>
    </cfRule>
  </conditionalFormatting>
  <conditionalFormatting sqref="M31:M50">
    <cfRule type="cellIs" dxfId="18" priority="26" operator="greaterThan">
      <formula>$M$51</formula>
    </cfRule>
  </conditionalFormatting>
  <conditionalFormatting sqref="P31:P50">
    <cfRule type="cellIs" dxfId="17" priority="25" operator="greaterThan">
      <formula>$P$51</formula>
    </cfRule>
  </conditionalFormatting>
  <conditionalFormatting sqref="R31:R50">
    <cfRule type="cellIs" dxfId="16" priority="24" operator="greaterThan">
      <formula>$R$51</formula>
    </cfRule>
  </conditionalFormatting>
  <conditionalFormatting sqref="S31:S50">
    <cfRule type="cellIs" dxfId="15" priority="23" operator="greaterThan">
      <formula>$S$51</formula>
    </cfRule>
  </conditionalFormatting>
  <conditionalFormatting sqref="T31:T50">
    <cfRule type="cellIs" dxfId="14" priority="22" operator="greaterThan">
      <formula>$T$51</formula>
    </cfRule>
  </conditionalFormatting>
  <conditionalFormatting sqref="U31:U50">
    <cfRule type="cellIs" dxfId="13" priority="21" operator="greaterThan">
      <formula>$U$51</formula>
    </cfRule>
  </conditionalFormatting>
  <conditionalFormatting sqref="C22:V22">
    <cfRule type="cellIs" dxfId="12" priority="20" operator="equal">
      <formula>0</formula>
    </cfRule>
  </conditionalFormatting>
  <conditionalFormatting sqref="C24:V24">
    <cfRule type="cellIs" dxfId="11" priority="18" operator="equal">
      <formula>"DECREASE"</formula>
    </cfRule>
    <cfRule type="cellIs" dxfId="10" priority="19" operator="equal">
      <formula>"INCREASE"</formula>
    </cfRule>
  </conditionalFormatting>
  <conditionalFormatting sqref="C23:V23">
    <cfRule type="cellIs" dxfId="9" priority="17" operator="equal">
      <formula>0</formula>
    </cfRule>
  </conditionalFormatting>
  <conditionalFormatting sqref="C21:V21">
    <cfRule type="cellIs" dxfId="8" priority="13" operator="equal">
      <formula>0</formula>
    </cfRule>
  </conditionalFormatting>
  <conditionalFormatting sqref="B66:U66">
    <cfRule type="cellIs" dxfId="7" priority="11" operator="equal">
      <formula>"UNDER"</formula>
    </cfRule>
    <cfRule type="cellIs" dxfId="6" priority="12" operator="equal">
      <formula>"OVER"</formula>
    </cfRule>
  </conditionalFormatting>
  <conditionalFormatting sqref="J31:J50">
    <cfRule type="cellIs" dxfId="5" priority="8" operator="greaterThan">
      <formula>$J$51</formula>
    </cfRule>
  </conditionalFormatting>
  <conditionalFormatting sqref="L3">
    <cfRule type="cellIs" dxfId="4" priority="4" operator="lessThan">
      <formula>30</formula>
    </cfRule>
    <cfRule type="cellIs" dxfId="3" priority="5" operator="greaterThanOrEqual">
      <formula>30</formula>
    </cfRule>
  </conditionalFormatting>
  <conditionalFormatting sqref="I1">
    <cfRule type="cellIs" dxfId="2" priority="3" operator="between">
      <formula>0.1</formula>
      <formula>5</formula>
    </cfRule>
  </conditionalFormatting>
  <conditionalFormatting sqref="I2">
    <cfRule type="cellIs" dxfId="1" priority="2" operator="greaterThan">
      <formula>5000.1</formula>
    </cfRule>
  </conditionalFormatting>
  <conditionalFormatting sqref="I3">
    <cfRule type="cellIs" dxfId="0"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'Cefn Dryscoed'!B29</f>
        <v>Application Rate</v>
      </c>
      <c r="C1" s="38" t="str">
        <f>'Cefn Dryscoed'!C29</f>
        <v>Nitrogen Addition</v>
      </c>
      <c r="D1" s="38" t="str">
        <f>'Cefn Dryscoed'!D29</f>
        <v>Phosphate Addition</v>
      </c>
      <c r="E1" s="38" t="str">
        <f>'Cefn Dryscoed'!E29</f>
        <v>Potash  Addition</v>
      </c>
      <c r="F1" s="38" t="str">
        <f>'Cefn Dryscoed'!F29</f>
        <v>Mg Oxide Addition</v>
      </c>
      <c r="G1" s="38" t="str">
        <f>'Cefn Dryscoed'!G29</f>
        <v>Copper Addition</v>
      </c>
      <c r="H1" s="38" t="str">
        <f>'Cefn Dryscoed'!H29</f>
        <v>Zinc Addition</v>
      </c>
      <c r="I1" s="38" t="str">
        <f>'Cefn Dryscoed'!I29</f>
        <v>Lead Addition</v>
      </c>
      <c r="J1" s="38" t="str">
        <f>'Cefn Dryscoed'!J29</f>
        <v>Cadmium Addition</v>
      </c>
      <c r="K1" s="38" t="str">
        <f>'Cefn Dryscoed'!K29</f>
        <v>Mercury Addition</v>
      </c>
      <c r="L1" s="38" t="str">
        <f>'Cefn Dryscoed'!L29</f>
        <v>Nickel Addition</v>
      </c>
      <c r="M1" s="38" t="str">
        <f>'Cefn Dryscoed'!M29</f>
        <v>Chromium Addition</v>
      </c>
      <c r="N1" s="38" t="str">
        <f>'Cefn Dryscoed'!N29</f>
        <v>Aluminium Addition</v>
      </c>
      <c r="O1" s="38" t="str">
        <f>'Cefn Dryscoed'!O29</f>
        <v>Iron Addition</v>
      </c>
      <c r="P1" s="38" t="str">
        <f>'Cefn Dryscoed'!P29</f>
        <v xml:space="preserve">Sodium Addition                 </v>
      </c>
      <c r="Q1" s="38" t="str">
        <f>'Cefn Dryscoed'!Q29</f>
        <v>SO3  Addition                             kg/ha</v>
      </c>
      <c r="R1" s="38" t="str">
        <f>'Cefn Dryscoed'!R29</f>
        <v xml:space="preserve">Selenium Addition </v>
      </c>
      <c r="S1" s="38" t="str">
        <f>'Cefn Dryscoed'!S29</f>
        <v xml:space="preserve">Arsenic  Addition  </v>
      </c>
      <c r="T1" s="38" t="str">
        <f>'Cefn Dryscoed'!T29</f>
        <v xml:space="preserve">Molybdenum Addition  </v>
      </c>
      <c r="U1" s="38" t="str">
        <f>'Cefn Dryscoed'!U29</f>
        <v xml:space="preserve">Fluoride Addition </v>
      </c>
    </row>
    <row r="2" spans="1:21" ht="25" x14ac:dyDescent="0.25">
      <c r="A2" s="144"/>
      <c r="B2" s="38" t="str">
        <f>'Cefn Dryscoed'!B30</f>
        <v>tonnes/ha</v>
      </c>
      <c r="C2" s="38" t="str">
        <f>'Cefn Dryscoed'!C30</f>
        <v>kg/ha</v>
      </c>
      <c r="D2" s="38" t="str">
        <f>'Cefn Dryscoed'!D30</f>
        <v>P2O5 
kg/ha</v>
      </c>
      <c r="E2" s="38" t="str">
        <f>'Cefn Dryscoed'!E30</f>
        <v>K2O 
kg/ha</v>
      </c>
      <c r="F2" s="38" t="str">
        <f>'Cefn Dryscoed'!F30</f>
        <v>MgO 
kg/ha</v>
      </c>
      <c r="G2" s="38" t="str">
        <f>'Cefn Dryscoed'!G30</f>
        <v>kg/ha</v>
      </c>
      <c r="H2" s="38" t="str">
        <f>'Cefn Dryscoed'!H30</f>
        <v>kg/ha</v>
      </c>
      <c r="I2" s="38" t="str">
        <f>'Cefn Dryscoed'!I30</f>
        <v>kg/ha</v>
      </c>
      <c r="J2" s="38" t="str">
        <f>'Cefn Dryscoed'!J30</f>
        <v>kg/ha</v>
      </c>
      <c r="K2" s="38" t="str">
        <f>'Cefn Dryscoed'!K30</f>
        <v>kg/ha</v>
      </c>
      <c r="L2" s="38" t="str">
        <f>'Cefn Dryscoed'!L30</f>
        <v>kg/ha</v>
      </c>
      <c r="M2" s="38" t="str">
        <f>'Cefn Dryscoed'!M30</f>
        <v>kg/ha</v>
      </c>
      <c r="N2" s="38" t="str">
        <f>'Cefn Dryscoed'!N30</f>
        <v>kg/ha</v>
      </c>
      <c r="O2" s="38" t="str">
        <f>'Cefn Dryscoed'!O30</f>
        <v>kg/ha</v>
      </c>
      <c r="P2" s="38" t="str">
        <f>'Cefn Dryscoed'!P30</f>
        <v>kg/ha</v>
      </c>
      <c r="Q2" s="38" t="str">
        <f>'Cefn Dryscoed'!Q30</f>
        <v>kg/ha</v>
      </c>
      <c r="R2" s="38" t="str">
        <f>'Cefn Dryscoed'!R30</f>
        <v>kg/ha</v>
      </c>
      <c r="S2" s="38" t="str">
        <f>'Cefn Dryscoed'!S30</f>
        <v>kg/ha</v>
      </c>
      <c r="T2" s="38" t="str">
        <f>'Cefn Dryscoed'!T30</f>
        <v>kg/ha</v>
      </c>
      <c r="U2" s="38" t="str">
        <f>'Cefn Dryscoed'!U30</f>
        <v>kg/ha</v>
      </c>
    </row>
    <row r="3" spans="1:21" x14ac:dyDescent="0.25">
      <c r="A3" s="36">
        <v>1</v>
      </c>
      <c r="B3" s="33">
        <f>'Cefn Dryscoed'!B31</f>
        <v>250</v>
      </c>
      <c r="C3" s="33">
        <f>'Cefn Dryscoed'!C31</f>
        <v>40.361999999999995</v>
      </c>
      <c r="D3" s="33">
        <f>'Cefn Dryscoed'!D31</f>
        <v>4.2818789999999991</v>
      </c>
      <c r="E3" s="33">
        <f>'Cefn Dryscoed'!E31</f>
        <v>0.44030699999999995</v>
      </c>
      <c r="F3" s="33">
        <f>'Cefn Dryscoed'!F31</f>
        <v>1.5319919999999998</v>
      </c>
      <c r="G3" s="33">
        <f>'Cefn Dryscoed'!G31</f>
        <v>0.18984000000000001</v>
      </c>
      <c r="H3" s="33">
        <f>'Cefn Dryscoed'!H31</f>
        <v>0.44519999999999998</v>
      </c>
      <c r="I3" s="33">
        <f>'Cefn Dryscoed'!I31</f>
        <v>3.2214E-2</v>
      </c>
      <c r="J3" s="33">
        <f>'Cefn Dryscoed'!J31</f>
        <v>2.8140000000000001E-3</v>
      </c>
      <c r="K3" s="33">
        <f>'Cefn Dryscoed'!K31</f>
        <v>4.9559999999999995E-3</v>
      </c>
      <c r="L3" s="33">
        <f>'Cefn Dryscoed'!L31</f>
        <v>2.1294000000000004E-2</v>
      </c>
      <c r="M3" s="33">
        <f>'Cefn Dryscoed'!M31</f>
        <v>1.6841999999999999E-2</v>
      </c>
      <c r="N3" s="33">
        <f>'Cefn Dryscoed'!N31</f>
        <v>768.59999999999991</v>
      </c>
      <c r="O3" s="33">
        <f>'Cefn Dryscoed'!O31</f>
        <v>21.084000000000003</v>
      </c>
      <c r="P3" s="33">
        <f>'Cefn Dryscoed'!P31</f>
        <v>0</v>
      </c>
      <c r="Q3" s="33">
        <f>'Cefn Dryscoed'!Q31</f>
        <v>94.39500000000001</v>
      </c>
      <c r="R3" s="33">
        <f>'Cefn Dryscoed'!R31</f>
        <v>0</v>
      </c>
      <c r="S3" s="33">
        <f>'Cefn Dryscoed'!S31</f>
        <v>0.16968</v>
      </c>
      <c r="T3" s="33">
        <f>'Cefn Dryscoed'!T31</f>
        <v>0</v>
      </c>
      <c r="U3" s="33">
        <f>'Cefn Dryscoed'!U31</f>
        <v>0</v>
      </c>
    </row>
    <row r="4" spans="1:21" x14ac:dyDescent="0.25">
      <c r="A4" s="36">
        <v>2</v>
      </c>
      <c r="B4" s="33">
        <f>'Elan Valley'!B31</f>
        <v>250</v>
      </c>
      <c r="C4" s="33">
        <f>'Elan Valley'!C31</f>
        <v>57.1875</v>
      </c>
      <c r="D4" s="33">
        <f>'Elan Valley'!D31</f>
        <v>7.8609937499999987</v>
      </c>
      <c r="E4" s="33">
        <f>'Elan Valley'!E31</f>
        <v>2.1867737500000004</v>
      </c>
      <c r="F4" s="33">
        <f>'Elan Valley'!F31</f>
        <v>7.8002682499999985</v>
      </c>
      <c r="G4" s="33">
        <f>'Elan Valley'!G31</f>
        <v>0.18757499999999999</v>
      </c>
      <c r="H4" s="33">
        <f>'Elan Valley'!H31</f>
        <v>0.99124999999999996</v>
      </c>
      <c r="I4" s="33">
        <f>'Elan Valley'!I31</f>
        <v>0.11132499999999999</v>
      </c>
      <c r="J4" s="33">
        <f>'Elan Valley'!J31</f>
        <v>2.36375E-3</v>
      </c>
      <c r="K4" s="33">
        <f>'Elan Valley'!K31</f>
        <v>1.0064999999999999E-2</v>
      </c>
      <c r="L4" s="33">
        <f>'Elan Valley'!L31</f>
        <v>0.21426250000000002</v>
      </c>
      <c r="M4" s="33">
        <f>'Elan Valley'!M31</f>
        <v>5.9474999999999993E-2</v>
      </c>
      <c r="N4" s="33">
        <f>'Elan Valley'!N31</f>
        <v>16.164999999999999</v>
      </c>
      <c r="O4" s="33">
        <f>'Elan Valley'!O31</f>
        <v>2950.875</v>
      </c>
      <c r="P4" s="33">
        <f>'Elan Valley'!P31</f>
        <v>0</v>
      </c>
      <c r="Q4" s="33">
        <f>'Elan Valley'!Q31</f>
        <v>84.065625000000011</v>
      </c>
      <c r="R4" s="33">
        <f>'Elan Valley'!R31</f>
        <v>0</v>
      </c>
      <c r="S4" s="33">
        <f>'Elan Valley'!S31</f>
        <v>0.25391249999999999</v>
      </c>
      <c r="T4" s="33">
        <f>'Elan Valley'!T31</f>
        <v>0</v>
      </c>
      <c r="U4" s="33">
        <f>'Elan Valley'!U31</f>
        <v>0</v>
      </c>
    </row>
    <row r="5" spans="1:21" x14ac:dyDescent="0.25">
      <c r="A5" s="36">
        <v>3</v>
      </c>
      <c r="B5" s="33">
        <f>Llyswen!B31</f>
        <v>250</v>
      </c>
      <c r="C5" s="33">
        <f>Llyswen!C31</f>
        <v>88.762750000000011</v>
      </c>
      <c r="D5" s="33">
        <f>Llyswen!D31</f>
        <v>18.258811800000004</v>
      </c>
      <c r="E5" s="33">
        <f>Llyswen!E31</f>
        <v>2.3792724999999999</v>
      </c>
      <c r="F5" s="33">
        <f>Llyswen!F31</f>
        <v>3.4374070500000005</v>
      </c>
      <c r="G5" s="33">
        <f>Llyswen!G31</f>
        <v>0.34374250000000001</v>
      </c>
      <c r="H5" s="33">
        <f>Llyswen!H31</f>
        <v>1.0411000000000001</v>
      </c>
      <c r="I5" s="33">
        <f>Llyswen!I31</f>
        <v>3.2579249999999997E-2</v>
      </c>
      <c r="J5" s="33">
        <f>Llyswen!J31</f>
        <v>1.9027000000000002E-2</v>
      </c>
      <c r="K5" s="33">
        <f>Llyswen!K31</f>
        <v>1.0052000000000002E-2</v>
      </c>
      <c r="L5" s="33">
        <f>Llyswen!L31</f>
        <v>0.12834250000000003</v>
      </c>
      <c r="M5" s="33">
        <f>Llyswen!M31</f>
        <v>1.7052499999999998E-2</v>
      </c>
      <c r="N5" s="33">
        <f>Llyswen!N31</f>
        <v>1759.1000000000001</v>
      </c>
      <c r="O5" s="33">
        <f>Llyswen!O31</f>
        <v>70.094750000000005</v>
      </c>
      <c r="P5" s="33">
        <f>Llyswen!P31</f>
        <v>0</v>
      </c>
      <c r="Q5" s="33">
        <f>Llyswen!Q31</f>
        <v>224.375</v>
      </c>
      <c r="R5" s="33">
        <f>Llyswen!R31</f>
        <v>0</v>
      </c>
      <c r="S5" s="33">
        <f>Llyswen!S31</f>
        <v>0.42182500000000001</v>
      </c>
      <c r="T5" s="33">
        <f>Llyswen!T31</f>
        <v>0</v>
      </c>
      <c r="U5" s="33">
        <f>Llyswen!U31</f>
        <v>0</v>
      </c>
    </row>
    <row r="6" spans="1:21" x14ac:dyDescent="0.25">
      <c r="A6" s="36">
        <v>4</v>
      </c>
      <c r="B6" s="33">
        <f>Talybont!B31</f>
        <v>23</v>
      </c>
      <c r="C6" s="33">
        <f>Talybont!C31</f>
        <v>23.791890000000006</v>
      </c>
      <c r="D6" s="33">
        <f>Talybont!D31</f>
        <v>19.941665850000003</v>
      </c>
      <c r="E6" s="33">
        <f>Talybont!E31</f>
        <v>2.6571479100000004</v>
      </c>
      <c r="F6" s="33">
        <f>Talybont!F31</f>
        <v>8.5949459920000013</v>
      </c>
      <c r="G6" s="33">
        <f>Talybont!G31</f>
        <v>0.19343000000000002</v>
      </c>
      <c r="H6" s="33">
        <f>Talybont!H31</f>
        <v>0.52612960000000009</v>
      </c>
      <c r="I6" s="33">
        <f>Talybont!I31</f>
        <v>5.2032670000000003E-2</v>
      </c>
      <c r="J6" s="33">
        <f>Talybont!J31</f>
        <v>1.9536430000000001E-3</v>
      </c>
      <c r="K6" s="33">
        <f>Talybont!K31</f>
        <v>9.2846400000000005E-4</v>
      </c>
      <c r="L6" s="33">
        <f>Talybont!L31</f>
        <v>0.10754708000000002</v>
      </c>
      <c r="M6" s="33">
        <f>Talybont!M31</f>
        <v>7.0021660000000013E-2</v>
      </c>
      <c r="N6" s="33">
        <f>Talybont!N31</f>
        <v>473.90350000000001</v>
      </c>
      <c r="O6" s="33">
        <f>Talybont!O31</f>
        <v>96.328140000000019</v>
      </c>
      <c r="P6" s="33">
        <f>Talybont!P31</f>
        <v>0</v>
      </c>
      <c r="Q6" s="33">
        <f>Talybont!Q31</f>
        <v>49.808225000000014</v>
      </c>
      <c r="R6" s="33">
        <f>Talybont!R31</f>
        <v>0</v>
      </c>
      <c r="S6" s="33">
        <f>Talybont!S31</f>
        <v>7.1762530000000019E-2</v>
      </c>
      <c r="T6" s="33">
        <f>Talybont!T31</f>
        <v>0</v>
      </c>
      <c r="U6" s="33">
        <f>Talybont!U31</f>
        <v>0</v>
      </c>
    </row>
    <row r="7" spans="1:21" x14ac:dyDescent="0.25">
      <c r="A7" s="36">
        <v>5</v>
      </c>
      <c r="B7" s="33">
        <f>Whitbourne!B31</f>
        <v>250</v>
      </c>
      <c r="C7" s="33">
        <f>Whitbourne!C31</f>
        <v>35.216499999999996</v>
      </c>
      <c r="D7" s="33">
        <f>Whitbourne!D31</f>
        <v>9.708055224999999</v>
      </c>
      <c r="E7" s="33">
        <f>Whitbourne!E31</f>
        <v>1.0514528749999998</v>
      </c>
      <c r="F7" s="33">
        <f>Whitbourne!F31</f>
        <v>5.0765472999999997</v>
      </c>
      <c r="G7" s="33">
        <f>Whitbourne!G31</f>
        <v>0.13428249999999997</v>
      </c>
      <c r="H7" s="33">
        <f>Whitbourne!H31</f>
        <v>0.71060000000000001</v>
      </c>
      <c r="I7" s="33">
        <f>Whitbourne!I31</f>
        <v>5.0159999999999996E-2</v>
      </c>
      <c r="J7" s="33">
        <f>Whitbourne!J31</f>
        <v>2.4557499999999996E-3</v>
      </c>
      <c r="K7" s="33">
        <f>Whitbourne!K31</f>
        <v>5.068249999999999E-3</v>
      </c>
      <c r="L7" s="33">
        <f>Whitbourne!L31</f>
        <v>5.5907499999999992E-2</v>
      </c>
      <c r="M7" s="33">
        <f>Whitbourne!M31</f>
        <v>7.9419999999999991E-2</v>
      </c>
      <c r="N7" s="33">
        <f>Whitbourne!N31</f>
        <v>15.936249999999999</v>
      </c>
      <c r="O7" s="33">
        <f>Whitbourne!O31</f>
        <v>2220.6249999999995</v>
      </c>
      <c r="P7" s="33">
        <f>Whitbourne!P31</f>
        <v>0</v>
      </c>
      <c r="Q7" s="33">
        <f>Whitbourne!Q31</f>
        <v>33.570624999999993</v>
      </c>
      <c r="R7" s="33">
        <f>Whitbourne!R31</f>
        <v>0</v>
      </c>
      <c r="S7" s="33">
        <f>Whitbourne!S31</f>
        <v>0.21631499999999998</v>
      </c>
      <c r="T7" s="33">
        <f>Whitbourne!T31</f>
        <v>0</v>
      </c>
      <c r="U7" s="33">
        <f>Whitbourne!U31</f>
        <v>0</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'Cefn Dryscoed'!B29</f>
        <v>Application Rate</v>
      </c>
      <c r="D1" s="35" t="str">
        <f>'Cefn Dryscoed'!C29</f>
        <v>Nitrogen Addition</v>
      </c>
      <c r="E1" s="35" t="str">
        <f>'Cefn Dryscoed'!D29</f>
        <v>Phosphate Addition</v>
      </c>
      <c r="F1" s="35" t="str">
        <f>'Cefn Dryscoed'!E29</f>
        <v>Potash  Addition</v>
      </c>
      <c r="G1" s="35" t="str">
        <f>'Cefn Dryscoed'!F29</f>
        <v>Mg Oxide Addition</v>
      </c>
      <c r="H1" s="35" t="str">
        <f>'Cefn Dryscoed'!G29</f>
        <v>Copper Addition</v>
      </c>
      <c r="I1" s="35" t="str">
        <f>'Cefn Dryscoed'!H29</f>
        <v>Zinc Addition</v>
      </c>
      <c r="J1" s="35" t="str">
        <f>'Cefn Dryscoed'!I29</f>
        <v>Lead Addition</v>
      </c>
      <c r="K1" s="35" t="str">
        <f>'Cefn Dryscoed'!J29</f>
        <v>Cadmium Addition</v>
      </c>
      <c r="L1" s="35" t="str">
        <f>'Cefn Dryscoed'!K29</f>
        <v>Mercury Addition</v>
      </c>
      <c r="M1" s="35" t="str">
        <f>'Cefn Dryscoed'!L29</f>
        <v>Nickel Addition</v>
      </c>
      <c r="N1" s="35" t="str">
        <f>'Cefn Dryscoed'!M29</f>
        <v>Chromium Addition</v>
      </c>
      <c r="O1" s="35" t="str">
        <f>'Cefn Dryscoed'!N29</f>
        <v>Aluminium Addition</v>
      </c>
      <c r="P1" s="35" t="str">
        <f>'Cefn Dryscoed'!O29</f>
        <v>Iron Addition</v>
      </c>
      <c r="Q1" s="35" t="str">
        <f>'Cefn Dryscoed'!P29</f>
        <v xml:space="preserve">Sodium Addition                 </v>
      </c>
      <c r="R1" s="35" t="str">
        <f>'Cefn Dryscoed'!Q29</f>
        <v>SO3  Addition                             kg/ha</v>
      </c>
      <c r="S1" s="35" t="str">
        <f>'Cefn Dryscoed'!R29</f>
        <v xml:space="preserve">Selenium Addition </v>
      </c>
      <c r="T1" s="35" t="str">
        <f>'Cefn Dryscoed'!S29</f>
        <v xml:space="preserve">Arsenic  Addition  </v>
      </c>
      <c r="U1" s="35" t="str">
        <f>'Cefn Dryscoed'!T29</f>
        <v xml:space="preserve">Molybdenum Addition  </v>
      </c>
      <c r="V1" s="35" t="str">
        <f>'Cefn Dryscoed'!U29</f>
        <v xml:space="preserve">Fluoride Addition </v>
      </c>
    </row>
    <row r="2" spans="1:22" s="83" customFormat="1" ht="25" x14ac:dyDescent="0.35">
      <c r="A2" s="145"/>
      <c r="B2" s="32" t="s">
        <v>46</v>
      </c>
      <c r="C2" s="35" t="str">
        <f>'Cefn Dryscoed'!B30</f>
        <v>tonnes/ha</v>
      </c>
      <c r="D2" s="35" t="str">
        <f>'Cefn Dryscoed'!C30</f>
        <v>kg/ha</v>
      </c>
      <c r="E2" s="35" t="str">
        <f>'Cefn Dryscoed'!D30</f>
        <v>P2O5 
kg/ha</v>
      </c>
      <c r="F2" s="35" t="str">
        <f>'Cefn Dryscoed'!E30</f>
        <v>K2O 
kg/ha</v>
      </c>
      <c r="G2" s="35" t="str">
        <f>'Cefn Dryscoed'!F30</f>
        <v>MgO 
kg/ha</v>
      </c>
      <c r="H2" s="35" t="str">
        <f>'Cefn Dryscoed'!G30</f>
        <v>kg/ha</v>
      </c>
      <c r="I2" s="35" t="str">
        <f>'Cefn Dryscoed'!H30</f>
        <v>kg/ha</v>
      </c>
      <c r="J2" s="35" t="str">
        <f>'Cefn Dryscoed'!I30</f>
        <v>kg/ha</v>
      </c>
      <c r="K2" s="35" t="str">
        <f>'Cefn Dryscoed'!J30</f>
        <v>kg/ha</v>
      </c>
      <c r="L2" s="35" t="str">
        <f>'Cefn Dryscoed'!K30</f>
        <v>kg/ha</v>
      </c>
      <c r="M2" s="35" t="str">
        <f>'Cefn Dryscoed'!L30</f>
        <v>kg/ha</v>
      </c>
      <c r="N2" s="35" t="str">
        <f>'Cefn Dryscoed'!M30</f>
        <v>kg/ha</v>
      </c>
      <c r="O2" s="35" t="str">
        <f>'Cefn Dryscoed'!N30</f>
        <v>kg/ha</v>
      </c>
      <c r="P2" s="35" t="str">
        <f>'Cefn Dryscoed'!O30</f>
        <v>kg/ha</v>
      </c>
      <c r="Q2" s="35" t="str">
        <f>'Cefn Dryscoed'!P30</f>
        <v>kg/ha</v>
      </c>
      <c r="R2" s="35" t="str">
        <f>'Cefn Dryscoed'!Q30</f>
        <v>kg/ha</v>
      </c>
      <c r="S2" s="35" t="str">
        <f>'Cefn Dryscoed'!R30</f>
        <v>kg/ha</v>
      </c>
      <c r="T2" s="35" t="str">
        <f>'Cefn Dryscoed'!S30</f>
        <v>kg/ha</v>
      </c>
      <c r="U2" s="35" t="str">
        <f>'Cefn Dryscoed'!T30</f>
        <v>kg/ha</v>
      </c>
      <c r="V2" s="35" t="str">
        <f>'Cefn Dryscoed'!U30</f>
        <v>kg/ha</v>
      </c>
    </row>
    <row r="3" spans="1:22" x14ac:dyDescent="0.25">
      <c r="A3" s="36">
        <v>1</v>
      </c>
      <c r="B3" s="91"/>
      <c r="C3" s="33">
        <f>'Cefn Dryscoed'!B31</f>
        <v>250</v>
      </c>
      <c r="D3" s="33">
        <f>'Cefn Dryscoed'!C31</f>
        <v>40.361999999999995</v>
      </c>
      <c r="E3" s="33">
        <f>'Cefn Dryscoed'!D31</f>
        <v>4.2818789999999991</v>
      </c>
      <c r="F3" s="33">
        <f>'Cefn Dryscoed'!E31</f>
        <v>0.44030699999999995</v>
      </c>
      <c r="G3" s="33">
        <f>'Cefn Dryscoed'!F31</f>
        <v>1.5319919999999998</v>
      </c>
      <c r="H3" s="33">
        <f>'Cefn Dryscoed'!G31</f>
        <v>0.18984000000000001</v>
      </c>
      <c r="I3" s="33">
        <f>'Cefn Dryscoed'!H31</f>
        <v>0.44519999999999998</v>
      </c>
      <c r="J3" s="33">
        <f>'Cefn Dryscoed'!I31</f>
        <v>3.2214E-2</v>
      </c>
      <c r="K3" s="33">
        <f>'Cefn Dryscoed'!J31</f>
        <v>2.8140000000000001E-3</v>
      </c>
      <c r="L3" s="33">
        <f>'Cefn Dryscoed'!K31</f>
        <v>4.9559999999999995E-3</v>
      </c>
      <c r="M3" s="33">
        <f>'Cefn Dryscoed'!L31</f>
        <v>2.1294000000000004E-2</v>
      </c>
      <c r="N3" s="33">
        <f>'Cefn Dryscoed'!M31</f>
        <v>1.6841999999999999E-2</v>
      </c>
      <c r="O3" s="33">
        <f>'Cefn Dryscoed'!N31</f>
        <v>768.59999999999991</v>
      </c>
      <c r="P3" s="33">
        <f>'Cefn Dryscoed'!O31</f>
        <v>21.084000000000003</v>
      </c>
      <c r="Q3" s="33">
        <f>'Cefn Dryscoed'!P31</f>
        <v>0</v>
      </c>
      <c r="R3" s="33">
        <f>'Cefn Dryscoed'!Q31</f>
        <v>94.39500000000001</v>
      </c>
      <c r="S3" s="33">
        <f>'Cefn Dryscoed'!R31</f>
        <v>0</v>
      </c>
      <c r="T3" s="33">
        <f>'Cefn Dryscoed'!S31</f>
        <v>0.16968</v>
      </c>
      <c r="U3" s="33">
        <f>'Cefn Dryscoed'!T31</f>
        <v>0</v>
      </c>
      <c r="V3" s="33">
        <f>'Cefn Dryscoed'!U31</f>
        <v>0</v>
      </c>
    </row>
    <row r="4" spans="1:22" x14ac:dyDescent="0.25">
      <c r="A4" s="36">
        <v>2</v>
      </c>
      <c r="B4" s="91"/>
      <c r="C4" s="33">
        <f>'Elan Valley'!B31</f>
        <v>250</v>
      </c>
      <c r="D4" s="33">
        <f>'Elan Valley'!C31</f>
        <v>57.1875</v>
      </c>
      <c r="E4" s="33">
        <f>'Elan Valley'!D31</f>
        <v>7.8609937499999987</v>
      </c>
      <c r="F4" s="33">
        <f>'Elan Valley'!E31</f>
        <v>2.1867737500000004</v>
      </c>
      <c r="G4" s="33">
        <f>'Elan Valley'!F31</f>
        <v>7.8002682499999985</v>
      </c>
      <c r="H4" s="33">
        <f>'Elan Valley'!G31</f>
        <v>0.18757499999999999</v>
      </c>
      <c r="I4" s="33">
        <f>'Elan Valley'!H31</f>
        <v>0.99124999999999996</v>
      </c>
      <c r="J4" s="33">
        <f>'Elan Valley'!I31</f>
        <v>0.11132499999999999</v>
      </c>
      <c r="K4" s="33">
        <f>'Elan Valley'!J31</f>
        <v>2.36375E-3</v>
      </c>
      <c r="L4" s="33">
        <f>'Elan Valley'!K31</f>
        <v>1.0064999999999999E-2</v>
      </c>
      <c r="M4" s="33">
        <f>'Elan Valley'!L31</f>
        <v>0.21426250000000002</v>
      </c>
      <c r="N4" s="33">
        <f>'Elan Valley'!M31</f>
        <v>5.9474999999999993E-2</v>
      </c>
      <c r="O4" s="33">
        <f>'Elan Valley'!N31</f>
        <v>16.164999999999999</v>
      </c>
      <c r="P4" s="33">
        <f>'Elan Valley'!O31</f>
        <v>2950.875</v>
      </c>
      <c r="Q4" s="33">
        <f>'Elan Valley'!P31</f>
        <v>0</v>
      </c>
      <c r="R4" s="33">
        <f>'Elan Valley'!Q31</f>
        <v>84.065625000000011</v>
      </c>
      <c r="S4" s="33">
        <f>'Elan Valley'!R31</f>
        <v>0</v>
      </c>
      <c r="T4" s="33">
        <f>'Elan Valley'!S31</f>
        <v>0.25391249999999999</v>
      </c>
      <c r="U4" s="33">
        <f>'Elan Valley'!T31</f>
        <v>0</v>
      </c>
      <c r="V4" s="33">
        <f>'Elan Valley'!U31</f>
        <v>0</v>
      </c>
    </row>
    <row r="5" spans="1:22" x14ac:dyDescent="0.25">
      <c r="A5" s="36">
        <v>3</v>
      </c>
      <c r="B5" s="91"/>
      <c r="C5" s="33">
        <f>Llyswen!B31</f>
        <v>250</v>
      </c>
      <c r="D5" s="33">
        <f>Llyswen!C31</f>
        <v>88.762750000000011</v>
      </c>
      <c r="E5" s="33">
        <f>Llyswen!D31</f>
        <v>18.258811800000004</v>
      </c>
      <c r="F5" s="33">
        <f>Llyswen!E31</f>
        <v>2.3792724999999999</v>
      </c>
      <c r="G5" s="33">
        <f>Llyswen!F31</f>
        <v>3.4374070500000005</v>
      </c>
      <c r="H5" s="33">
        <f>Llyswen!G31</f>
        <v>0.34374250000000001</v>
      </c>
      <c r="I5" s="33">
        <f>Llyswen!H31</f>
        <v>1.0411000000000001</v>
      </c>
      <c r="J5" s="33">
        <f>Llyswen!I31</f>
        <v>3.2579249999999997E-2</v>
      </c>
      <c r="K5" s="33">
        <f>Llyswen!J31</f>
        <v>1.9027000000000002E-2</v>
      </c>
      <c r="L5" s="33">
        <f>Llyswen!K31</f>
        <v>1.0052000000000002E-2</v>
      </c>
      <c r="M5" s="33">
        <f>Llyswen!L31</f>
        <v>0.12834250000000003</v>
      </c>
      <c r="N5" s="33">
        <f>Llyswen!M31</f>
        <v>1.7052499999999998E-2</v>
      </c>
      <c r="O5" s="33">
        <f>Llyswen!N31</f>
        <v>1759.1000000000001</v>
      </c>
      <c r="P5" s="33">
        <f>Llyswen!O31</f>
        <v>70.094750000000005</v>
      </c>
      <c r="Q5" s="33">
        <f>Llyswen!P31</f>
        <v>0</v>
      </c>
      <c r="R5" s="33">
        <f>Llyswen!Q31</f>
        <v>224.375</v>
      </c>
      <c r="S5" s="33">
        <f>Llyswen!R31</f>
        <v>0</v>
      </c>
      <c r="T5" s="33">
        <f>Llyswen!S31</f>
        <v>0.42182500000000001</v>
      </c>
      <c r="U5" s="33">
        <f>Llyswen!T31</f>
        <v>0</v>
      </c>
      <c r="V5" s="33">
        <f>Llyswen!U31</f>
        <v>0</v>
      </c>
    </row>
    <row r="6" spans="1:22" x14ac:dyDescent="0.25">
      <c r="A6" s="36">
        <v>4</v>
      </c>
      <c r="B6" s="91"/>
      <c r="C6" s="33">
        <f>Talybont!B31</f>
        <v>23</v>
      </c>
      <c r="D6" s="33">
        <f>Talybont!C31</f>
        <v>23.791890000000006</v>
      </c>
      <c r="E6" s="33">
        <f>Talybont!D31</f>
        <v>19.941665850000003</v>
      </c>
      <c r="F6" s="33">
        <f>Talybont!E31</f>
        <v>2.6571479100000004</v>
      </c>
      <c r="G6" s="33">
        <f>Talybont!F31</f>
        <v>8.5949459920000013</v>
      </c>
      <c r="H6" s="33">
        <f>Talybont!G31</f>
        <v>0.19343000000000002</v>
      </c>
      <c r="I6" s="33">
        <f>Talybont!H31</f>
        <v>0.52612960000000009</v>
      </c>
      <c r="J6" s="33">
        <f>Talybont!I31</f>
        <v>5.2032670000000003E-2</v>
      </c>
      <c r="K6" s="33">
        <f>Talybont!J31</f>
        <v>1.9536430000000001E-3</v>
      </c>
      <c r="L6" s="33">
        <f>Talybont!K31</f>
        <v>9.2846400000000005E-4</v>
      </c>
      <c r="M6" s="33">
        <f>Talybont!L31</f>
        <v>0.10754708000000002</v>
      </c>
      <c r="N6" s="33">
        <f>Talybont!M31</f>
        <v>7.0021660000000013E-2</v>
      </c>
      <c r="O6" s="33">
        <f>Talybont!N31</f>
        <v>473.90350000000001</v>
      </c>
      <c r="P6" s="33">
        <f>Talybont!O31</f>
        <v>96.328140000000019</v>
      </c>
      <c r="Q6" s="33">
        <f>Talybont!P31</f>
        <v>0</v>
      </c>
      <c r="R6" s="33">
        <f>Talybont!Q31</f>
        <v>49.808225000000014</v>
      </c>
      <c r="S6" s="33">
        <f>Talybont!R31</f>
        <v>0</v>
      </c>
      <c r="T6" s="33">
        <f>Talybont!S31</f>
        <v>7.1762530000000019E-2</v>
      </c>
      <c r="U6" s="33">
        <f>Talybont!T31</f>
        <v>0</v>
      </c>
      <c r="V6" s="33">
        <f>Talybont!U31</f>
        <v>0</v>
      </c>
    </row>
    <row r="7" spans="1:22" x14ac:dyDescent="0.25">
      <c r="A7" s="36">
        <v>5</v>
      </c>
      <c r="B7" s="91"/>
      <c r="C7" s="33">
        <f>Whitbourne!B31</f>
        <v>250</v>
      </c>
      <c r="D7" s="33">
        <f>Whitbourne!C31</f>
        <v>35.216499999999996</v>
      </c>
      <c r="E7" s="33">
        <f>Whitbourne!D31</f>
        <v>9.708055224999999</v>
      </c>
      <c r="F7" s="33">
        <f>Whitbourne!E31</f>
        <v>1.0514528749999998</v>
      </c>
      <c r="G7" s="33">
        <f>Whitbourne!F31</f>
        <v>5.0765472999999997</v>
      </c>
      <c r="H7" s="33">
        <f>Whitbourne!G31</f>
        <v>0.13428249999999997</v>
      </c>
      <c r="I7" s="33">
        <f>Whitbourne!H31</f>
        <v>0.71060000000000001</v>
      </c>
      <c r="J7" s="33">
        <f>Whitbourne!I31</f>
        <v>5.0159999999999996E-2</v>
      </c>
      <c r="K7" s="33">
        <f>Whitbourne!J31</f>
        <v>2.4557499999999996E-3</v>
      </c>
      <c r="L7" s="33">
        <f>Whitbourne!K31</f>
        <v>5.068249999999999E-3</v>
      </c>
      <c r="M7" s="33">
        <f>Whitbourne!L31</f>
        <v>5.5907499999999992E-2</v>
      </c>
      <c r="N7" s="33">
        <f>Whitbourne!M31</f>
        <v>7.9419999999999991E-2</v>
      </c>
      <c r="O7" s="33">
        <f>Whitbourne!N31</f>
        <v>15.936249999999999</v>
      </c>
      <c r="P7" s="33">
        <f>Whitbourne!O31</f>
        <v>2220.6249999999995</v>
      </c>
      <c r="Q7" s="33">
        <f>Whitbourne!P31</f>
        <v>0</v>
      </c>
      <c r="R7" s="33">
        <f>Whitbourne!Q31</f>
        <v>33.570624999999993</v>
      </c>
      <c r="S7" s="33">
        <f>Whitbourne!R31</f>
        <v>0</v>
      </c>
      <c r="T7" s="33">
        <f>Whitbourne!S31</f>
        <v>0.21631499999999998</v>
      </c>
      <c r="U7" s="33">
        <f>Whitbourne!T31</f>
        <v>0</v>
      </c>
      <c r="V7" s="33">
        <f>Whitbourne!U31</f>
        <v>0</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'Cefn Dryscoed'!B43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'Cefn Dryscoed'!B44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23</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3" ma:contentTypeDescription="Permitting &amp; Compliance Excel Document" ma:contentTypeScope="" ma:versionID="ab60e1d4b34e672ebbad6ef64f75377f">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857e0180f29715a82228973760423e78"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REGU-415-1631784</_dlc_DocId>
    <_dlc_DocIdUrl xmlns="9be56660-2c31-41ef-bc00-23e72f632f2a">
      <Url>https://cyfoethnaturiolcymru.sharepoint.com/teams/Regulatory/Permitting/_layouts/15/DocIdRedir.aspx?ID=REGU-415-1631784</Url>
      <Description>REGU-415-1631784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2024-05-23T23:00:00+00:00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BEB63435-9518-42C8-BF96-8BA3A6C0C7FC}"/>
</file>

<file path=customXml/itemProps4.xml><?xml version="1.0" encoding="utf-8"?>
<ds:datastoreItem xmlns:ds="http://schemas.openxmlformats.org/officeDocument/2006/customXml" ds:itemID="{311BD3D5-8B87-40F3-97C0-61F2112A505B}"/>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Cefn Dryscoed</vt:lpstr>
      <vt:lpstr>Elan Valley</vt:lpstr>
      <vt:lpstr>Llyswen</vt:lpstr>
      <vt:lpstr>Talybont</vt:lpstr>
      <vt:lpstr>Whitbourne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2024-05-17T15:19:04Z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a93fa36c-e9b0-4229-b619-f1d7587c0844</vt:lpwstr>
  </property>
  <property fmtid="{D5CDD505-2E9C-101B-9397-08002B2CF9AE}" pid="4" name="MediaServiceImageTags">
    <vt:lpwstr/>
  </property>
</Properties>
</file>