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5644/"/>
    </mc:Choice>
  </mc:AlternateContent>
  <xr:revisionPtr revIDLastSave="0" documentId="13_ncr:1_{FA744D86-08D3-4D42-AD57-ADEC2F37F798}" xr6:coauthVersionLast="47" xr6:coauthVersionMax="47" xr10:uidLastSave="{00000000-0000-0000-0000-000000000000}"/>
  <bookViews>
    <workbookView xWindow="28680" yWindow="-120" windowWidth="29040" windowHeight="15840" tabRatio="870" activeTab="3" xr2:uid="{00000000-000D-0000-FFFF-FFFF00000000}"/>
  </bookViews>
  <sheets>
    <sheet name="Preseli" sheetId="1" r:id="rId1"/>
    <sheet name="Llechryd" sheetId="21" r:id="rId2"/>
    <sheet name="Bryn Gwyn" sheetId="27" r:id="rId3"/>
    <sheet name="Capel Dewi" sheetId="28" r:id="rId4"/>
    <sheet name="Cray" sheetId="30" r:id="rId5"/>
    <sheet name="Hirwaun" sheetId="26" r:id="rId6"/>
    <sheet name="Cefn Dryscoed" sheetId="24" r:id="rId7"/>
    <sheet name="Preseli 2" sheetId="29" r:id="rId8"/>
    <sheet name="Bolton Hill"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9"/>
  <c r="L3" i="24"/>
  <c r="L3" i="26"/>
  <c r="L3" i="30"/>
  <c r="L3" i="28"/>
  <c r="L3" i="27"/>
  <c r="L3" i="21"/>
  <c r="L3" i="1"/>
  <c r="U65" i="1" l="1"/>
  <c r="U65" i="21"/>
  <c r="U65" i="27"/>
  <c r="U65" i="28"/>
  <c r="U65" i="30"/>
  <c r="U65" i="26"/>
  <c r="U65" i="24"/>
  <c r="U65" i="29"/>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E22" i="30"/>
  <c r="V20"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V20" i="29"/>
  <c r="U18" i="29"/>
  <c r="T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0" i="28"/>
  <c r="R18" i="28"/>
  <c r="P18" i="28"/>
  <c r="M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I22" i="27"/>
  <c r="V20" i="27"/>
  <c r="U18" i="27"/>
  <c r="S18" i="27"/>
  <c r="O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I22" i="26"/>
  <c r="G22" i="26"/>
  <c r="V20" i="26"/>
  <c r="S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G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V18"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L19" i="29" s="1"/>
  <c r="L20"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19" i="28" s="1"/>
  <c r="M20" i="28" s="1"/>
  <c r="M21" i="28"/>
  <c r="T59" i="28"/>
  <c r="U17" i="28"/>
  <c r="U21" i="28"/>
  <c r="U23" i="28" s="1"/>
  <c r="U24" i="28" s="1"/>
  <c r="I4" i="20"/>
  <c r="J4" i="19"/>
  <c r="J18" i="19" s="1"/>
  <c r="I59" i="21"/>
  <c r="J17" i="21"/>
  <c r="J19" i="21" s="1"/>
  <c r="J20" i="21" s="1"/>
  <c r="J21" i="21"/>
  <c r="J23" i="21" s="1"/>
  <c r="J24" i="21" s="1"/>
  <c r="O12" i="20"/>
  <c r="P12" i="19"/>
  <c r="P26" i="19" s="1"/>
  <c r="O21" i="23"/>
  <c r="O23" i="23" s="1"/>
  <c r="O24" i="23" s="1"/>
  <c r="O17" i="23"/>
  <c r="O19" i="23" s="1"/>
  <c r="O20" i="23" s="1"/>
  <c r="Q9" i="20"/>
  <c r="R9" i="19"/>
  <c r="R23" i="19" s="1"/>
  <c r="F5" i="20"/>
  <c r="G5" i="19"/>
  <c r="G19" i="19" s="1"/>
  <c r="N5" i="20"/>
  <c r="O5" i="19"/>
  <c r="O19" i="19" s="1"/>
  <c r="Q4" i="20"/>
  <c r="R4" i="19"/>
  <c r="R18" i="19" s="1"/>
  <c r="Q59" i="21"/>
  <c r="R21" i="21"/>
  <c r="R17" i="21"/>
  <c r="R19" i="21" s="1"/>
  <c r="R20" i="21" s="1"/>
  <c r="G12" i="20"/>
  <c r="H12" i="19"/>
  <c r="H26" i="19" s="1"/>
  <c r="J4" i="20"/>
  <c r="K4" i="19"/>
  <c r="K18" i="19" s="1"/>
  <c r="U63" i="21"/>
  <c r="N63" i="21"/>
  <c r="F63" i="21"/>
  <c r="P59" i="21"/>
  <c r="Q21" i="21"/>
  <c r="Q23" i="21" s="1"/>
  <c r="Q24" i="21" s="1"/>
  <c r="Q17" i="21"/>
  <c r="Q19" i="21" s="1"/>
  <c r="Q20" i="21" s="1"/>
  <c r="I17" i="21"/>
  <c r="I19" i="21" s="1"/>
  <c r="I20" i="21" s="1"/>
  <c r="I21" i="21"/>
  <c r="D59" i="27"/>
  <c r="E17" i="27"/>
  <c r="E19" i="27" s="1"/>
  <c r="E20" i="27" s="1"/>
  <c r="L59" i="27"/>
  <c r="M17" i="27"/>
  <c r="M19" i="27" s="1"/>
  <c r="M20" i="27" s="1"/>
  <c r="T59" i="27"/>
  <c r="U17" i="27"/>
  <c r="U19" i="27" s="1"/>
  <c r="U20" i="27" s="1"/>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K59" i="23"/>
  <c r="L17" i="23"/>
  <c r="L19" i="23" s="1"/>
  <c r="L20" i="23" s="1"/>
  <c r="L21" i="23"/>
  <c r="M57" i="21"/>
  <c r="R59" i="21"/>
  <c r="S21" i="21"/>
  <c r="S23" i="21" s="1"/>
  <c r="S24" i="21" s="1"/>
  <c r="S17" i="21"/>
  <c r="J59" i="21"/>
  <c r="K21" i="21"/>
  <c r="K23" i="21" s="1"/>
  <c r="K24" i="21" s="1"/>
  <c r="K17" i="21"/>
  <c r="K19" i="21" s="1"/>
  <c r="K20" i="21" s="1"/>
  <c r="D59" i="23"/>
  <c r="E17" i="23"/>
  <c r="E21" i="23"/>
  <c r="E23" i="23" s="1"/>
  <c r="E24" i="23" s="1"/>
  <c r="L59" i="23"/>
  <c r="M17" i="23"/>
  <c r="M21" i="23"/>
  <c r="M23" i="23" s="1"/>
  <c r="M24" i="23" s="1"/>
  <c r="T59" i="23"/>
  <c r="U17" i="23"/>
  <c r="U19" i="23" s="1"/>
  <c r="U20" i="23" s="1"/>
  <c r="U21" i="23"/>
  <c r="U23" i="23" s="1"/>
  <c r="U24" i="23" s="1"/>
  <c r="H21" i="24"/>
  <c r="H17" i="24"/>
  <c r="H19" i="24" s="1"/>
  <c r="H20" i="24" s="1"/>
  <c r="P17" i="24"/>
  <c r="P19" i="24" s="1"/>
  <c r="P20" i="24" s="1"/>
  <c r="P21" i="24"/>
  <c r="C59" i="26"/>
  <c r="D21" i="26"/>
  <c r="D23" i="26" s="1"/>
  <c r="D24" i="26" s="1"/>
  <c r="D17" i="26"/>
  <c r="D19" i="26" s="1"/>
  <c r="D20" i="26" s="1"/>
  <c r="K59" i="26"/>
  <c r="L21" i="26"/>
  <c r="L23" i="26" s="1"/>
  <c r="L24" i="26" s="1"/>
  <c r="L17" i="26"/>
  <c r="S59" i="26"/>
  <c r="T21" i="26"/>
  <c r="T17" i="26"/>
  <c r="T19" i="26" s="1"/>
  <c r="T20" i="26" s="1"/>
  <c r="N63" i="26"/>
  <c r="J59" i="27"/>
  <c r="K17" i="27"/>
  <c r="K19" i="27" s="1"/>
  <c r="K20" i="27" s="1"/>
  <c r="R59" i="27"/>
  <c r="S17" i="27"/>
  <c r="S19" i="27" s="1"/>
  <c r="S20" i="27" s="1"/>
  <c r="J59" i="28"/>
  <c r="K17" i="28"/>
  <c r="K21" i="28"/>
  <c r="K23" i="28" s="1"/>
  <c r="K24" i="28" s="1"/>
  <c r="R59" i="28"/>
  <c r="S17" i="28"/>
  <c r="S19" i="28" s="1"/>
  <c r="S20" i="28" s="1"/>
  <c r="S21" i="28"/>
  <c r="S23" i="28" s="1"/>
  <c r="S24" i="28" s="1"/>
  <c r="I59" i="29"/>
  <c r="J17" i="29"/>
  <c r="J19" i="29" s="1"/>
  <c r="J20" i="29" s="1"/>
  <c r="J21" i="29"/>
  <c r="Q59" i="29"/>
  <c r="R21" i="29"/>
  <c r="R23" i="29" s="1"/>
  <c r="R24" i="29" s="1"/>
  <c r="R17" i="29"/>
  <c r="R19" i="29" s="1"/>
  <c r="R20" i="29" s="1"/>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17" i="23"/>
  <c r="N19" i="23" s="1"/>
  <c r="N20" i="23" s="1"/>
  <c r="U59" i="23"/>
  <c r="V21" i="23"/>
  <c r="V23" i="23" s="1"/>
  <c r="V24" i="23" s="1"/>
  <c r="V17" i="23"/>
  <c r="I17" i="24"/>
  <c r="I19" i="24" s="1"/>
  <c r="I20" i="24" s="1"/>
  <c r="I21" i="24"/>
  <c r="I23" i="24" s="1"/>
  <c r="I24" i="24" s="1"/>
  <c r="Q17" i="24"/>
  <c r="Q19" i="24" s="1"/>
  <c r="Q20" i="24" s="1"/>
  <c r="Q21" i="24"/>
  <c r="Q23" i="24" s="1"/>
  <c r="Q24" i="24" s="1"/>
  <c r="D59" i="26"/>
  <c r="E21" i="26"/>
  <c r="E17" i="26"/>
  <c r="E19" i="26" s="1"/>
  <c r="E20" i="26" s="1"/>
  <c r="L59" i="26"/>
  <c r="M21" i="26"/>
  <c r="M17" i="26"/>
  <c r="M19" i="26" s="1"/>
  <c r="M20" i="26" s="1"/>
  <c r="T59" i="26"/>
  <c r="U21" i="26"/>
  <c r="U23" i="26" s="1"/>
  <c r="U24" i="26" s="1"/>
  <c r="U17" i="26"/>
  <c r="U19" i="26" s="1"/>
  <c r="U20" i="26" s="1"/>
  <c r="C59" i="27"/>
  <c r="D17" i="27"/>
  <c r="K59" i="27"/>
  <c r="L17" i="27"/>
  <c r="S59" i="27"/>
  <c r="T17" i="27"/>
  <c r="T19" i="27" s="1"/>
  <c r="T20" i="27" s="1"/>
  <c r="C59" i="28"/>
  <c r="D21" i="28"/>
  <c r="D23" i="28" s="1"/>
  <c r="D24" i="28" s="1"/>
  <c r="D17" i="28"/>
  <c r="K59" i="28"/>
  <c r="L21" i="28"/>
  <c r="L17" i="28"/>
  <c r="S59" i="28"/>
  <c r="T21" i="28"/>
  <c r="T23" i="28" s="1"/>
  <c r="T24" i="28" s="1"/>
  <c r="T17" i="28"/>
  <c r="T19" i="28" s="1"/>
  <c r="T20" i="28" s="1"/>
  <c r="J59" i="29"/>
  <c r="K17" i="29"/>
  <c r="K19" i="29" s="1"/>
  <c r="K20" i="29" s="1"/>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P21" i="21"/>
  <c r="P23" i="21" s="1"/>
  <c r="P24" i="21" s="1"/>
  <c r="P17" i="21"/>
  <c r="P19" i="21" s="1"/>
  <c r="P20" i="21" s="1"/>
  <c r="H21" i="21"/>
  <c r="H23" i="21" s="1"/>
  <c r="H24" i="21" s="1"/>
  <c r="H17" i="21"/>
  <c r="H19" i="21" s="1"/>
  <c r="H20" i="21" s="1"/>
  <c r="H21" i="23"/>
  <c r="H23" i="23" s="1"/>
  <c r="H24" i="23" s="1"/>
  <c r="H17" i="23"/>
  <c r="P17" i="23"/>
  <c r="P19" i="23" s="1"/>
  <c r="P20" i="23" s="1"/>
  <c r="P21" i="23"/>
  <c r="J59" i="24"/>
  <c r="K21" i="24"/>
  <c r="K23" i="24" s="1"/>
  <c r="K24" i="24" s="1"/>
  <c r="K17" i="24"/>
  <c r="K19" i="24" s="1"/>
  <c r="K20" i="24" s="1"/>
  <c r="R59" i="24"/>
  <c r="S21" i="24"/>
  <c r="S23" i="24" s="1"/>
  <c r="S24" i="24" s="1"/>
  <c r="S17" i="24"/>
  <c r="S19" i="24" s="1"/>
  <c r="S20" i="24" s="1"/>
  <c r="G21" i="26"/>
  <c r="G17" i="26"/>
  <c r="O17" i="26"/>
  <c r="O21" i="26"/>
  <c r="O23" i="26" s="1"/>
  <c r="O24" i="26" s="1"/>
  <c r="E59" i="27"/>
  <c r="F17" i="27"/>
  <c r="F19" i="27" s="1"/>
  <c r="F20" i="27" s="1"/>
  <c r="M59" i="27"/>
  <c r="N17" i="27"/>
  <c r="N19" i="27" s="1"/>
  <c r="N20" i="27" s="1"/>
  <c r="U59" i="27"/>
  <c r="V17" i="27"/>
  <c r="E59" i="28"/>
  <c r="F17" i="28"/>
  <c r="F19" i="28" s="1"/>
  <c r="F20" i="28" s="1"/>
  <c r="F21" i="28"/>
  <c r="M59" i="28"/>
  <c r="N17" i="28"/>
  <c r="N19" i="28" s="1"/>
  <c r="N20" i="28" s="1"/>
  <c r="N21" i="28"/>
  <c r="N23" i="28" s="1"/>
  <c r="N24" i="28" s="1"/>
  <c r="U59" i="28"/>
  <c r="V17" i="28"/>
  <c r="V21" i="28"/>
  <c r="D59" i="29"/>
  <c r="E17" i="29"/>
  <c r="E19" i="29" s="1"/>
  <c r="E20" i="29" s="1"/>
  <c r="E21" i="29"/>
  <c r="E23" i="29" s="1"/>
  <c r="E24" i="29" s="1"/>
  <c r="L59" i="29"/>
  <c r="M17" i="29"/>
  <c r="M21" i="29"/>
  <c r="M23" i="29" s="1"/>
  <c r="M24" i="29" s="1"/>
  <c r="T59" i="29"/>
  <c r="U17" i="29"/>
  <c r="U21" i="29"/>
  <c r="U23" i="29" s="1"/>
  <c r="U24" i="29" s="1"/>
  <c r="C59" i="30"/>
  <c r="D17" i="30"/>
  <c r="D19" i="30" s="1"/>
  <c r="D20" i="30" s="1"/>
  <c r="D21" i="30"/>
  <c r="D23" i="30" s="1"/>
  <c r="D24" i="30" s="1"/>
  <c r="K59" i="30"/>
  <c r="L17" i="30"/>
  <c r="L19" i="30" s="1"/>
  <c r="L20" i="30" s="1"/>
  <c r="L21" i="30"/>
  <c r="S59" i="30"/>
  <c r="T17" i="30"/>
  <c r="T19" i="30" s="1"/>
  <c r="T20" i="30" s="1"/>
  <c r="T21" i="30"/>
  <c r="T23" i="30" s="1"/>
  <c r="T24" i="30"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S24" i="30" s="1"/>
  <c r="A34" i="21"/>
  <c r="N59" i="21"/>
  <c r="N64" i="21" s="1"/>
  <c r="O21" i="21"/>
  <c r="O23" i="21" s="1"/>
  <c r="O24" i="21" s="1"/>
  <c r="O17" i="21"/>
  <c r="O19" i="21" s="1"/>
  <c r="O20" i="21" s="1"/>
  <c r="F59" i="21"/>
  <c r="G21" i="21"/>
  <c r="G17" i="21"/>
  <c r="G19" i="21" s="1"/>
  <c r="G20" i="21" s="1"/>
  <c r="H59" i="23"/>
  <c r="I21" i="23"/>
  <c r="I23" i="23" s="1"/>
  <c r="I24" i="23" s="1"/>
  <c r="I17" i="23"/>
  <c r="P59" i="23"/>
  <c r="Q17" i="23"/>
  <c r="Q19" i="23" s="1"/>
  <c r="Q20" i="23" s="1"/>
  <c r="Q21" i="23"/>
  <c r="Q23" i="23" s="1"/>
  <c r="Q24" i="23" s="1"/>
  <c r="C59" i="24"/>
  <c r="D17" i="24"/>
  <c r="D19" i="24" s="1"/>
  <c r="D20" i="24" s="1"/>
  <c r="D21" i="24"/>
  <c r="K59" i="24"/>
  <c r="L21" i="24"/>
  <c r="L23" i="24" s="1"/>
  <c r="L24" i="24" s="1"/>
  <c r="L17" i="24"/>
  <c r="L19" i="24" s="1"/>
  <c r="L20" i="24" s="1"/>
  <c r="S59" i="24"/>
  <c r="T21" i="24"/>
  <c r="T23" i="24" s="1"/>
  <c r="T24" i="24" s="1"/>
  <c r="T17" i="24"/>
  <c r="T19" i="24" s="1"/>
  <c r="T20" i="24" s="1"/>
  <c r="H21" i="26"/>
  <c r="H23" i="26" s="1"/>
  <c r="H24" i="26" s="1"/>
  <c r="H17" i="26"/>
  <c r="P21" i="26"/>
  <c r="P17" i="26"/>
  <c r="P19" i="26" s="1"/>
  <c r="P20" i="26" s="1"/>
  <c r="F59" i="28"/>
  <c r="G17" i="28"/>
  <c r="G19" i="28" s="1"/>
  <c r="G20" i="28" s="1"/>
  <c r="G21" i="28"/>
  <c r="G23" i="28" s="1"/>
  <c r="G24" i="28" s="1"/>
  <c r="N59" i="28"/>
  <c r="O17" i="28"/>
  <c r="O19" i="28" s="1"/>
  <c r="O20" i="28" s="1"/>
  <c r="O21" i="28"/>
  <c r="O23" i="28" s="1"/>
  <c r="O24" i="28" s="1"/>
  <c r="E59" i="29"/>
  <c r="F17" i="29"/>
  <c r="F19" i="29" s="1"/>
  <c r="F20" i="29" s="1"/>
  <c r="F21" i="29"/>
  <c r="F23" i="29" s="1"/>
  <c r="F24" i="29" s="1"/>
  <c r="M59" i="29"/>
  <c r="N17" i="29"/>
  <c r="N21" i="29"/>
  <c r="U59" i="29"/>
  <c r="V17" i="29"/>
  <c r="V21" i="29"/>
  <c r="V23" i="29" s="1"/>
  <c r="V24" i="29" s="1"/>
  <c r="D59" i="30"/>
  <c r="E17" i="30"/>
  <c r="E21" i="30"/>
  <c r="E23" i="30" s="1"/>
  <c r="E24" i="30" s="1"/>
  <c r="L59" i="30"/>
  <c r="M17" i="30"/>
  <c r="M21" i="30"/>
  <c r="M23" i="30" s="1"/>
  <c r="M24" i="30" s="1"/>
  <c r="T59" i="30"/>
  <c r="U17" i="30"/>
  <c r="U19" i="30" s="1"/>
  <c r="U20"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I59" i="23"/>
  <c r="J21" i="23"/>
  <c r="J23" i="23" s="1"/>
  <c r="J24" i="23" s="1"/>
  <c r="J17" i="23"/>
  <c r="J19" i="23" s="1"/>
  <c r="J20" i="23" s="1"/>
  <c r="Q59" i="23"/>
  <c r="R21" i="23"/>
  <c r="R23" i="23" s="1"/>
  <c r="R24" i="23" s="1"/>
  <c r="R17" i="23"/>
  <c r="R19" i="23" s="1"/>
  <c r="R20" i="23" s="1"/>
  <c r="D59" i="24"/>
  <c r="E17" i="24"/>
  <c r="E21" i="24"/>
  <c r="E23" i="24" s="1"/>
  <c r="E24" i="24" s="1"/>
  <c r="L59" i="24"/>
  <c r="M17" i="24"/>
  <c r="M19" i="24" s="1"/>
  <c r="M20" i="24" s="1"/>
  <c r="M21" i="24"/>
  <c r="M23" i="24" s="1"/>
  <c r="M24" i="24" s="1"/>
  <c r="T59" i="24"/>
  <c r="U21" i="24"/>
  <c r="U23" i="24" s="1"/>
  <c r="U24" i="24" s="1"/>
  <c r="U17" i="24"/>
  <c r="H59" i="26"/>
  <c r="I17" i="26"/>
  <c r="I19" i="26" s="1"/>
  <c r="I20" i="26" s="1"/>
  <c r="I21" i="26"/>
  <c r="I23" i="26" s="1"/>
  <c r="I24" i="26" s="1"/>
  <c r="P59" i="26"/>
  <c r="Q17" i="26"/>
  <c r="Q19" i="26" s="1"/>
  <c r="Q20" i="26" s="1"/>
  <c r="Q21" i="26"/>
  <c r="Q23" i="26" s="1"/>
  <c r="Q24" i="26" s="1"/>
  <c r="E63" i="26"/>
  <c r="H17" i="27"/>
  <c r="H19" i="27" s="1"/>
  <c r="H20" i="27" s="1"/>
  <c r="P17" i="27"/>
  <c r="P19" i="27" s="1"/>
  <c r="P20" i="27" s="1"/>
  <c r="H21" i="28"/>
  <c r="H23" i="28" s="1"/>
  <c r="H24" i="28" s="1"/>
  <c r="H17" i="28"/>
  <c r="H19" i="28" s="1"/>
  <c r="H20" i="28" s="1"/>
  <c r="P21" i="28"/>
  <c r="P17" i="28"/>
  <c r="P19" i="28" s="1"/>
  <c r="P20" i="28" s="1"/>
  <c r="G17" i="29"/>
  <c r="G19" i="29" s="1"/>
  <c r="G20" i="29" s="1"/>
  <c r="G21" i="29"/>
  <c r="G23" i="29" s="1"/>
  <c r="G24" i="29" s="1"/>
  <c r="O17" i="29"/>
  <c r="O21" i="29"/>
  <c r="E59" i="30"/>
  <c r="F21" i="30"/>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U17" i="21"/>
  <c r="U19" i="21" s="1"/>
  <c r="U20" i="21" s="1"/>
  <c r="U21" i="21"/>
  <c r="U23" i="21" s="1"/>
  <c r="U24" i="21" s="1"/>
  <c r="M17" i="21"/>
  <c r="M19" i="21" s="1"/>
  <c r="M20" i="21" s="1"/>
  <c r="M21" i="21"/>
  <c r="E17" i="21"/>
  <c r="E19" i="21" s="1"/>
  <c r="E20" i="21" s="1"/>
  <c r="E21" i="21"/>
  <c r="E23" i="21" s="1"/>
  <c r="E24" i="21" s="1"/>
  <c r="J59" i="23"/>
  <c r="K17" i="23"/>
  <c r="K19" i="23" s="1"/>
  <c r="K20" i="23" s="1"/>
  <c r="K21" i="23"/>
  <c r="K23" i="23" s="1"/>
  <c r="K24" i="23" s="1"/>
  <c r="R59" i="23"/>
  <c r="S17" i="23"/>
  <c r="S19" i="23" s="1"/>
  <c r="S20" i="23" s="1"/>
  <c r="S21" i="23"/>
  <c r="S23" i="23" s="1"/>
  <c r="S24" i="23" s="1"/>
  <c r="E59" i="24"/>
  <c r="F21" i="24"/>
  <c r="F23" i="24" s="1"/>
  <c r="F24" i="24" s="1"/>
  <c r="F17" i="24"/>
  <c r="F19" i="24" s="1"/>
  <c r="F20" i="24" s="1"/>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I19" i="28" s="1"/>
  <c r="I20" i="28" s="1"/>
  <c r="Q21" i="28"/>
  <c r="Q23" i="28" s="1"/>
  <c r="Q24" i="28" s="1"/>
  <c r="Q17" i="28"/>
  <c r="Q19" i="28" s="1"/>
  <c r="Q20" i="28" s="1"/>
  <c r="H21" i="29"/>
  <c r="H23" i="29" s="1"/>
  <c r="H24" i="29" s="1"/>
  <c r="H17" i="29"/>
  <c r="H19" i="29" s="1"/>
  <c r="H20" i="29" s="1"/>
  <c r="P21" i="29"/>
  <c r="P23" i="29" s="1"/>
  <c r="P24" i="29" s="1"/>
  <c r="P17" i="29"/>
  <c r="P19" i="29" s="1"/>
  <c r="P20" i="29" s="1"/>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C59" i="23"/>
  <c r="D17" i="23"/>
  <c r="D19" i="23" s="1"/>
  <c r="D20" i="23" s="1"/>
  <c r="D21" i="23"/>
  <c r="S59" i="23"/>
  <c r="T17" i="23"/>
  <c r="T19" i="23" s="1"/>
  <c r="T20" i="23" s="1"/>
  <c r="T21" i="23"/>
  <c r="T23" i="23" s="1"/>
  <c r="T24" i="23" s="1"/>
  <c r="G17" i="24"/>
  <c r="G19" i="24" s="1"/>
  <c r="G20" i="24" s="1"/>
  <c r="G21" i="24"/>
  <c r="G23" i="24" s="1"/>
  <c r="G24" i="24" s="1"/>
  <c r="O17" i="24"/>
  <c r="O21" i="24"/>
  <c r="O23" i="24" s="1"/>
  <c r="O24" i="24" s="1"/>
  <c r="J59" i="26"/>
  <c r="K17" i="26"/>
  <c r="K19" i="26" s="1"/>
  <c r="K20" i="26" s="1"/>
  <c r="K21" i="26"/>
  <c r="K23" i="26" s="1"/>
  <c r="K24" i="26" s="1"/>
  <c r="R59" i="26"/>
  <c r="S17" i="26"/>
  <c r="S19" i="26" s="1"/>
  <c r="S20"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23" i="29" s="1"/>
  <c r="Q24" i="29" s="1"/>
  <c r="Q17" i="29"/>
  <c r="Q19" i="29" s="1"/>
  <c r="Q20" i="29" s="1"/>
  <c r="H17" i="30"/>
  <c r="H19" i="30" s="1"/>
  <c r="H20" i="30" s="1"/>
  <c r="H21" i="30"/>
  <c r="H23" i="30" s="1"/>
  <c r="H24" i="30" s="1"/>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K58" i="21"/>
  <c r="K61" i="21" s="1"/>
  <c r="K64" i="21" s="1"/>
  <c r="R19" i="24"/>
  <c r="R20" i="24" s="1"/>
  <c r="I21" i="27"/>
  <c r="I23" i="27" s="1"/>
  <c r="I24" i="27" s="1"/>
  <c r="Q21" i="27"/>
  <c r="Q23" i="27" s="1"/>
  <c r="Q24" i="27" s="1"/>
  <c r="R58" i="21"/>
  <c r="R61" i="21" s="1"/>
  <c r="R64" i="21" s="1"/>
  <c r="R65"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L65" i="30" s="1"/>
  <c r="R58" i="23"/>
  <c r="R61" i="23" s="1"/>
  <c r="H21" i="27"/>
  <c r="H23" i="27" s="1"/>
  <c r="H24" i="27" s="1"/>
  <c r="P21" i="27"/>
  <c r="P23" i="27" s="1"/>
  <c r="P24" i="27" s="1"/>
  <c r="J58" i="26"/>
  <c r="J61" i="26" s="1"/>
  <c r="J58" i="27"/>
  <c r="J61" i="27" s="1"/>
  <c r="J64" i="27" s="1"/>
  <c r="R58" i="27"/>
  <c r="R61" i="27" s="1"/>
  <c r="R58" i="28"/>
  <c r="R61" i="28" s="1"/>
  <c r="R64" i="28" s="1"/>
  <c r="F58" i="23"/>
  <c r="F61" i="23" s="1"/>
  <c r="N58" i="23"/>
  <c r="N61" i="23" s="1"/>
  <c r="D19" i="27"/>
  <c r="D20" i="27" s="1"/>
  <c r="L21" i="27"/>
  <c r="L23" i="27" s="1"/>
  <c r="L24" i="27" s="1"/>
  <c r="T21" i="27"/>
  <c r="T23" i="27" s="1"/>
  <c r="T24" i="27" s="1"/>
  <c r="H57" i="29"/>
  <c r="P58" i="21"/>
  <c r="P61" i="21" s="1"/>
  <c r="H58" i="21"/>
  <c r="H61" i="21" s="1"/>
  <c r="N59" i="23"/>
  <c r="R58" i="26"/>
  <c r="R61" i="26" s="1"/>
  <c r="R57" i="21"/>
  <c r="K58" i="29"/>
  <c r="K61" i="29" s="1"/>
  <c r="I58" i="23"/>
  <c r="I61" i="23" s="1"/>
  <c r="I64" i="23" s="1"/>
  <c r="I65" i="23" s="1"/>
  <c r="Q58" i="23"/>
  <c r="Q61" i="23" s="1"/>
  <c r="L58" i="29"/>
  <c r="L61" i="29" s="1"/>
  <c r="T58" i="29"/>
  <c r="T61" i="29" s="1"/>
  <c r="T64" i="29" s="1"/>
  <c r="I23" i="30"/>
  <c r="I24" i="30" s="1"/>
  <c r="Q23" i="30"/>
  <c r="Q24" i="30" s="1"/>
  <c r="U23" i="30"/>
  <c r="U24" i="30" s="1"/>
  <c r="J58" i="28"/>
  <c r="J61" i="28" s="1"/>
  <c r="J64" i="28" s="1"/>
  <c r="J65" i="28" s="1"/>
  <c r="J58" i="23"/>
  <c r="J61" i="23" s="1"/>
  <c r="J64" i="23" s="1"/>
  <c r="J58" i="24"/>
  <c r="J61" i="24" s="1"/>
  <c r="J64" i="24" s="1"/>
  <c r="J65" i="24" s="1"/>
  <c r="R58" i="24"/>
  <c r="R61" i="24" s="1"/>
  <c r="F57" i="24"/>
  <c r="T58" i="30"/>
  <c r="T61" i="30" s="1"/>
  <c r="C58" i="23"/>
  <c r="C61" i="23" s="1"/>
  <c r="C64" i="23" s="1"/>
  <c r="K58" i="23"/>
  <c r="K61" i="23" s="1"/>
  <c r="S58" i="23"/>
  <c r="S61" i="23" s="1"/>
  <c r="F58" i="26"/>
  <c r="F61" i="26" s="1"/>
  <c r="D58" i="27"/>
  <c r="D61" i="27" s="1"/>
  <c r="L58" i="27"/>
  <c r="L61" i="27" s="1"/>
  <c r="T58" i="27"/>
  <c r="T61" i="27" s="1"/>
  <c r="J58" i="30"/>
  <c r="J61" i="30" s="1"/>
  <c r="R58" i="30"/>
  <c r="R61" i="30" s="1"/>
  <c r="R64" i="30" s="1"/>
  <c r="P57" i="30"/>
  <c r="J57" i="21"/>
  <c r="H59" i="21"/>
  <c r="R21" i="27"/>
  <c r="R23" i="27" s="1"/>
  <c r="R24" i="27" s="1"/>
  <c r="E58" i="27"/>
  <c r="E61" i="27" s="1"/>
  <c r="E64" i="27" s="1"/>
  <c r="M58" i="27"/>
  <c r="M61" i="27" s="1"/>
  <c r="U58" i="27"/>
  <c r="U61" i="27" s="1"/>
  <c r="I58" i="29"/>
  <c r="I61" i="29" s="1"/>
  <c r="I64" i="29" s="1"/>
  <c r="Q58" i="29"/>
  <c r="Q61"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P57" i="29"/>
  <c r="L23" i="30"/>
  <c r="L24" i="30" s="1"/>
  <c r="G58" i="30"/>
  <c r="G61" i="30" s="1"/>
  <c r="O58" i="30"/>
  <c r="O61" i="30" s="1"/>
  <c r="Q57" i="30"/>
  <c r="G58" i="27"/>
  <c r="G61" i="27" s="1"/>
  <c r="T58" i="28"/>
  <c r="T61" i="28" s="1"/>
  <c r="T64" i="28" s="1"/>
  <c r="C58" i="29"/>
  <c r="C61" i="29" s="1"/>
  <c r="C64" i="29" s="1"/>
  <c r="H58" i="30"/>
  <c r="H61" i="30" s="1"/>
  <c r="H64" i="30" s="1"/>
  <c r="H65" i="30" s="1"/>
  <c r="N59" i="30"/>
  <c r="Q57" i="21"/>
  <c r="B58" i="21"/>
  <c r="B61" i="21" s="1"/>
  <c r="D58" i="23"/>
  <c r="D61" i="23" s="1"/>
  <c r="L58" i="23"/>
  <c r="L61" i="23" s="1"/>
  <c r="L64" i="23" s="1"/>
  <c r="T58" i="23"/>
  <c r="T61"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O58" i="27"/>
  <c r="O61" i="27" s="1"/>
  <c r="A38" i="21"/>
  <c r="E58" i="23"/>
  <c r="E61" i="23" s="1"/>
  <c r="E64" i="23" s="1"/>
  <c r="M58" i="23"/>
  <c r="M61" i="23" s="1"/>
  <c r="U58" i="23"/>
  <c r="U61" i="23" s="1"/>
  <c r="U64" i="23" s="1"/>
  <c r="V19" i="23"/>
  <c r="F58" i="24"/>
  <c r="F61" i="24" s="1"/>
  <c r="N58" i="24"/>
  <c r="N61" i="24" s="1"/>
  <c r="F59" i="24"/>
  <c r="I58" i="27"/>
  <c r="I61" i="27" s="1"/>
  <c r="I64" i="27" s="1"/>
  <c r="I65" i="27" s="1"/>
  <c r="Q58" i="27"/>
  <c r="Q61" i="27" s="1"/>
  <c r="Q64" i="27" s="1"/>
  <c r="Q65" i="27" s="1"/>
  <c r="H57" i="27"/>
  <c r="F59" i="27"/>
  <c r="F58" i="28"/>
  <c r="F61" i="28" s="1"/>
  <c r="N58" i="28"/>
  <c r="N61" i="28" s="1"/>
  <c r="E58" i="29"/>
  <c r="E61" i="29" s="1"/>
  <c r="M58" i="29"/>
  <c r="M61" i="29" s="1"/>
  <c r="U58" i="29"/>
  <c r="U61" i="29" s="1"/>
  <c r="F57" i="30"/>
  <c r="N58" i="26"/>
  <c r="N61" i="26" s="1"/>
  <c r="T58" i="24"/>
  <c r="T61" i="24" s="1"/>
  <c r="H58" i="26"/>
  <c r="H61" i="26" s="1"/>
  <c r="L58" i="28"/>
  <c r="L61" i="28" s="1"/>
  <c r="S58" i="29"/>
  <c r="S61" i="29" s="1"/>
  <c r="F57" i="23"/>
  <c r="D23" i="24"/>
  <c r="D24" i="24" s="1"/>
  <c r="G58" i="24"/>
  <c r="G61" i="24" s="1"/>
  <c r="O58" i="24"/>
  <c r="O61" i="24" s="1"/>
  <c r="N59" i="24"/>
  <c r="C58" i="26"/>
  <c r="C61" i="26" s="1"/>
  <c r="C64" i="26" s="1"/>
  <c r="C65" i="26" s="1"/>
  <c r="K58" i="26"/>
  <c r="K61" i="26" s="1"/>
  <c r="S58" i="26"/>
  <c r="S61" i="26" s="1"/>
  <c r="S64" i="26" s="1"/>
  <c r="S65" i="26"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Q65" i="21" s="1"/>
  <c r="I58" i="21"/>
  <c r="I61" i="21" s="1"/>
  <c r="G58" i="23"/>
  <c r="G61" i="23" s="1"/>
  <c r="O58" i="23"/>
  <c r="O61" i="23" s="1"/>
  <c r="N57" i="23"/>
  <c r="H58" i="24"/>
  <c r="H61" i="24" s="1"/>
  <c r="P58" i="24"/>
  <c r="P61" i="24" s="1"/>
  <c r="D58" i="26"/>
  <c r="D61" i="26" s="1"/>
  <c r="L58" i="26"/>
  <c r="L61" i="26" s="1"/>
  <c r="L64" i="26" s="1"/>
  <c r="T58" i="26"/>
  <c r="T61" i="26" s="1"/>
  <c r="F57" i="26"/>
  <c r="C58" i="27"/>
  <c r="C61" i="27" s="1"/>
  <c r="C64" i="27" s="1"/>
  <c r="C65" i="27" s="1"/>
  <c r="K58" i="27"/>
  <c r="K61" i="27" s="1"/>
  <c r="K64" i="27" s="1"/>
  <c r="K65" i="27" s="1"/>
  <c r="S58" i="27"/>
  <c r="S61" i="27" s="1"/>
  <c r="P57" i="27"/>
  <c r="N59" i="27"/>
  <c r="H58" i="28"/>
  <c r="H61" i="28" s="1"/>
  <c r="P58" i="28"/>
  <c r="P61" i="28" s="1"/>
  <c r="N57" i="28"/>
  <c r="L23" i="29"/>
  <c r="L24" i="29" s="1"/>
  <c r="T23" i="29"/>
  <c r="T24" i="29" s="1"/>
  <c r="G58" i="29"/>
  <c r="G61" i="29" s="1"/>
  <c r="O58" i="29"/>
  <c r="O61" i="29" s="1"/>
  <c r="P59" i="29"/>
  <c r="I57" i="30"/>
  <c r="G57" i="21"/>
  <c r="H58" i="23"/>
  <c r="H61" i="23" s="1"/>
  <c r="H64" i="23" s="1"/>
  <c r="P58" i="23"/>
  <c r="P61" i="23" s="1"/>
  <c r="I58" i="24"/>
  <c r="I61" i="24" s="1"/>
  <c r="Q58" i="24"/>
  <c r="Q61" i="24" s="1"/>
  <c r="Q64" i="24" s="1"/>
  <c r="E58" i="26"/>
  <c r="E61" i="26" s="1"/>
  <c r="M58" i="26"/>
  <c r="M61" i="26" s="1"/>
  <c r="M64" i="26" s="1"/>
  <c r="U58" i="26"/>
  <c r="U61" i="26" s="1"/>
  <c r="N57" i="26"/>
  <c r="P59" i="27"/>
  <c r="I58" i="28"/>
  <c r="I61" i="28" s="1"/>
  <c r="I64" i="28" s="1"/>
  <c r="I65" i="28" s="1"/>
  <c r="Q58" i="28"/>
  <c r="Q61" i="28" s="1"/>
  <c r="Q64" i="28" s="1"/>
  <c r="Q65"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O23" i="30"/>
  <c r="O24" i="30" s="1"/>
  <c r="R19" i="30"/>
  <c r="R20" i="30" s="1"/>
  <c r="F63" i="30"/>
  <c r="N63" i="30"/>
  <c r="K19" i="30"/>
  <c r="K20" i="30" s="1"/>
  <c r="S19" i="30"/>
  <c r="S20" i="30" s="1"/>
  <c r="A31" i="30"/>
  <c r="A33" i="30"/>
  <c r="A39" i="30"/>
  <c r="A41" i="30"/>
  <c r="A47" i="30"/>
  <c r="A49" i="30"/>
  <c r="G57" i="30"/>
  <c r="O57" i="30"/>
  <c r="G59" i="30"/>
  <c r="G64" i="30" s="1"/>
  <c r="O59" i="30"/>
  <c r="G63" i="30"/>
  <c r="O63" i="30"/>
  <c r="P63" i="30"/>
  <c r="I63" i="30"/>
  <c r="Q63" i="30"/>
  <c r="E19" i="30"/>
  <c r="E20" i="30" s="1"/>
  <c r="V19" i="30"/>
  <c r="F23" i="30"/>
  <c r="F24" i="30" s="1"/>
  <c r="B63" i="30"/>
  <c r="J63" i="30"/>
  <c r="R63" i="30"/>
  <c r="M19" i="30"/>
  <c r="M20" i="30" s="1"/>
  <c r="A32" i="30"/>
  <c r="A34" i="30"/>
  <c r="A40" i="30"/>
  <c r="A42" i="30"/>
  <c r="A48" i="30"/>
  <c r="A50" i="30"/>
  <c r="C63" i="30"/>
  <c r="K63" i="30"/>
  <c r="S63" i="30"/>
  <c r="D63" i="30"/>
  <c r="L63" i="30"/>
  <c r="T63" i="30"/>
  <c r="H63" i="30"/>
  <c r="Q19" i="30"/>
  <c r="Q20" i="30" s="1"/>
  <c r="E63" i="30"/>
  <c r="M63" i="30"/>
  <c r="O23" i="29"/>
  <c r="O24" i="29" s="1"/>
  <c r="T19" i="29"/>
  <c r="T20" i="29" s="1"/>
  <c r="P63" i="29"/>
  <c r="J23" i="29"/>
  <c r="J24" i="29" s="1"/>
  <c r="F57" i="29"/>
  <c r="N57" i="29"/>
  <c r="F59" i="29"/>
  <c r="N59" i="29"/>
  <c r="F63" i="29"/>
  <c r="N63" i="29"/>
  <c r="H63" i="29"/>
  <c r="S19" i="29"/>
  <c r="S20" i="29" s="1"/>
  <c r="S23" i="29"/>
  <c r="S24" i="29" s="1"/>
  <c r="A31" i="29"/>
  <c r="A33" i="29"/>
  <c r="A39" i="29"/>
  <c r="A41" i="29"/>
  <c r="A47" i="29"/>
  <c r="A49" i="29"/>
  <c r="G57" i="29"/>
  <c r="O57" i="29"/>
  <c r="G59" i="29"/>
  <c r="O59" i="29"/>
  <c r="G63" i="29"/>
  <c r="O63" i="29"/>
  <c r="M19" i="29"/>
  <c r="M20" i="29" s="1"/>
  <c r="U19" i="29"/>
  <c r="U20" i="29" s="1"/>
  <c r="I57" i="29"/>
  <c r="Q57" i="29"/>
  <c r="I63" i="29"/>
  <c r="Q63" i="29"/>
  <c r="N19" i="29"/>
  <c r="N20" i="29" s="1"/>
  <c r="V19" i="29"/>
  <c r="N23" i="29"/>
  <c r="N24" i="29" s="1"/>
  <c r="B63" i="29"/>
  <c r="J63" i="29"/>
  <c r="R63" i="29"/>
  <c r="O19" i="29"/>
  <c r="O20" i="29" s="1"/>
  <c r="A32" i="29"/>
  <c r="A34" i="29"/>
  <c r="A40" i="29"/>
  <c r="A42" i="29"/>
  <c r="A48" i="29"/>
  <c r="A50" i="29"/>
  <c r="C63" i="29"/>
  <c r="K63" i="29"/>
  <c r="S63" i="29"/>
  <c r="D63" i="29"/>
  <c r="L63" i="29"/>
  <c r="T63" i="29"/>
  <c r="E63" i="29"/>
  <c r="M63" i="29"/>
  <c r="K19" i="28"/>
  <c r="K20" i="28" s="1"/>
  <c r="A31" i="28"/>
  <c r="A33" i="28"/>
  <c r="A37" i="28"/>
  <c r="A39" i="28"/>
  <c r="A41" i="28"/>
  <c r="A45" i="28"/>
  <c r="A47" i="28"/>
  <c r="A49" i="28"/>
  <c r="G57" i="28"/>
  <c r="O57" i="28"/>
  <c r="G59" i="28"/>
  <c r="O59" i="28"/>
  <c r="G63" i="28"/>
  <c r="O63" i="28"/>
  <c r="D19" i="28"/>
  <c r="D20" i="28" s="1"/>
  <c r="L19" i="28"/>
  <c r="L20" i="28" s="1"/>
  <c r="L23" i="28"/>
  <c r="L24" i="28" s="1"/>
  <c r="H59" i="28"/>
  <c r="P59" i="28"/>
  <c r="H63" i="28"/>
  <c r="P63" i="28"/>
  <c r="E19" i="28"/>
  <c r="E20" i="28" s="1"/>
  <c r="U19" i="28"/>
  <c r="U20" i="28" s="1"/>
  <c r="M23" i="28"/>
  <c r="M24" i="28" s="1"/>
  <c r="I57" i="28"/>
  <c r="Q57" i="28"/>
  <c r="I63" i="28"/>
  <c r="Q63" i="28"/>
  <c r="R19" i="28"/>
  <c r="R20" i="28" s="1"/>
  <c r="V19" i="28"/>
  <c r="F23" i="28"/>
  <c r="F24" i="28" s="1"/>
  <c r="V23" i="28"/>
  <c r="V24" i="28" s="1"/>
  <c r="B63" i="28"/>
  <c r="J63" i="28"/>
  <c r="R63" i="28"/>
  <c r="A32" i="28"/>
  <c r="A34" i="28"/>
  <c r="A40" i="28"/>
  <c r="A42" i="28"/>
  <c r="A48" i="28"/>
  <c r="A50" i="28"/>
  <c r="C63" i="28"/>
  <c r="K63" i="28"/>
  <c r="S63" i="28"/>
  <c r="D63" i="28"/>
  <c r="L63" i="28"/>
  <c r="T63" i="28"/>
  <c r="E63" i="28"/>
  <c r="M63" i="28"/>
  <c r="R19" i="27"/>
  <c r="R20" i="27" s="1"/>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D63" i="27"/>
  <c r="L63" i="27"/>
  <c r="T63" i="27"/>
  <c r="H63" i="27"/>
  <c r="Q19" i="27"/>
  <c r="Q20" i="27" s="1"/>
  <c r="E63" i="27"/>
  <c r="M63" i="27"/>
  <c r="U64" i="26"/>
  <c r="U66" i="26" s="1"/>
  <c r="J23" i="26"/>
  <c r="J24" i="26" s="1"/>
  <c r="A31" i="26"/>
  <c r="A33" i="26"/>
  <c r="A37" i="26"/>
  <c r="A39" i="26"/>
  <c r="A41" i="26"/>
  <c r="A45" i="26"/>
  <c r="A47" i="26"/>
  <c r="A49" i="26"/>
  <c r="G57" i="26"/>
  <c r="O57" i="26"/>
  <c r="G59" i="26"/>
  <c r="O59" i="26"/>
  <c r="G63" i="26"/>
  <c r="O63" i="26"/>
  <c r="L19" i="26"/>
  <c r="L20" i="26" s="1"/>
  <c r="T23" i="26"/>
  <c r="T24" i="26" s="1"/>
  <c r="H63" i="26"/>
  <c r="P63" i="26"/>
  <c r="E23" i="26"/>
  <c r="E24" i="26" s="1"/>
  <c r="M23" i="26"/>
  <c r="M24" i="26" s="1"/>
  <c r="I57" i="26"/>
  <c r="Q57" i="26"/>
  <c r="I59" i="26"/>
  <c r="I64" i="26" s="1"/>
  <c r="I65" i="26" s="1"/>
  <c r="Q59" i="26"/>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D63" i="26"/>
  <c r="L63" i="26"/>
  <c r="J23" i="24"/>
  <c r="J24" i="24" s="1"/>
  <c r="H23" i="24"/>
  <c r="H24" i="24" s="1"/>
  <c r="P23" i="24"/>
  <c r="P24" i="24" s="1"/>
  <c r="A31" i="24"/>
  <c r="A33" i="24"/>
  <c r="A37" i="24"/>
  <c r="A39" i="24"/>
  <c r="A41" i="24"/>
  <c r="A45" i="24"/>
  <c r="A47" i="24"/>
  <c r="A49" i="24"/>
  <c r="G57" i="24"/>
  <c r="O57" i="24"/>
  <c r="G59" i="24"/>
  <c r="O59" i="24"/>
  <c r="G63" i="24"/>
  <c r="O63" i="24"/>
  <c r="H59" i="24"/>
  <c r="P59" i="24"/>
  <c r="H63" i="24"/>
  <c r="P63" i="24"/>
  <c r="E19" i="24"/>
  <c r="E20" i="24" s="1"/>
  <c r="U19" i="24"/>
  <c r="U20" i="24" s="1"/>
  <c r="I57" i="24"/>
  <c r="Q57" i="24"/>
  <c r="I63" i="24"/>
  <c r="Q63" i="24"/>
  <c r="V23" i="24"/>
  <c r="V24" i="24" s="1"/>
  <c r="B63" i="24"/>
  <c r="J63" i="24"/>
  <c r="R63" i="24"/>
  <c r="O19" i="24"/>
  <c r="O20" i="24" s="1"/>
  <c r="A32" i="24"/>
  <c r="A34" i="24"/>
  <c r="A40" i="24"/>
  <c r="A42" i="24"/>
  <c r="A48" i="24"/>
  <c r="A50" i="24"/>
  <c r="C63" i="24"/>
  <c r="K63" i="24"/>
  <c r="S63" i="24"/>
  <c r="R23" i="24"/>
  <c r="R24"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A31" i="23"/>
  <c r="A33" i="23"/>
  <c r="A37" i="23"/>
  <c r="A39" i="23"/>
  <c r="A41" i="23"/>
  <c r="A45" i="23"/>
  <c r="A47" i="23"/>
  <c r="A49" i="23"/>
  <c r="G57" i="23"/>
  <c r="O57" i="23"/>
  <c r="G59" i="23"/>
  <c r="O59" i="23"/>
  <c r="D23" i="23"/>
  <c r="D24" i="23" s="1"/>
  <c r="L23" i="23"/>
  <c r="L24" i="23" s="1"/>
  <c r="E19" i="23"/>
  <c r="E20" i="23" s="1"/>
  <c r="M19" i="23"/>
  <c r="M20" i="23" s="1"/>
  <c r="I57" i="23"/>
  <c r="Q57" i="23"/>
  <c r="N23" i="23"/>
  <c r="N24" i="23" s="1"/>
  <c r="G19" i="23"/>
  <c r="G20" i="23" s="1"/>
  <c r="A32" i="23"/>
  <c r="A34" i="23"/>
  <c r="A40" i="23"/>
  <c r="A42" i="23"/>
  <c r="A48" i="23"/>
  <c r="A50" i="23"/>
  <c r="H19" i="23"/>
  <c r="H20" i="23" s="1"/>
  <c r="I19" i="23"/>
  <c r="I20" i="23" s="1"/>
  <c r="P64" i="21"/>
  <c r="P65" i="21" s="1"/>
  <c r="L23" i="21"/>
  <c r="L24" i="21" s="1"/>
  <c r="N23" i="21"/>
  <c r="N24" i="21" s="1"/>
  <c r="A33" i="21"/>
  <c r="A37" i="21"/>
  <c r="A41" i="21"/>
  <c r="A45" i="21"/>
  <c r="A49" i="21"/>
  <c r="E58" i="21"/>
  <c r="E61" i="21" s="1"/>
  <c r="M58" i="21"/>
  <c r="M61" i="21" s="1"/>
  <c r="U58" i="21"/>
  <c r="U61" i="21" s="1"/>
  <c r="U64" i="21" s="1"/>
  <c r="U66" i="21" s="1"/>
  <c r="S19" i="21"/>
  <c r="S20" i="21" s="1"/>
  <c r="I23" i="21"/>
  <c r="I24" i="21" s="1"/>
  <c r="G23" i="21"/>
  <c r="G24" i="21" s="1"/>
  <c r="M23" i="21"/>
  <c r="M24" i="21" s="1"/>
  <c r="C57" i="21"/>
  <c r="K57" i="21"/>
  <c r="S57" i="21"/>
  <c r="R23" i="21"/>
  <c r="R24" i="21" s="1"/>
  <c r="L19" i="21"/>
  <c r="L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3" l="1"/>
  <c r="J65" i="23"/>
  <c r="E65" i="23"/>
  <c r="C65" i="23"/>
  <c r="H65" i="23"/>
  <c r="C19" i="29"/>
  <c r="C20" i="29" s="1"/>
  <c r="T65" i="29"/>
  <c r="I65" i="29"/>
  <c r="C65" i="29"/>
  <c r="Q65" i="24"/>
  <c r="L65" i="26"/>
  <c r="R65" i="30"/>
  <c r="D65" i="30"/>
  <c r="K65" i="30"/>
  <c r="G65" i="30"/>
  <c r="I65" i="30"/>
  <c r="R65" i="28"/>
  <c r="T65" i="28"/>
  <c r="J65" i="27"/>
  <c r="E65" i="27"/>
  <c r="K65" i="21"/>
  <c r="T64" i="24"/>
  <c r="T65" i="24" s="1"/>
  <c r="T64" i="23"/>
  <c r="T65" i="23" s="1"/>
  <c r="T64" i="27"/>
  <c r="T65" i="27" s="1"/>
  <c r="T64" i="21"/>
  <c r="T65" i="21" s="1"/>
  <c r="T64" i="30"/>
  <c r="T65" i="30" s="1"/>
  <c r="S64" i="29"/>
  <c r="S65" i="29" s="1"/>
  <c r="S64" i="27"/>
  <c r="S65" i="27" s="1"/>
  <c r="R64" i="27"/>
  <c r="R65" i="27" s="1"/>
  <c r="R64" i="29"/>
  <c r="R65" i="29" s="1"/>
  <c r="Q64" i="26"/>
  <c r="Q65" i="26" s="1"/>
  <c r="Q64" i="29"/>
  <c r="Q65" i="29" s="1"/>
  <c r="P64" i="23"/>
  <c r="P65" i="23" s="1"/>
  <c r="O64" i="21"/>
  <c r="O65" i="21" s="1"/>
  <c r="L64" i="24"/>
  <c r="L65" i="24" s="1"/>
  <c r="L64" i="28"/>
  <c r="L65" i="28" s="1"/>
  <c r="J64" i="30"/>
  <c r="J65" i="30" s="1"/>
  <c r="F64" i="26"/>
  <c r="F66" i="26" s="1"/>
  <c r="D64" i="24"/>
  <c r="D65" i="24" s="1"/>
  <c r="D64" i="27"/>
  <c r="D65" i="27" s="1"/>
  <c r="C64" i="30"/>
  <c r="C65" i="30" s="1"/>
  <c r="B64" i="30"/>
  <c r="B65" i="30" s="1"/>
  <c r="H64" i="26"/>
  <c r="H65" i="26" s="1"/>
  <c r="N66" i="21"/>
  <c r="N65" i="21"/>
  <c r="M66" i="26"/>
  <c r="M65" i="26"/>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H64" i="21"/>
  <c r="H65" i="21" s="1"/>
  <c r="H64" i="28"/>
  <c r="G64" i="28"/>
  <c r="P64" i="26"/>
  <c r="P65" i="26" s="1"/>
  <c r="E64" i="28"/>
  <c r="N64" i="23"/>
  <c r="N65" i="23" s="1"/>
  <c r="J64" i="26"/>
  <c r="J65" i="26" s="1"/>
  <c r="B64" i="23"/>
  <c r="M64" i="27"/>
  <c r="H64" i="27"/>
  <c r="L64" i="29"/>
  <c r="L65" i="29" s="1"/>
  <c r="G64" i="24"/>
  <c r="H64" i="24"/>
  <c r="D64" i="23"/>
  <c r="D65" i="23" s="1"/>
  <c r="K64" i="24"/>
  <c r="K65" i="24" s="1"/>
  <c r="P64" i="24"/>
  <c r="P65" i="24" s="1"/>
  <c r="U64" i="29"/>
  <c r="U66" i="29" s="1"/>
  <c r="M64" i="30"/>
  <c r="K64" i="26"/>
  <c r="C64" i="28"/>
  <c r="C64" i="24"/>
  <c r="L64" i="27"/>
  <c r="R64" i="24"/>
  <c r="K64" i="29"/>
  <c r="J64" i="29"/>
  <c r="E64" i="29"/>
  <c r="M64" i="21"/>
  <c r="M65" i="21" s="1"/>
  <c r="P64" i="28"/>
  <c r="I64" i="21"/>
  <c r="U64" i="28"/>
  <c r="U66" i="28" s="1"/>
  <c r="U64" i="24"/>
  <c r="U66" i="24" s="1"/>
  <c r="F64" i="23"/>
  <c r="U64" i="27"/>
  <c r="U66" i="27" s="1"/>
  <c r="D66" i="30"/>
  <c r="Q66" i="30"/>
  <c r="B64" i="29"/>
  <c r="B64" i="28"/>
  <c r="B64" i="27"/>
  <c r="B64" i="26"/>
  <c r="B64" i="21"/>
  <c r="T66" i="29"/>
  <c r="O64" i="27"/>
  <c r="O64" i="28"/>
  <c r="N64" i="27"/>
  <c r="N64" i="30"/>
  <c r="L66" i="30"/>
  <c r="J66" i="28"/>
  <c r="G64" i="26"/>
  <c r="G64" i="29"/>
  <c r="D66" i="29"/>
  <c r="O64" i="26"/>
  <c r="T66" i="24"/>
  <c r="U66" i="23"/>
  <c r="P64" i="30"/>
  <c r="C66" i="23"/>
  <c r="P66" i="23"/>
  <c r="Q66" i="21"/>
  <c r="P66" i="21"/>
  <c r="K66" i="27"/>
  <c r="G64" i="23"/>
  <c r="Q66" i="24"/>
  <c r="C66" i="27"/>
  <c r="H66" i="23"/>
  <c r="J66" i="27"/>
  <c r="G64" i="27"/>
  <c r="G66" i="30"/>
  <c r="F64" i="27"/>
  <c r="T66" i="27"/>
  <c r="H66" i="30"/>
  <c r="E66" i="30"/>
  <c r="L66" i="21"/>
  <c r="S66" i="26"/>
  <c r="L66" i="28"/>
  <c r="L66" i="26"/>
  <c r="T66" i="30"/>
  <c r="C66" i="29"/>
  <c r="R66" i="28"/>
  <c r="N64" i="26"/>
  <c r="O64" i="29"/>
  <c r="P64" i="29"/>
  <c r="S64" i="1"/>
  <c r="D66" i="27"/>
  <c r="N64" i="29"/>
  <c r="R66" i="30"/>
  <c r="L66" i="23"/>
  <c r="R64" i="1"/>
  <c r="J66" i="23"/>
  <c r="Q64" i="1"/>
  <c r="U64" i="1"/>
  <c r="P64" i="1"/>
  <c r="E66" i="27"/>
  <c r="J66" i="24"/>
  <c r="F64" i="29"/>
  <c r="O64" i="23"/>
  <c r="O64" i="30"/>
  <c r="N64" i="24"/>
  <c r="B66" i="24"/>
  <c r="K66" i="30"/>
  <c r="C66" i="30"/>
  <c r="I66" i="30"/>
  <c r="I66" i="29"/>
  <c r="S66" i="29"/>
  <c r="T66" i="28"/>
  <c r="D66" i="28"/>
  <c r="Q66" i="28"/>
  <c r="I66" i="28"/>
  <c r="K66" i="28"/>
  <c r="Q66" i="27"/>
  <c r="I66" i="27"/>
  <c r="P66" i="27"/>
  <c r="Q66" i="26"/>
  <c r="C66" i="26"/>
  <c r="I66" i="26"/>
  <c r="D66" i="26"/>
  <c r="L66" i="24"/>
  <c r="I66" i="23"/>
  <c r="N66" i="23"/>
  <c r="E66" i="23"/>
  <c r="K66" i="21"/>
  <c r="C66" i="21"/>
  <c r="D66" i="21"/>
  <c r="R66" i="21"/>
  <c r="N64" i="1"/>
  <c r="M64" i="1"/>
  <c r="T64" i="1"/>
  <c r="L64" i="1"/>
  <c r="L65" i="1" s="1"/>
  <c r="J64" i="1"/>
  <c r="K64" i="1"/>
  <c r="O64" i="1"/>
  <c r="O65" i="1" s="1"/>
  <c r="C64" i="1"/>
  <c r="C65" i="1" s="1"/>
  <c r="I64" i="1"/>
  <c r="I65" i="1" s="1"/>
  <c r="H64" i="1"/>
  <c r="G64" i="1"/>
  <c r="G65" i="1" s="1"/>
  <c r="F64" i="1"/>
  <c r="E64" i="1"/>
  <c r="D64" i="1"/>
  <c r="B64" i="1"/>
  <c r="B65" i="1" s="1"/>
  <c r="D63" i="1"/>
  <c r="L63" i="1"/>
  <c r="F63" i="1"/>
  <c r="R63" i="1"/>
  <c r="J63" i="1"/>
  <c r="Q63" i="1"/>
  <c r="I63" i="1"/>
  <c r="C63" i="1"/>
  <c r="K63" i="1"/>
  <c r="P63" i="1"/>
  <c r="H63" i="1"/>
  <c r="T63" i="1"/>
  <c r="T66" i="1" s="1"/>
  <c r="S63" i="1"/>
  <c r="O63" i="1"/>
  <c r="G63" i="1"/>
  <c r="N63" i="1"/>
  <c r="E63" i="1"/>
  <c r="B63" i="1"/>
  <c r="U63" i="1"/>
  <c r="M63" i="1"/>
  <c r="R65" i="1" l="1"/>
  <c r="P65" i="1"/>
  <c r="T65" i="1"/>
  <c r="Q65" i="1"/>
  <c r="S65" i="1"/>
  <c r="M65" i="1"/>
  <c r="J65" i="1"/>
  <c r="E65" i="1"/>
  <c r="D65" i="1"/>
  <c r="F65" i="1"/>
  <c r="N65" i="1"/>
  <c r="H65" i="1"/>
  <c r="K65" i="1"/>
  <c r="T66" i="23"/>
  <c r="T66" i="21"/>
  <c r="S66" i="23"/>
  <c r="S66" i="24"/>
  <c r="S66" i="27"/>
  <c r="S66" i="28"/>
  <c r="R66" i="29"/>
  <c r="R66" i="27"/>
  <c r="Q66" i="1"/>
  <c r="Q66" i="29"/>
  <c r="P66" i="26"/>
  <c r="O66" i="21"/>
  <c r="M66" i="28"/>
  <c r="M66" i="21"/>
  <c r="M66" i="29"/>
  <c r="K66" i="24"/>
  <c r="J66" i="26"/>
  <c r="J66" i="30"/>
  <c r="F65" i="26"/>
  <c r="D66" i="23"/>
  <c r="D66" i="24"/>
  <c r="B66" i="30"/>
  <c r="H66" i="26"/>
  <c r="H66" i="21"/>
  <c r="T66" i="26"/>
  <c r="T65" i="26"/>
  <c r="S66" i="30"/>
  <c r="S65" i="30"/>
  <c r="S66" i="21"/>
  <c r="S65" i="21"/>
  <c r="R66" i="23"/>
  <c r="R65" i="23"/>
  <c r="R66" i="24"/>
  <c r="R65" i="24"/>
  <c r="R66" i="26"/>
  <c r="Q66" i="23"/>
  <c r="Q65" i="23"/>
  <c r="P66" i="30"/>
  <c r="P65" i="30"/>
  <c r="P66" i="29"/>
  <c r="P65" i="29"/>
  <c r="P66" i="28"/>
  <c r="P65" i="28"/>
  <c r="P66" i="24"/>
  <c r="O66" i="28"/>
  <c r="O65" i="28"/>
  <c r="O66" i="23"/>
  <c r="O65" i="23"/>
  <c r="O66" i="24"/>
  <c r="O65" i="24"/>
  <c r="O66" i="27"/>
  <c r="O65" i="27"/>
  <c r="O66" i="29"/>
  <c r="O65" i="29"/>
  <c r="O66" i="30"/>
  <c r="O65" i="30"/>
  <c r="O66" i="26"/>
  <c r="O65" i="26"/>
  <c r="N66" i="24"/>
  <c r="N65" i="24"/>
  <c r="N66" i="26"/>
  <c r="N65" i="26"/>
  <c r="N66" i="30"/>
  <c r="N65" i="30"/>
  <c r="N66" i="28"/>
  <c r="N65" i="28"/>
  <c r="N66" i="27"/>
  <c r="N65" i="27"/>
  <c r="N66" i="29"/>
  <c r="N65" i="29"/>
  <c r="M66" i="30"/>
  <c r="M65" i="30"/>
  <c r="M66" i="27"/>
  <c r="M65" i="27"/>
  <c r="M66" i="24"/>
  <c r="M66" i="23"/>
  <c r="M65" i="23"/>
  <c r="L66" i="29"/>
  <c r="L66" i="27"/>
  <c r="L65" i="27"/>
  <c r="K66" i="23"/>
  <c r="K65" i="23"/>
  <c r="K66" i="29"/>
  <c r="K65" i="29"/>
  <c r="K66" i="26"/>
  <c r="K65" i="26"/>
  <c r="J66" i="29"/>
  <c r="J65" i="29"/>
  <c r="J66" i="21"/>
  <c r="J65" i="21"/>
  <c r="I66" i="21"/>
  <c r="I65" i="21"/>
  <c r="I66" i="24"/>
  <c r="H66" i="27"/>
  <c r="H65" i="27"/>
  <c r="H66" i="29"/>
  <c r="H65" i="29"/>
  <c r="H66" i="28"/>
  <c r="H65" i="28"/>
  <c r="H66" i="24"/>
  <c r="H65" i="24"/>
  <c r="G66" i="28"/>
  <c r="G65" i="28"/>
  <c r="G66" i="29"/>
  <c r="G65" i="29"/>
  <c r="G66" i="21"/>
  <c r="G65" i="21"/>
  <c r="G66" i="23"/>
  <c r="G65" i="23"/>
  <c r="G66" i="26"/>
  <c r="G65" i="26"/>
  <c r="G66" i="27"/>
  <c r="G65" i="27"/>
  <c r="G66" i="24"/>
  <c r="G65" i="24"/>
  <c r="F66" i="21"/>
  <c r="F65" i="21"/>
  <c r="F66" i="23"/>
  <c r="F65" i="23"/>
  <c r="F66" i="30"/>
  <c r="F65" i="30"/>
  <c r="F66" i="27"/>
  <c r="F65" i="27"/>
  <c r="F66" i="29"/>
  <c r="F65" i="29"/>
  <c r="F66" i="28"/>
  <c r="F65" i="28"/>
  <c r="F66" i="24"/>
  <c r="F65" i="24"/>
  <c r="E66" i="26"/>
  <c r="E65" i="26"/>
  <c r="E66" i="29"/>
  <c r="E65" i="29"/>
  <c r="E66" i="21"/>
  <c r="E65" i="21"/>
  <c r="E66" i="28"/>
  <c r="E65" i="28"/>
  <c r="E66" i="24"/>
  <c r="E65" i="24"/>
  <c r="C66" i="24"/>
  <c r="C65" i="24"/>
  <c r="C66" i="28"/>
  <c r="C65" i="28"/>
  <c r="B66" i="27"/>
  <c r="B65" i="27"/>
  <c r="B66" i="28"/>
  <c r="B65" i="28"/>
  <c r="B66" i="29"/>
  <c r="B65" i="29"/>
  <c r="B66" i="23"/>
  <c r="B65" i="23"/>
  <c r="B66" i="26"/>
  <c r="B65" i="26"/>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<sst xmlns="http://schemas.openxmlformats.org/spreadsheetml/2006/main" count="2050" uniqueCount="195">
  <si>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</si>
  <si>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</si>
  <si>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</si>
  <si>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</si>
  <si>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</si>
  <si>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</si>
  <si>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</si>
  <si>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</si>
  <si>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</si>
  <si>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</si>
  <si>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</si>
  <si>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</si>
  <si>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</si>
  <si>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</si>
  <si>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</si>
  <si>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</si>
  <si>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</si>
  <si>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</si>
  <si>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</si>
  <si>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</si>
  <si>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</si>
  <si>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</si>
  <si>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</si>
  <si>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</si>
  <si>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</si>
  <si>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</si>
  <si>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</si>
  <si>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</si>
  <si>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</si>
  <si>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</si>
  <si>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</si>
  <si>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</si>
  <si>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</si>
  <si>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</si>
  <si>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</si>
  <si>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</si>
  <si>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</si>
  <si>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</si>
  <si>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</si>
  <si>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</si>
  <si>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</si>
  <si>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</si>
  <si>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</si>
  <si>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</si>
  <si>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</si>
  <si>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</si>
  <si>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</si>
  <si>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</si>
  <si>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</si>
  <si>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</si>
  <si>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</si>
  <si>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</si>
  <si>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</si>
  <si>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</si>
  <si>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</si>
  <si>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</si>
  <si>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</si>
  <si>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</si>
  <si>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</si>
  <si>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</si>
  <si>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</si>
  <si>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</si>
  <si>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</si>
  <si>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</si>
  <si>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</si>
  <si>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</si>
  <si>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</si>
  <si>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</si>
  <si>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</si>
  <si>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</si>
  <si>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</si>
  <si>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</si>
  <si>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</si>
  <si>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</si>
  <si>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</si>
  <si>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</si>
  <si>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</si>
  <si>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</si>
  <si>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</si>
  <si>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</si>
  <si>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</si>
  <si>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</si>
  <si>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</si>
  <si>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</si>
  <si>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</si>
  <si>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</si>
  <si>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</si>
  <si>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</si>
  <si>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</si>
  <si>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</si>
  <si>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</si>
  <si>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</si>
  <si>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</si>
  <si>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</si>
  <si>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</si>
  <si>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</si>
  <si>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</si>
  <si>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</si>
  <si>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</si>
  <si>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</si>
  <si>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</si>
  <si>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</si>
  <si>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</si>
  <si>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</si>
  <si>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</si>
  <si>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</si>
  <si>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</si>
  <si>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</si>
  <si>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</si>
  <si>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</si>
  <si>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</si>
  <si>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</si>
  <si>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</si>
  <si>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</si>
  <si>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</si>
  <si>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</si>
  <si>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</si>
  <si>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</si>
  <si>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</si>
  <si>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</si>
  <si>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</si>
  <si>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</si>
  <si>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</si>
  <si>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</si>
  <si>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</si>
  <si>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</si>
  <si>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</si>
  <si>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</si>
  <si>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</si>
  <si>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</si>
  <si>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</si>
  <si>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</si>
  <si>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</si>
  <si>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</si>
  <si>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</si>
  <si>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</si>
  <si>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</si>
  <si>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</si>
  <si>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</si>
  <si>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</si>
  <si>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</si>
  <si>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</si>
  <si>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</si>
  <si>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</si>
  <si>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</si>
  <si>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</si>
  <si>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</si>
  <si>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</si>
  <si>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</si>
  <si>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</si>
  <si>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</si>
  <si>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</si>
  <si>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</si>
  <si>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</si>
  <si>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</si>
  <si>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</si>
  <si>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</si>
  <si>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</si>
  <si>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</si>
  <si>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</si>
  <si>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PAN-025644</t>
  </si>
  <si>
    <t>EPR/AB3891CX</t>
  </si>
  <si>
    <t xml:space="preserve">Mr Daniel James and Mrs CarysJames </t>
  </si>
  <si>
    <t>Middle Woodstock, Clarbeston Road, Woodstock, Pembrokshire, SA63 4TG</t>
  </si>
  <si>
    <t>Megan Tucker</t>
  </si>
  <si>
    <t>19 09 02</t>
  </si>
  <si>
    <t>Preseli</t>
  </si>
  <si>
    <t>Woodstock 1</t>
  </si>
  <si>
    <t>Gwarcoed 16</t>
  </si>
  <si>
    <t>Woodstock 2</t>
  </si>
  <si>
    <t>Woodstock 3</t>
  </si>
  <si>
    <t>Woodstock 4</t>
  </si>
  <si>
    <t>Woodstock 5</t>
  </si>
  <si>
    <t>Woodstock 6</t>
  </si>
  <si>
    <t>Woodstock 7</t>
  </si>
  <si>
    <t>Woodstock 8</t>
  </si>
  <si>
    <t>Woodstock 9</t>
  </si>
  <si>
    <t>Woodstock 10</t>
  </si>
  <si>
    <t>Woodstock 11</t>
  </si>
  <si>
    <t>Woodstock 12</t>
  </si>
  <si>
    <t>Woodstock 13/14</t>
  </si>
  <si>
    <t>Gwarcoed 17</t>
  </si>
  <si>
    <t>Gwarcoed 19</t>
  </si>
  <si>
    <t>Gwarcoed 22</t>
  </si>
  <si>
    <t>Gwarcoed 23</t>
  </si>
  <si>
    <t>Gwarcoed 24</t>
  </si>
  <si>
    <t>Moderate</t>
  </si>
  <si>
    <t xml:space="preserve">19 09 02 </t>
  </si>
  <si>
    <t>Llechryd</t>
  </si>
  <si>
    <t>Bryn Gwyn</t>
  </si>
  <si>
    <t>Capel Dewi</t>
  </si>
  <si>
    <t>Cray</t>
  </si>
  <si>
    <t>Hirwaun</t>
  </si>
  <si>
    <t>Cefn Dryscoed</t>
  </si>
  <si>
    <t>Bolton Hill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</si>
</sst>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7E96A84B-948F-445F-BD6E-30CC8E6E6DD1}" name="Crop" dataDxfId="299"/>
    <tableColumn id="2" xr3:uid="{12657DDB-F680-47DE-ABB1-8675D5F91E41}" name="P Offtake" dataDxfId="298"/>
    <tableColumn id="3" xr3:uid="{DEB99109-D325-4F98-8A71-E70C03433437}" name="K Offtake" dataDxfId="297"/>
    <tableColumn id="4" xr3:uid="{E96A561F-7E7F-4FB3-97AA-0B35D8C8E93A}" name="Order" dataDxfId="296"/>
    <tableColumn id="5" xr3:uid="{181DD475-0A71-4C52-AF1A-8BFF46F5A827}" name="Lime pH requirement" dataDxfId="295"/>
    <tableColumn id="6" xr3:uid="{AC3FA7E8-D76B-43A3-B715-04446DFF63C6}"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06008BA1-A1E9-4286-B67A-352533C06A26}" name="Crop" dataDxfId="257"/>
    <tableColumn id="2" xr3:uid="{2AEB5EEB-C9D1-41DC-913E-953A33D1A4AF}" name="P Offtake" dataDxfId="256"/>
    <tableColumn id="3" xr3:uid="{8FA16A0B-1017-4CEE-862E-0A8CBD8EB3D3}" name="K Offtake" dataDxfId="255"/>
    <tableColumn id="4" xr3:uid="{E7A3B8CD-4036-47F4-B818-C3F22E80C749}" name="Order" dataDxfId="254"/>
    <tableColumn id="5" xr3:uid="{8F3EBD84-7904-4559-9B5C-63088B792C98}" name="Lime pH requirement" dataDxfId="253"/>
    <tableColumn id="6" xr3:uid="{A21DD95A-C955-4510-9114-E3F1CB645370}"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11579FCC-3D9F-49AD-888D-5D79B801F6AE}" name="Crop" dataDxfId="215"/>
    <tableColumn id="2" xr3:uid="{05C08116-56D5-4CC6-A649-B06AF891B931}" name="P Offtake" dataDxfId="214"/>
    <tableColumn id="3" xr3:uid="{59CDE959-192B-4757-9203-A0F691CF0F96}" name="K Offtake" dataDxfId="213"/>
    <tableColumn id="4" xr3:uid="{9FB8E4F7-B91F-4CE0-AF39-D4895D0ECF2F}" name="Order" dataDxfId="212"/>
    <tableColumn id="5" xr3:uid="{688FF2A4-D7C6-4425-A915-A9ADD700A9EE}" name="Lime pH requirement" dataDxfId="211"/>
    <tableColumn id="6" xr3:uid="{05FC5CFF-3D81-4B5F-87C7-2364076F2714}"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973D7FFB-D248-4199-9B2E-B3C6CC09D382}" name="Crop" dataDxfId="173"/>
    <tableColumn id="2" xr3:uid="{7F2A3986-EC86-4CF9-BD10-791170BA6682}" name="P Offtake" dataDxfId="172"/>
    <tableColumn id="3" xr3:uid="{D6129C35-9DC6-42E5-AE3F-EA3A083168E6}" name="K Offtake" dataDxfId="171"/>
    <tableColumn id="4" xr3:uid="{C1CC42B5-564A-4DE7-B817-B7D686FE9A11}" name="Order" dataDxfId="170"/>
    <tableColumn id="5" xr3:uid="{620F3ABD-564C-411A-8DEA-CE1A34F9FC36}" name="Lime pH requirement" dataDxfId="169"/>
    <tableColumn id="6" xr3:uid="{76C9BC4F-4FF3-4AFB-8E7B-16DC0CC3E97C}"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D13A12FC-EAE6-4280-A219-C2622262E5F4}" name="Crop" dataDxfId="131"/>
    <tableColumn id="2" xr3:uid="{FD06C4A3-4B75-490D-88CF-232C7DC3EFC6}" name="P Offtake" dataDxfId="130"/>
    <tableColumn id="3" xr3:uid="{B043BEFF-10D4-4840-989B-BB13A502ECDF}" name="K Offtake" dataDxfId="129"/>
    <tableColumn id="4" xr3:uid="{48481FDC-5D20-466C-B554-D45886EA366A}" name="Order" dataDxfId="128"/>
    <tableColumn id="5" xr3:uid="{9E0852D2-9D0D-44AB-98B7-FBA51F331ACF}" name="Lime pH requirement" dataDxfId="127"/>
    <tableColumn id="6" xr3:uid="{29F9C4A5-6854-4F37-8BD1-0DD9B6024A55}"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B554ED3-7AAF-4192-827C-B071945474B8}" name="Crop" dataDxfId="89"/>
    <tableColumn id="2" xr3:uid="{35F435E0-8D8E-44D1-84BD-C2FF51C3F944}" name="P Offtake" dataDxfId="88"/>
    <tableColumn id="3" xr3:uid="{38465C9D-AA8F-443A-80F5-96D1F6258317}" name="K Offtake" dataDxfId="87"/>
    <tableColumn id="4" xr3:uid="{E0C0E6AF-5628-4BC3-9625-81A87B93D279}" name="Order" dataDxfId="86"/>
    <tableColumn id="5" xr3:uid="{ACDE1D9A-7F94-4404-BDDC-1235C32C758F}" name="Lime pH requirement" dataDxfId="85"/>
    <tableColumn id="6" xr3:uid="{B093C9DF-C4CF-4906-9658-89F446EB9C12}"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C4B2E6E9-5990-417D-9E04-7933BDF1FC69}" name="Crop" dataDxfId="47"/>
    <tableColumn id="2" xr3:uid="{E74EF8D0-6C68-49B8-AE52-40C276CA5FC9}" name="P Offtake" dataDxfId="46"/>
    <tableColumn id="3" xr3:uid="{9E0A7857-36E3-482D-B4B2-65B90760417F}" name="K Offtake" dataDxfId="45"/>
    <tableColumn id="4" xr3:uid="{A78867D2-7566-4070-AF99-15EE4CEB1699}" name="Order" dataDxfId="44"/>
    <tableColumn id="5" xr3:uid="{240FD5FA-5659-468E-8544-C93086800EC9}" name="Lime pH requirement" dataDxfId="43"/>
    <tableColumn id="6" xr3:uid="{D5C8E9C3-9076-473B-AE62-DA32692BAABC}"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N24" zoomScale="90" zoomScaleNormal="90" workbookViewId="0">
      <selection activeCell="T28" sqref="T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48.7</v>
      </c>
      <c r="G1" s="120" t="s">
        <v>43</v>
      </c>
      <c r="H1" s="121"/>
      <c r="I1" s="96">
        <v>6.3</v>
      </c>
      <c r="J1" s="119" t="s">
        <v>153</v>
      </c>
      <c r="K1" s="119"/>
      <c r="L1" s="96">
        <v>1.1000000000000001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t="s">
        <v>165</v>
      </c>
      <c r="G2" s="138" t="s">
        <v>110</v>
      </c>
      <c r="H2" s="139"/>
      <c r="I2" s="96"/>
      <c r="J2" s="119" t="s">
        <v>158</v>
      </c>
      <c r="K2" s="119"/>
      <c r="L2" s="96">
        <v>1.74</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c r="J3" s="120" t="s">
        <v>154</v>
      </c>
      <c r="K3" s="121"/>
      <c r="L3" s="96">
        <f>(L1/(L2*10000))*100</f>
        <v>6.3218390804597709E-3</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t="s">
        <v>167</v>
      </c>
      <c r="D8" s="15" t="s">
        <v>169</v>
      </c>
      <c r="E8" s="15" t="s">
        <v>170</v>
      </c>
      <c r="F8" s="15" t="s">
        <v>171</v>
      </c>
      <c r="G8" s="15" t="s">
        <v>172</v>
      </c>
      <c r="H8" s="15" t="s">
        <v>173</v>
      </c>
      <c r="I8" s="15" t="s">
        <v>174</v>
      </c>
      <c r="J8" s="15" t="s">
        <v>175</v>
      </c>
      <c r="K8" s="15" t="s">
        <v>176</v>
      </c>
      <c r="L8" s="15" t="s">
        <v>177</v>
      </c>
      <c r="M8" s="15" t="s">
        <v>178</v>
      </c>
      <c r="N8" s="15" t="s">
        <v>179</v>
      </c>
      <c r="O8" s="15" t="s">
        <v>180</v>
      </c>
      <c r="P8" s="15" t="s">
        <v>168</v>
      </c>
      <c r="Q8" s="15" t="s">
        <v>181</v>
      </c>
      <c r="R8" s="15" t="s">
        <v>182</v>
      </c>
      <c r="S8" s="15" t="s">
        <v>183</v>
      </c>
      <c r="T8" s="15" t="s">
        <v>184</v>
      </c>
      <c r="U8" s="15" t="s">
        <v>185</v>
      </c>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186</v>
      </c>
      <c r="D9" s="15" t="s">
        <v>186</v>
      </c>
      <c r="E9" s="15" t="s">
        <v>186</v>
      </c>
      <c r="F9" s="15" t="s">
        <v>186</v>
      </c>
      <c r="G9" s="15" t="s">
        <v>186</v>
      </c>
      <c r="H9" s="15" t="s">
        <v>186</v>
      </c>
      <c r="I9" s="15">
        <v>1</v>
      </c>
      <c r="J9" s="15" t="s">
        <v>186</v>
      </c>
      <c r="K9" s="15" t="s">
        <v>186</v>
      </c>
      <c r="L9" s="15" t="s">
        <v>186</v>
      </c>
      <c r="M9" s="15" t="s">
        <v>186</v>
      </c>
      <c r="N9" s="15" t="s">
        <v>186</v>
      </c>
      <c r="O9" s="15">
        <v>1</v>
      </c>
      <c r="P9" s="15" t="s">
        <v>186</v>
      </c>
      <c r="Q9" s="15" t="s">
        <v>186</v>
      </c>
      <c r="R9" s="15" t="s">
        <v>186</v>
      </c>
      <c r="S9" s="15" t="s">
        <v>186</v>
      </c>
      <c r="T9" s="15" t="s">
        <v>186</v>
      </c>
      <c r="U9" s="15" t="s">
        <v>186</v>
      </c>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6.5</v>
      </c>
      <c r="D10" s="15">
        <v>6.2</v>
      </c>
      <c r="E10" s="15">
        <v>6.2</v>
      </c>
      <c r="F10" s="15">
        <v>6.2</v>
      </c>
      <c r="G10" s="15">
        <v>6.2</v>
      </c>
      <c r="H10" s="15">
        <v>6.3</v>
      </c>
      <c r="I10" s="15">
        <v>6.3</v>
      </c>
      <c r="J10" s="15">
        <v>6.1</v>
      </c>
      <c r="K10" s="15">
        <v>6.1</v>
      </c>
      <c r="L10" s="15">
        <v>5.9</v>
      </c>
      <c r="M10" s="15">
        <v>6.4</v>
      </c>
      <c r="N10" s="15">
        <v>6.2</v>
      </c>
      <c r="O10" s="15">
        <v>6.3</v>
      </c>
      <c r="P10" s="15">
        <v>6.3</v>
      </c>
      <c r="Q10" s="15">
        <v>6.6</v>
      </c>
      <c r="R10" s="15">
        <v>6.5</v>
      </c>
      <c r="S10" s="15">
        <v>6.6</v>
      </c>
      <c r="T10" s="15">
        <v>6.4</v>
      </c>
      <c r="U10" s="15">
        <v>6.4</v>
      </c>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3</v>
      </c>
      <c r="D11" s="15">
        <v>3</v>
      </c>
      <c r="E11" s="15">
        <v>3</v>
      </c>
      <c r="F11" s="15">
        <v>3</v>
      </c>
      <c r="G11" s="15">
        <v>2</v>
      </c>
      <c r="H11" s="15">
        <v>2</v>
      </c>
      <c r="I11" s="15">
        <v>2</v>
      </c>
      <c r="J11" s="15">
        <v>2</v>
      </c>
      <c r="K11" s="15">
        <v>3</v>
      </c>
      <c r="L11" s="15">
        <v>3</v>
      </c>
      <c r="M11" s="15">
        <v>3</v>
      </c>
      <c r="N11" s="15">
        <v>2</v>
      </c>
      <c r="O11" s="15">
        <v>2</v>
      </c>
      <c r="P11" s="15">
        <v>1</v>
      </c>
      <c r="Q11" s="15">
        <v>1</v>
      </c>
      <c r="R11" s="15">
        <v>2</v>
      </c>
      <c r="S11" s="15">
        <v>1</v>
      </c>
      <c r="T11" s="15">
        <v>1</v>
      </c>
      <c r="U11" s="15">
        <v>2</v>
      </c>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2</v>
      </c>
      <c r="D12" s="15">
        <v>2</v>
      </c>
      <c r="E12" s="15">
        <v>1</v>
      </c>
      <c r="F12" s="15">
        <v>2</v>
      </c>
      <c r="G12" s="15">
        <v>2</v>
      </c>
      <c r="H12" s="15">
        <v>1</v>
      </c>
      <c r="I12" s="15">
        <v>1</v>
      </c>
      <c r="J12" s="15">
        <v>1</v>
      </c>
      <c r="K12" s="15">
        <v>2</v>
      </c>
      <c r="L12" s="15">
        <v>2</v>
      </c>
      <c r="M12" s="15">
        <v>2</v>
      </c>
      <c r="N12" s="15">
        <v>2</v>
      </c>
      <c r="O12" s="15">
        <v>2</v>
      </c>
      <c r="P12" s="15">
        <v>2</v>
      </c>
      <c r="Q12" s="15">
        <v>2</v>
      </c>
      <c r="R12" s="15">
        <v>2</v>
      </c>
      <c r="S12" s="15">
        <v>1</v>
      </c>
      <c r="T12" s="15">
        <v>2</v>
      </c>
      <c r="U12" s="15">
        <v>1</v>
      </c>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3</v>
      </c>
      <c r="D13" s="15">
        <v>3</v>
      </c>
      <c r="E13" s="15">
        <v>2</v>
      </c>
      <c r="F13" s="15">
        <v>2</v>
      </c>
      <c r="G13" s="15">
        <v>2</v>
      </c>
      <c r="H13" s="15">
        <v>2</v>
      </c>
      <c r="I13" s="15">
        <v>2</v>
      </c>
      <c r="J13" s="15">
        <v>2</v>
      </c>
      <c r="K13" s="15">
        <v>2</v>
      </c>
      <c r="L13" s="15">
        <v>2</v>
      </c>
      <c r="M13" s="15">
        <v>2</v>
      </c>
      <c r="N13" s="15">
        <v>2</v>
      </c>
      <c r="O13" s="15">
        <v>2</v>
      </c>
      <c r="P13" s="15">
        <v>2</v>
      </c>
      <c r="Q13" s="15">
        <v>2</v>
      </c>
      <c r="R13" s="15">
        <v>2</v>
      </c>
      <c r="S13" s="15">
        <v>2</v>
      </c>
      <c r="T13" s="15">
        <v>2</v>
      </c>
      <c r="U13" s="15">
        <v>2</v>
      </c>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68</v>
      </c>
      <c r="J14" s="100" t="s">
        <v>113</v>
      </c>
      <c r="K14" s="100" t="s">
        <v>113</v>
      </c>
      <c r="L14" s="100" t="s">
        <v>113</v>
      </c>
      <c r="M14" s="100" t="s">
        <v>113</v>
      </c>
      <c r="N14" s="100" t="s">
        <v>113</v>
      </c>
      <c r="O14" s="100" t="s">
        <v>68</v>
      </c>
      <c r="P14" s="100" t="s">
        <v>113</v>
      </c>
      <c r="Q14" s="100" t="s">
        <v>113</v>
      </c>
      <c r="R14" s="100" t="s">
        <v>113</v>
      </c>
      <c r="S14" s="100" t="s">
        <v>113</v>
      </c>
      <c r="T14" s="100" t="s">
        <v>113</v>
      </c>
      <c r="U14" s="100" t="s">
        <v>113</v>
      </c>
      <c r="V14" s="100"/>
      <c r="AD14" s="30" t="s">
        <v>138</v>
      </c>
      <c r="AE14" s="30">
        <v>6</v>
      </c>
      <c r="AI14" s="53" t="s">
        <v>119</v>
      </c>
      <c r="AJ14" s="54">
        <v>0.8</v>
      </c>
      <c r="AK14" s="55">
        <v>1.7</v>
      </c>
      <c r="AL14" s="11">
        <v>12</v>
      </c>
      <c r="AM14" s="11">
        <v>6.7</v>
      </c>
      <c r="AN14" s="11" t="s">
        <v>135</v>
      </c>
    </row>
    <row r="15" spans="1:40" ht="13" x14ac:dyDescent="0.25">
      <c r="A15" s="130" t="s">
        <v>9</v>
      </c>
      <c r="B15" s="130"/>
      <c r="C15" s="15">
        <v>47</v>
      </c>
      <c r="D15" s="15">
        <v>47</v>
      </c>
      <c r="E15" s="15">
        <v>47</v>
      </c>
      <c r="F15" s="15">
        <v>47</v>
      </c>
      <c r="G15" s="15">
        <v>47</v>
      </c>
      <c r="H15" s="15">
        <v>47</v>
      </c>
      <c r="I15" s="15">
        <v>25</v>
      </c>
      <c r="J15" s="15">
        <v>47</v>
      </c>
      <c r="K15" s="15">
        <v>47</v>
      </c>
      <c r="L15" s="15">
        <v>47</v>
      </c>
      <c r="M15" s="15">
        <v>47</v>
      </c>
      <c r="N15" s="15">
        <v>47</v>
      </c>
      <c r="O15" s="15">
        <v>25</v>
      </c>
      <c r="P15" s="15">
        <v>47</v>
      </c>
      <c r="Q15" s="15">
        <v>47</v>
      </c>
      <c r="R15" s="15">
        <v>47</v>
      </c>
      <c r="S15" s="15">
        <v>47</v>
      </c>
      <c r="T15" s="15">
        <v>47</v>
      </c>
      <c r="U15" s="15">
        <v>47</v>
      </c>
      <c r="V15" s="15"/>
      <c r="AD15" s="30" t="s">
        <v>144</v>
      </c>
      <c r="AE15" s="30">
        <v>7</v>
      </c>
      <c r="AI15" s="53" t="s">
        <v>101</v>
      </c>
      <c r="AJ15" s="62">
        <v>1.8</v>
      </c>
      <c r="AK15" s="55">
        <v>5.4</v>
      </c>
      <c r="AL15" s="11">
        <v>13</v>
      </c>
      <c r="AM15" s="11">
        <v>6.7</v>
      </c>
      <c r="AN15" s="11" t="s">
        <v>135</v>
      </c>
    </row>
    <row r="16" spans="1:40" ht="13.5" thickBot="1" x14ac:dyDescent="0.3">
      <c r="A16" s="132" t="s">
        <v>44</v>
      </c>
      <c r="B16" s="132"/>
      <c r="C16" s="101"/>
      <c r="D16" s="101"/>
      <c r="E16" s="101"/>
      <c r="F16" s="101"/>
      <c r="G16" s="101"/>
      <c r="H16" s="101"/>
      <c r="I16" s="101"/>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54.929016000000004</v>
      </c>
      <c r="D18" s="16">
        <f>$D32</f>
        <v>54.929016000000004</v>
      </c>
      <c r="E18" s="16">
        <f>$D33</f>
        <v>54.929016000000004</v>
      </c>
      <c r="F18" s="16">
        <f>$D34</f>
        <v>54.929016000000004</v>
      </c>
      <c r="G18" s="16">
        <f>$D35</f>
        <v>54.929016000000004</v>
      </c>
      <c r="H18" s="16">
        <f>$D36</f>
        <v>54.929016000000004</v>
      </c>
      <c r="I18" s="16">
        <f>$D37</f>
        <v>44.537040000000012</v>
      </c>
      <c r="J18" s="16">
        <f>$D38</f>
        <v>54.929016000000004</v>
      </c>
      <c r="K18" s="16">
        <f>$D39</f>
        <v>54.929016000000004</v>
      </c>
      <c r="L18" s="16">
        <f>$D40</f>
        <v>0</v>
      </c>
      <c r="M18" s="16">
        <f>$D41</f>
        <v>54.929016000000004</v>
      </c>
      <c r="N18" s="16">
        <f>$D42</f>
        <v>54.929016000000004</v>
      </c>
      <c r="O18" s="16">
        <f>$D43</f>
        <v>44.537040000000012</v>
      </c>
      <c r="P18" s="16">
        <f>$D44</f>
        <v>54.929016000000004</v>
      </c>
      <c r="Q18" s="16">
        <f>$D45</f>
        <v>54.929016000000004</v>
      </c>
      <c r="R18" s="16">
        <f>$D46</f>
        <v>54.929016000000004</v>
      </c>
      <c r="S18" s="16">
        <f>$D47</f>
        <v>54.929016000000004</v>
      </c>
      <c r="T18" s="16">
        <f>$D48</f>
        <v>54.929016000000004</v>
      </c>
      <c r="U18" s="16">
        <f>$D49</f>
        <v>54.929016000000004</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-24.970983999999987</v>
      </c>
      <c r="D19" s="16">
        <f t="shared" ref="D19:V19" si="1">D18-D17</f>
        <v>-24.970983999999987</v>
      </c>
      <c r="E19" s="16">
        <f t="shared" si="1"/>
        <v>-24.970983999999987</v>
      </c>
      <c r="F19" s="16">
        <f t="shared" si="1"/>
        <v>-24.970983999999987</v>
      </c>
      <c r="G19" s="16">
        <f t="shared" si="1"/>
        <v>-24.970983999999987</v>
      </c>
      <c r="H19" s="16">
        <f t="shared" si="1"/>
        <v>-24.970983999999987</v>
      </c>
      <c r="I19" s="16">
        <f t="shared" si="1"/>
        <v>-167.96295999999998</v>
      </c>
      <c r="J19" s="16">
        <f t="shared" si="1"/>
        <v>-24.970983999999987</v>
      </c>
      <c r="K19" s="16">
        <f t="shared" si="1"/>
        <v>-24.970983999999987</v>
      </c>
      <c r="L19" s="16">
        <f t="shared" si="1"/>
        <v>-79.899999999999991</v>
      </c>
      <c r="M19" s="16">
        <f t="shared" si="1"/>
        <v>-24.970983999999987</v>
      </c>
      <c r="N19" s="16">
        <f t="shared" si="1"/>
        <v>-24.970983999999987</v>
      </c>
      <c r="O19" s="16">
        <f t="shared" si="1"/>
        <v>-167.96295999999998</v>
      </c>
      <c r="P19" s="16">
        <f t="shared" si="1"/>
        <v>-24.970983999999987</v>
      </c>
      <c r="Q19" s="16">
        <f t="shared" si="1"/>
        <v>-24.970983999999987</v>
      </c>
      <c r="R19" s="16">
        <f t="shared" si="1"/>
        <v>-24.970983999999987</v>
      </c>
      <c r="S19" s="16">
        <f t="shared" si="1"/>
        <v>-24.970983999999987</v>
      </c>
      <c r="T19" s="16">
        <f t="shared" si="1"/>
        <v>-24.970983999999987</v>
      </c>
      <c r="U19" s="16">
        <f t="shared" si="1"/>
        <v>-24.970983999999987</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1.8779202000000004</v>
      </c>
      <c r="D22" s="16">
        <f>$E32</f>
        <v>1.8779202000000004</v>
      </c>
      <c r="E22" s="16">
        <f>$E33</f>
        <v>1.8779202000000004</v>
      </c>
      <c r="F22" s="16">
        <f>$E34</f>
        <v>1.8779202000000004</v>
      </c>
      <c r="G22" s="16">
        <f>$E35</f>
        <v>1.8779202000000004</v>
      </c>
      <c r="H22" s="16">
        <f>$E36</f>
        <v>1.8779202000000004</v>
      </c>
      <c r="I22" s="16">
        <f>$E37</f>
        <v>1.5226380000000002</v>
      </c>
      <c r="J22" s="16">
        <f>$E38</f>
        <v>1.8779202000000004</v>
      </c>
      <c r="K22" s="16">
        <f>$E39</f>
        <v>1.8779202000000004</v>
      </c>
      <c r="L22" s="16">
        <f>$E40</f>
        <v>0</v>
      </c>
      <c r="M22" s="16">
        <f>$E41</f>
        <v>1.8779202000000004</v>
      </c>
      <c r="N22" s="16">
        <f>$E42</f>
        <v>1.8779202000000004</v>
      </c>
      <c r="O22" s="16">
        <f>$E43</f>
        <v>1.5226380000000002</v>
      </c>
      <c r="P22" s="16">
        <f>$E44</f>
        <v>1.8779202000000004</v>
      </c>
      <c r="Q22" s="16">
        <f>$E45</f>
        <v>1.8779202000000004</v>
      </c>
      <c r="R22" s="16">
        <f>$E46</f>
        <v>1.8779202000000004</v>
      </c>
      <c r="S22" s="16">
        <f>$E47</f>
        <v>1.8779202000000004</v>
      </c>
      <c r="T22" s="16">
        <f>$E48</f>
        <v>1.8779202000000004</v>
      </c>
      <c r="U22" s="16">
        <f>$E49</f>
        <v>1.8779202000000004</v>
      </c>
      <c r="V22" s="16">
        <f>$E50</f>
        <v>0</v>
      </c>
      <c r="AI22" s="63" t="s">
        <v>102</v>
      </c>
      <c r="AJ22" s="64">
        <v>1.2</v>
      </c>
      <c r="AK22" s="65">
        <v>5</v>
      </c>
      <c r="AL22" s="29">
        <v>20</v>
      </c>
      <c r="AM22" s="11">
        <v>6.7</v>
      </c>
      <c r="AN22" s="11" t="s">
        <v>135</v>
      </c>
    </row>
    <row r="23" spans="1:40" ht="13" x14ac:dyDescent="0.25">
      <c r="A23" s="124" t="s">
        <v>92</v>
      </c>
      <c r="B23" s="125"/>
      <c r="C23" s="16">
        <f>C22-C21</f>
        <v>-280.12207979999999</v>
      </c>
      <c r="D23" s="16">
        <f t="shared" ref="D23:V23" si="3">D22-D21</f>
        <v>-280.12207979999999</v>
      </c>
      <c r="E23" s="16">
        <f t="shared" si="3"/>
        <v>-280.12207979999999</v>
      </c>
      <c r="F23" s="16">
        <f t="shared" si="3"/>
        <v>-280.12207979999999</v>
      </c>
      <c r="G23" s="16">
        <f t="shared" si="3"/>
        <v>-280.12207979999999</v>
      </c>
      <c r="H23" s="16">
        <f t="shared" si="3"/>
        <v>-280.12207979999999</v>
      </c>
      <c r="I23" s="16">
        <f t="shared" si="3"/>
        <v>-298.47736200000003</v>
      </c>
      <c r="J23" s="16">
        <f t="shared" si="3"/>
        <v>-280.12207979999999</v>
      </c>
      <c r="K23" s="16">
        <f t="shared" si="3"/>
        <v>-280.12207979999999</v>
      </c>
      <c r="L23" s="16">
        <f t="shared" si="3"/>
        <v>-282</v>
      </c>
      <c r="M23" s="16">
        <f t="shared" si="3"/>
        <v>-280.12207979999999</v>
      </c>
      <c r="N23" s="16">
        <f t="shared" si="3"/>
        <v>-280.12207979999999</v>
      </c>
      <c r="O23" s="16">
        <f t="shared" si="3"/>
        <v>-298.47736200000003</v>
      </c>
      <c r="P23" s="16">
        <f t="shared" si="3"/>
        <v>-280.12207979999999</v>
      </c>
      <c r="Q23" s="16">
        <f t="shared" si="3"/>
        <v>-280.12207979999999</v>
      </c>
      <c r="R23" s="16">
        <f t="shared" si="3"/>
        <v>-280.12207979999999</v>
      </c>
      <c r="S23" s="16">
        <f t="shared" si="3"/>
        <v>-280.12207979999999</v>
      </c>
      <c r="T23" s="16">
        <f t="shared" si="3"/>
        <v>-280.12207979999999</v>
      </c>
      <c r="U23" s="16">
        <f t="shared" si="3"/>
        <v>-280.12207979999999</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5.4</v>
      </c>
      <c r="C28" s="15">
        <v>1.74</v>
      </c>
      <c r="D28" s="15">
        <v>0.24</v>
      </c>
      <c r="E28" s="15">
        <v>1.5599999999999999E-2</v>
      </c>
      <c r="F28" s="15">
        <v>241</v>
      </c>
      <c r="G28" s="15">
        <v>20.100000000000001</v>
      </c>
      <c r="H28" s="15">
        <v>77.5</v>
      </c>
      <c r="I28" s="15">
        <v>2.41</v>
      </c>
      <c r="J28" s="15">
        <v>0.36</v>
      </c>
      <c r="K28" s="23">
        <v>0.75</v>
      </c>
      <c r="L28" s="15">
        <v>5.0999999999999996</v>
      </c>
      <c r="M28" s="15">
        <v>4.3</v>
      </c>
      <c r="N28" s="15">
        <v>130000</v>
      </c>
      <c r="O28" s="15">
        <v>31100</v>
      </c>
      <c r="P28" s="15"/>
      <c r="Q28" s="15">
        <v>4350</v>
      </c>
      <c r="R28" s="15"/>
      <c r="S28" s="15">
        <v>69.099999999999994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185</v>
      </c>
      <c r="C31" s="77">
        <f>IF(C$27="%w/w SAR",((C$28*10)*$B31),IF(C$27="%w/w DM",(((C$28*10)*($B$28/100))*$B31),IF(C$27="kg/t SAR",(C$28*$B31),IF(C$27="kg/t DM",((C$28*($B$28/100))*$B31),IF(C$27="mg/kg SAR",((C$28*0.001)*$B31),IF(C$27="mg/kg DM",(((C$28*0.001)*($B$28/100))*$B31),0))))))</f>
        <v>173.82599999999999</v>
      </c>
      <c r="D31" s="77">
        <f>(IF(D$27="%w/w SAR",((D$28*10)*$B31),IF(D$27="%w/w DM",(((D$28*10)*($B$28/100))*$B31),IF(D$27="kg/t SAR",(D$28*$B31),IF(D$27="kg/t DM",((D$28*($B$28/100))*$B31),IF(D$27="mg/kg SAR",((D$28*0.001)*$B31),IF(D$27="mg/kg DM",(((D$28*0.001)*($B$28/100))*$B31),"0")))))))*2.291</f>
        <v>54.929016000000004</v>
      </c>
      <c r="E31" s="77">
        <f>(IF(E$27="%w/w SAR",((E$28*10)*$B31),IF(E$27="%w/w DM",(((E$28*10)*($B$28/100))*$B31),IF(E$27="kg/t SAR",(E$28*$B31),IF(E$27="kg/t DM",((E$28*($B$28/100))*$B31),IF(E$27="mg/kg SAR",((E$28*0.001)*$B31),IF(E$27="mg/kg DM",(((E$28*0.001)*($B$28/100))*$B31),"0")))))))*1.205</f>
        <v>1.8779202000000004</v>
      </c>
      <c r="F31" s="77">
        <f>(IF(F$27="%w/w SAR",((F$28*10)*$B31),IF(F$27="%w/w DM",(((F$28*10)*($B$28/100))*$B31),IF(F$27="kg/t SAR",(F$28*$B31),IF(F$27="kg/t DM",((F$28*($B$28/100))*$B31),IF(F$27="mg/kg SAR",((F$28*0.001)*$B31),IF(F$27="mg/kg DM",(((F$28*0.001)*($B$28/100))*$B31),"0")))))))*1.658</f>
        <v>3.9917842200000004</v>
      </c>
      <c r="G31" s="77">
        <f t="shared" ref="G31:P31" si="5">IF(G$27="%w/w SAR",((G$28*10)*$B31),IF(G$27="%w/w DM",(((G$28*10)*($B$28/100))*$B31),IF(G$27="kg/t SAR",(G$28*$B31),IF(G$27="kg/t DM",((G$28*($B$28/100))*$B31),IF(G$27="mg/kg SAR",((G$28*0.001)*$B31),IF(G$27="mg/kg DM",(((G$28*0.001)*($B$28/100))*$B31),0))))))</f>
        <v>0.20079900000000006</v>
      </c>
      <c r="H31" s="77">
        <f t="shared" si="5"/>
        <v>0.77422500000000005</v>
      </c>
      <c r="I31" s="77">
        <f t="shared" si="5"/>
        <v>2.4075900000000004E-2</v>
      </c>
      <c r="J31" s="77">
        <f t="shared" si="5"/>
        <v>3.5964E-3</v>
      </c>
      <c r="K31" s="77">
        <f t="shared" si="5"/>
        <v>7.4925000000000018E-3</v>
      </c>
      <c r="L31" s="77">
        <f t="shared" si="5"/>
        <v>5.0949000000000008E-2</v>
      </c>
      <c r="M31" s="77">
        <f t="shared" si="5"/>
        <v>4.2957000000000009E-2</v>
      </c>
      <c r="N31" s="77">
        <f t="shared" si="5"/>
        <v>1298.7</v>
      </c>
      <c r="O31" s="77">
        <f t="shared" si="5"/>
        <v>310.68900000000002</v>
      </c>
      <c r="P31" s="77">
        <f t="shared" si="5"/>
        <v>0</v>
      </c>
      <c r="Q31" s="77">
        <f>(IF(Q$27="%w/w SAR",((Q$28*10)*$B31),IF(Q$27="%w/w DM",(((Q$28*10)*($B$28/100))*$B31),IF(Q$27="kg/t SAR",(Q$28*$B31),IF(Q$27="kg/t DM",((Q$28*($B$28/100))*$B31),IF(Q$27="mg/kg SAR",((Q$28*0.001)*$B31),IF(Q$27="mg/kg DM",(((Q$28*0.001)*($B$28/100))*$B31),0)))))))*2.5</f>
        <v>108.64125000000003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0.69030900000000006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185</v>
      </c>
      <c r="C32" s="77">
        <f t="shared" ref="C32:C50" si="6">IF(C$27="%w/w SAR",((C$28*10)*$B32),IF(C$27="%w/w DM",(((C$28*10)*($B$28/100))*$B32),IF(C$27="kg/t SAR",(C$28*$B32),IF(C$27="kg/t DM",((C$28*($B$28/100))*$B32),IF(C$27="mg/kg SAR",((C$28*0.001)*$B32),IF(C$27="mg/kg DM",(((C$28*0.001)*($B$28/100))*$B32),0))))))</f>
        <v>173.82599999999999</v>
      </c>
      <c r="D32" s="77">
        <f t="shared" ref="D32:D50" si="7">(IF(D$27="%w/w SAR",((D$28*10)*$B32),IF(D$27="%w/w DM",(((D$28*10)*($B$28/100))*$B32),IF(D$27="kg/t SAR",(D$28*$B32),IF(D$27="kg/t DM",((D$28*($B$28/100))*$B32),IF(D$27="mg/kg SAR",((D$28*0.001)*$B32),IF(D$27="mg/kg DM",(((D$28*0.001)*($B$28/100))*$B32),"0")))))))*2.291</f>
        <v>54.929016000000004</v>
      </c>
      <c r="E32" s="77">
        <f t="shared" ref="E32:E50" si="8">(IF(E$27="%w/w SAR",((E$28*10)*$B32),IF(E$27="%w/w DM",(((E$28*10)*($B$28/100))*$B32),IF(E$27="kg/t SAR",(E$28*$B32),IF(E$27="kg/t DM",((E$28*($B$28/100))*$B32),IF(E$27="mg/kg SAR",((E$28*0.001)*$B32),IF(E$27="mg/kg DM",(((E$28*0.001)*($B$28/100))*$B32),"0")))))))*1.205</f>
        <v>1.8779202000000004</v>
      </c>
      <c r="F32" s="77">
        <f t="shared" ref="F32:F50" si="9">(IF(F$27="%w/w SAR",((F$28*10)*$B32),IF(F$27="%w/w DM",(((F$28*10)*($B$28/100))*$B32),IF(F$27="kg/t SAR",(F$28*$B32),IF(F$27="kg/t DM",((F$28*($B$28/100))*$B32),IF(F$27="mg/kg SAR",((F$28*0.001)*$B32),IF(F$27="mg/kg DM",(((F$28*0.001)*($B$28/100))*$B32),"0")))))))*1.658</f>
        <v>3.9917842200000004</v>
      </c>
      <c r="G32" s="77">
        <f t="shared" ref="G32:P50" si="10">IF(G$27="%w/w SAR",((G$28*10)*$B32),IF(G$27="%w/w DM",(((G$28*10)*($B$28/100))*$B32),IF(G$27="kg/t SAR",(G$28*$B32),IF(G$27="kg/t DM",((G$28*($B$28/100))*$B32),IF(G$27="mg/kg SAR",((G$28*0.001)*$B32),IF(G$27="mg/kg DM",(((G$28*0.001)*($B$28/100))*$B32),0))))))</f>
        <v>0.20079900000000006</v>
      </c>
      <c r="H32" s="77">
        <f t="shared" si="10"/>
        <v>0.77422500000000005</v>
      </c>
      <c r="I32" s="77">
        <f t="shared" si="10"/>
        <v>2.4075900000000004E-2</v>
      </c>
      <c r="J32" s="77">
        <f t="shared" si="10"/>
        <v>3.5964E-3</v>
      </c>
      <c r="K32" s="77">
        <f t="shared" si="10"/>
        <v>7.4925000000000018E-3</v>
      </c>
      <c r="L32" s="77">
        <f t="shared" si="10"/>
        <v>5.0949000000000008E-2</v>
      </c>
      <c r="M32" s="77">
        <f t="shared" si="10"/>
        <v>4.2957000000000009E-2</v>
      </c>
      <c r="N32" s="77">
        <f t="shared" si="10"/>
        <v>1298.7</v>
      </c>
      <c r="O32" s="77">
        <f t="shared" si="10"/>
        <v>310.68900000000002</v>
      </c>
      <c r="P32" s="77">
        <f t="shared" si="10"/>
        <v>0</v>
      </c>
      <c r="Q32" s="77">
        <f t="shared" ref="Q32:Q50" si="11">(IF(Q$27="%w/w SAR",((Q$28*10)*$B32),IF(Q$27="%w/w DM",(((Q$28*10)*($B$28/100))*$B32),IF(Q$27="kg/t SAR",(Q$28*$B32),IF(Q$27="kg/t DM",((Q$28*($B$28/100))*$B32),IF(Q$27="mg/kg SAR",((Q$28*0.001)*$B32),IF(Q$27="mg/kg DM",(((Q$28*0.001)*($B$28/100))*$B32),0)))))))*2.5</f>
        <v>108.64125000000003</v>
      </c>
      <c r="R32" s="77">
        <f t="shared" ref="R32:U50" si="12">IF(R$27="%w/w SAR",((R$28*10)*$B32),IF(R$27="%w/w DM",(((R$28*10)*($B$28/100))*$B32),IF(R$27="kg/t SAR",(R$28*$B32),IF(R$27="kg/t DM",((R$28*($B$28/100))*$B32),IF(R$27="mg/kg SAR",((R$28*0.001)*$B32),IF(R$27="mg/kg DM",(((R$28*0.001)*($B$28/100))*$B32),0))))))</f>
        <v>0</v>
      </c>
      <c r="S32" s="77">
        <f t="shared" si="12"/>
        <v>0.69030900000000006</v>
      </c>
      <c r="T32" s="77">
        <f t="shared" si="12"/>
        <v>0</v>
      </c>
      <c r="U32" s="77">
        <f t="shared" si="12"/>
        <v>0</v>
      </c>
      <c r="AB32" s="59"/>
      <c r="AC32" s="59"/>
      <c r="AD32" s="59"/>
      <c r="AE32" s="59"/>
      <c r="AF32" s="59"/>
      <c r="AG32" s="59"/>
      <c r="AH32" s="59"/>
      <c r="AI32" s="59"/>
    </row>
    <row r="33" spans="1:35" s="72" customFormat="1" ht="13" x14ac:dyDescent="0.35">
      <c r="A33" s="13" t="str">
        <f>E8</f>
        <v>Woodstock 3</v>
      </c>
      <c r="B33" s="15">
        <v>185</v>
      </c>
      <c r="C33" s="77">
        <f t="shared" si="6"/>
        <v>173.82599999999999</v>
      </c>
      <c r="D33" s="77">
        <f t="shared" si="7"/>
        <v>54.929016000000004</v>
      </c>
      <c r="E33" s="77">
        <f t="shared" si="8"/>
        <v>1.8779202000000004</v>
      </c>
      <c r="F33" s="77">
        <f t="shared" si="9"/>
        <v>3.9917842200000004</v>
      </c>
      <c r="G33" s="77">
        <f t="shared" si="10"/>
        <v>0.20079900000000006</v>
      </c>
      <c r="H33" s="77">
        <f t="shared" si="10"/>
        <v>0.77422500000000005</v>
      </c>
      <c r="I33" s="77">
        <f t="shared" si="10"/>
        <v>2.4075900000000004E-2</v>
      </c>
      <c r="J33" s="77">
        <f t="shared" si="10"/>
        <v>3.5964E-3</v>
      </c>
      <c r="K33" s="77">
        <f t="shared" si="10"/>
        <v>7.4925000000000018E-3</v>
      </c>
      <c r="L33" s="77">
        <f t="shared" si="10"/>
        <v>5.0949000000000008E-2</v>
      </c>
      <c r="M33" s="77">
        <f t="shared" si="10"/>
        <v>4.2957000000000009E-2</v>
      </c>
      <c r="N33" s="77">
        <f t="shared" si="10"/>
        <v>1298.7</v>
      </c>
      <c r="O33" s="77">
        <f t="shared" si="10"/>
        <v>310.68900000000002</v>
      </c>
      <c r="P33" s="77">
        <f t="shared" si="10"/>
        <v>0</v>
      </c>
      <c r="Q33" s="77">
        <f t="shared" si="11"/>
        <v>108.64125000000003</v>
      </c>
      <c r="R33" s="77">
        <f t="shared" si="12"/>
        <v>0</v>
      </c>
      <c r="S33" s="77">
        <f t="shared" si="12"/>
        <v>0.69030900000000006</v>
      </c>
      <c r="T33" s="77">
        <f t="shared" si="12"/>
        <v>0</v>
      </c>
      <c r="U33" s="77">
        <f t="shared" si="12"/>
        <v>0</v>
      </c>
      <c r="AB33" s="59"/>
      <c r="AC33" s="59"/>
      <c r="AD33" s="59"/>
      <c r="AE33" s="59"/>
      <c r="AF33" s="59"/>
      <c r="AG33" s="59"/>
      <c r="AH33" s="59"/>
      <c r="AI33" s="59"/>
    </row>
    <row r="34" spans="1:35" s="72" customFormat="1" ht="13" x14ac:dyDescent="0.35">
      <c r="A34" s="13" t="str">
        <f>F8</f>
        <v>Woodstock 4</v>
      </c>
      <c r="B34" s="15">
        <v>185</v>
      </c>
      <c r="C34" s="77">
        <f t="shared" si="6"/>
        <v>173.82599999999999</v>
      </c>
      <c r="D34" s="77">
        <f t="shared" si="7"/>
        <v>54.929016000000004</v>
      </c>
      <c r="E34" s="77">
        <f t="shared" si="8"/>
        <v>1.8779202000000004</v>
      </c>
      <c r="F34" s="77">
        <f t="shared" si="9"/>
        <v>3.9917842200000004</v>
      </c>
      <c r="G34" s="77">
        <f t="shared" si="10"/>
        <v>0.20079900000000006</v>
      </c>
      <c r="H34" s="77">
        <f t="shared" si="10"/>
        <v>0.77422500000000005</v>
      </c>
      <c r="I34" s="77">
        <f t="shared" si="10"/>
        <v>2.4075900000000004E-2</v>
      </c>
      <c r="J34" s="77">
        <f t="shared" si="10"/>
        <v>3.5964E-3</v>
      </c>
      <c r="K34" s="77">
        <f t="shared" si="10"/>
        <v>7.4925000000000018E-3</v>
      </c>
      <c r="L34" s="77">
        <f t="shared" si="10"/>
        <v>5.0949000000000008E-2</v>
      </c>
      <c r="M34" s="77">
        <f t="shared" si="10"/>
        <v>4.2957000000000009E-2</v>
      </c>
      <c r="N34" s="77">
        <f t="shared" si="10"/>
        <v>1298.7</v>
      </c>
      <c r="O34" s="77">
        <f t="shared" si="10"/>
        <v>310.68900000000002</v>
      </c>
      <c r="P34" s="77">
        <f t="shared" si="10"/>
        <v>0</v>
      </c>
      <c r="Q34" s="77">
        <f t="shared" si="11"/>
        <v>108.64125000000003</v>
      </c>
      <c r="R34" s="77">
        <f t="shared" si="12"/>
        <v>0</v>
      </c>
      <c r="S34" s="77">
        <f t="shared" si="12"/>
        <v>0.69030900000000006</v>
      </c>
      <c r="T34" s="77">
        <f t="shared" si="12"/>
        <v>0</v>
      </c>
      <c r="U34" s="77">
        <f t="shared" si="12"/>
        <v>0</v>
      </c>
      <c r="AB34" s="59"/>
      <c r="AC34" s="59"/>
      <c r="AD34" s="59"/>
      <c r="AE34" s="59"/>
      <c r="AF34" s="59"/>
      <c r="AG34" s="59"/>
      <c r="AH34" s="59"/>
      <c r="AI34" s="59"/>
    </row>
    <row r="35" spans="1:35" s="72" customFormat="1" ht="13" x14ac:dyDescent="0.35">
      <c r="A35" s="13" t="str">
        <f>G8</f>
        <v>Woodstock 5</v>
      </c>
      <c r="B35" s="15">
        <v>185</v>
      </c>
      <c r="C35" s="77">
        <f t="shared" si="6"/>
        <v>173.82599999999999</v>
      </c>
      <c r="D35" s="77">
        <f t="shared" si="7"/>
        <v>54.929016000000004</v>
      </c>
      <c r="E35" s="77">
        <f t="shared" si="8"/>
        <v>1.8779202000000004</v>
      </c>
      <c r="F35" s="77">
        <f t="shared" si="9"/>
        <v>3.9917842200000004</v>
      </c>
      <c r="G35" s="77">
        <f t="shared" si="10"/>
        <v>0.20079900000000006</v>
      </c>
      <c r="H35" s="77">
        <f t="shared" si="10"/>
        <v>0.77422500000000005</v>
      </c>
      <c r="I35" s="77">
        <f t="shared" si="10"/>
        <v>2.4075900000000004E-2</v>
      </c>
      <c r="J35" s="77">
        <f t="shared" si="10"/>
        <v>3.5964E-3</v>
      </c>
      <c r="K35" s="77">
        <f t="shared" si="10"/>
        <v>7.4925000000000018E-3</v>
      </c>
      <c r="L35" s="77">
        <f t="shared" si="10"/>
        <v>5.0949000000000008E-2</v>
      </c>
      <c r="M35" s="77">
        <f t="shared" si="10"/>
        <v>4.2957000000000009E-2</v>
      </c>
      <c r="N35" s="77">
        <f t="shared" si="10"/>
        <v>1298.7</v>
      </c>
      <c r="O35" s="77">
        <f t="shared" si="10"/>
        <v>310.68900000000002</v>
      </c>
      <c r="P35" s="77">
        <f t="shared" si="10"/>
        <v>0</v>
      </c>
      <c r="Q35" s="77">
        <f t="shared" si="11"/>
        <v>108.64125000000003</v>
      </c>
      <c r="R35" s="77">
        <f t="shared" si="12"/>
        <v>0</v>
      </c>
      <c r="S35" s="77">
        <f t="shared" si="12"/>
        <v>0.69030900000000006</v>
      </c>
      <c r="T35" s="77">
        <f t="shared" si="12"/>
        <v>0</v>
      </c>
      <c r="U35" s="77">
        <f t="shared" si="12"/>
        <v>0</v>
      </c>
      <c r="AB35" s="59"/>
      <c r="AC35" s="59"/>
      <c r="AD35" s="59"/>
      <c r="AE35" s="59"/>
      <c r="AF35" s="59"/>
      <c r="AG35" s="59"/>
      <c r="AH35" s="59"/>
      <c r="AI35" s="59"/>
    </row>
    <row r="36" spans="1:35" s="72" customFormat="1" ht="13" x14ac:dyDescent="0.35">
      <c r="A36" s="13" t="str">
        <f>H8</f>
        <v>Woodstock 6</v>
      </c>
      <c r="B36" s="15">
        <v>185</v>
      </c>
      <c r="C36" s="77">
        <f t="shared" si="6"/>
        <v>173.82599999999999</v>
      </c>
      <c r="D36" s="77">
        <f t="shared" si="7"/>
        <v>54.929016000000004</v>
      </c>
      <c r="E36" s="77">
        <f t="shared" si="8"/>
        <v>1.8779202000000004</v>
      </c>
      <c r="F36" s="77">
        <f t="shared" si="9"/>
        <v>3.9917842200000004</v>
      </c>
      <c r="G36" s="77">
        <f t="shared" si="10"/>
        <v>0.20079900000000006</v>
      </c>
      <c r="H36" s="77">
        <f t="shared" si="10"/>
        <v>0.77422500000000005</v>
      </c>
      <c r="I36" s="77">
        <f t="shared" si="10"/>
        <v>2.4075900000000004E-2</v>
      </c>
      <c r="J36" s="77">
        <f t="shared" si="10"/>
        <v>3.5964E-3</v>
      </c>
      <c r="K36" s="77">
        <f t="shared" si="10"/>
        <v>7.4925000000000018E-3</v>
      </c>
      <c r="L36" s="77">
        <f t="shared" si="10"/>
        <v>5.0949000000000008E-2</v>
      </c>
      <c r="M36" s="77">
        <f t="shared" si="10"/>
        <v>4.2957000000000009E-2</v>
      </c>
      <c r="N36" s="77">
        <f t="shared" si="10"/>
        <v>1298.7</v>
      </c>
      <c r="O36" s="77">
        <f t="shared" si="10"/>
        <v>310.68900000000002</v>
      </c>
      <c r="P36" s="77">
        <f t="shared" si="10"/>
        <v>0</v>
      </c>
      <c r="Q36" s="77">
        <f t="shared" si="11"/>
        <v>108.64125000000003</v>
      </c>
      <c r="R36" s="77">
        <f t="shared" si="12"/>
        <v>0</v>
      </c>
      <c r="S36" s="77">
        <f t="shared" si="12"/>
        <v>0.69030900000000006</v>
      </c>
      <c r="T36" s="77">
        <f t="shared" si="12"/>
        <v>0</v>
      </c>
      <c r="U36" s="77">
        <f t="shared" si="12"/>
        <v>0</v>
      </c>
      <c r="AB36" s="59"/>
      <c r="AC36" s="59"/>
      <c r="AD36" s="59"/>
      <c r="AE36" s="59"/>
      <c r="AF36" s="59"/>
      <c r="AG36" s="59"/>
      <c r="AH36" s="59"/>
      <c r="AI36" s="59"/>
    </row>
    <row r="37" spans="1:35" s="72" customFormat="1" ht="13" x14ac:dyDescent="0.35">
      <c r="A37" s="13" t="str">
        <f>I8</f>
        <v>Woodstock 7</v>
      </c>
      <c r="B37" s="15">
        <v>150</v>
      </c>
      <c r="C37" s="77">
        <f t="shared" si="6"/>
        <v>140.94</v>
      </c>
      <c r="D37" s="77">
        <f t="shared" si="7"/>
        <v>44.537040000000012</v>
      </c>
      <c r="E37" s="77">
        <f t="shared" si="8"/>
        <v>1.5226380000000002</v>
      </c>
      <c r="F37" s="77">
        <f t="shared" si="9"/>
        <v>3.2365818000000002</v>
      </c>
      <c r="G37" s="77">
        <f t="shared" si="10"/>
        <v>0.16281000000000004</v>
      </c>
      <c r="H37" s="77">
        <f t="shared" si="10"/>
        <v>0.62775000000000003</v>
      </c>
      <c r="I37" s="77">
        <f t="shared" si="10"/>
        <v>1.9521000000000004E-2</v>
      </c>
      <c r="J37" s="77">
        <f t="shared" si="10"/>
        <v>2.9160000000000002E-3</v>
      </c>
      <c r="K37" s="77">
        <f t="shared" si="10"/>
        <v>6.0750000000000014E-3</v>
      </c>
      <c r="L37" s="77">
        <f t="shared" si="10"/>
        <v>4.1310000000000006E-2</v>
      </c>
      <c r="M37" s="77">
        <f t="shared" si="10"/>
        <v>3.4830000000000007E-2</v>
      </c>
      <c r="N37" s="77">
        <f t="shared" si="10"/>
        <v>1053</v>
      </c>
      <c r="O37" s="77">
        <f t="shared" si="10"/>
        <v>251.91000000000003</v>
      </c>
      <c r="P37" s="77">
        <f t="shared" si="10"/>
        <v>0</v>
      </c>
      <c r="Q37" s="77">
        <f t="shared" si="11"/>
        <v>88.08750000000002</v>
      </c>
      <c r="R37" s="77">
        <f t="shared" si="12"/>
        <v>0</v>
      </c>
      <c r="S37" s="77">
        <f t="shared" si="12"/>
        <v>0.55971000000000004</v>
      </c>
      <c r="T37" s="77">
        <f t="shared" si="12"/>
        <v>0</v>
      </c>
      <c r="U37" s="77">
        <f t="shared" si="12"/>
        <v>0</v>
      </c>
      <c r="AB37" s="59"/>
      <c r="AC37" s="59"/>
      <c r="AD37" s="59"/>
      <c r="AE37" s="59"/>
      <c r="AF37" s="59"/>
      <c r="AG37" s="59"/>
      <c r="AH37" s="59"/>
      <c r="AI37" s="59"/>
    </row>
    <row r="38" spans="1:35" s="72" customFormat="1" ht="13" x14ac:dyDescent="0.35">
      <c r="A38" s="13" t="str">
        <f>J8</f>
        <v>Woodstock 8</v>
      </c>
      <c r="B38" s="15">
        <v>185</v>
      </c>
      <c r="C38" s="77">
        <f t="shared" si="6"/>
        <v>173.82599999999999</v>
      </c>
      <c r="D38" s="77">
        <f t="shared" si="7"/>
        <v>54.929016000000004</v>
      </c>
      <c r="E38" s="77">
        <f t="shared" si="8"/>
        <v>1.8779202000000004</v>
      </c>
      <c r="F38" s="77">
        <f t="shared" si="9"/>
        <v>3.9917842200000004</v>
      </c>
      <c r="G38" s="77">
        <f t="shared" si="10"/>
        <v>0.20079900000000006</v>
      </c>
      <c r="H38" s="77">
        <f t="shared" si="10"/>
        <v>0.77422500000000005</v>
      </c>
      <c r="I38" s="77">
        <f t="shared" si="10"/>
        <v>2.4075900000000004E-2</v>
      </c>
      <c r="J38" s="77">
        <f t="shared" si="10"/>
        <v>3.5964E-3</v>
      </c>
      <c r="K38" s="77">
        <f t="shared" si="10"/>
        <v>7.4925000000000018E-3</v>
      </c>
      <c r="L38" s="77">
        <f t="shared" si="10"/>
        <v>5.0949000000000008E-2</v>
      </c>
      <c r="M38" s="77">
        <f t="shared" si="10"/>
        <v>4.2957000000000009E-2</v>
      </c>
      <c r="N38" s="77">
        <f t="shared" si="10"/>
        <v>1298.7</v>
      </c>
      <c r="O38" s="77">
        <f t="shared" si="10"/>
        <v>310.68900000000002</v>
      </c>
      <c r="P38" s="77">
        <f t="shared" si="10"/>
        <v>0</v>
      </c>
      <c r="Q38" s="77">
        <f t="shared" si="11"/>
        <v>108.64125000000003</v>
      </c>
      <c r="R38" s="77">
        <f t="shared" si="12"/>
        <v>0</v>
      </c>
      <c r="S38" s="77">
        <f t="shared" si="12"/>
        <v>0.69030900000000006</v>
      </c>
      <c r="T38" s="77">
        <f t="shared" si="12"/>
        <v>0</v>
      </c>
      <c r="U38" s="77">
        <f t="shared" si="12"/>
        <v>0</v>
      </c>
      <c r="AB38" s="59"/>
      <c r="AC38" s="59"/>
      <c r="AD38" s="59"/>
      <c r="AE38" s="59"/>
      <c r="AF38" s="59"/>
      <c r="AG38" s="59"/>
      <c r="AH38" s="59"/>
      <c r="AI38" s="59"/>
    </row>
    <row r="39" spans="1:35" s="72" customFormat="1" ht="13" x14ac:dyDescent="0.35">
      <c r="A39" s="13" t="str">
        <f>K8</f>
        <v>Woodstock 9</v>
      </c>
      <c r="B39" s="15">
        <v>185</v>
      </c>
      <c r="C39" s="77">
        <f t="shared" si="6"/>
        <v>173.82599999999999</v>
      </c>
      <c r="D39" s="77">
        <f t="shared" si="7"/>
        <v>54.929016000000004</v>
      </c>
      <c r="E39" s="77">
        <f t="shared" si="8"/>
        <v>1.8779202000000004</v>
      </c>
      <c r="F39" s="77">
        <f t="shared" si="9"/>
        <v>3.9917842200000004</v>
      </c>
      <c r="G39" s="77">
        <f t="shared" si="10"/>
        <v>0.20079900000000006</v>
      </c>
      <c r="H39" s="77">
        <f t="shared" si="10"/>
        <v>0.77422500000000005</v>
      </c>
      <c r="I39" s="77">
        <f t="shared" si="10"/>
        <v>2.4075900000000004E-2</v>
      </c>
      <c r="J39" s="77">
        <f t="shared" si="10"/>
        <v>3.5964E-3</v>
      </c>
      <c r="K39" s="77">
        <f t="shared" si="10"/>
        <v>7.4925000000000018E-3</v>
      </c>
      <c r="L39" s="77">
        <f t="shared" si="10"/>
        <v>5.0949000000000008E-2</v>
      </c>
      <c r="M39" s="77">
        <f t="shared" si="10"/>
        <v>4.2957000000000009E-2</v>
      </c>
      <c r="N39" s="77">
        <f t="shared" si="10"/>
        <v>1298.7</v>
      </c>
      <c r="O39" s="77">
        <f t="shared" si="10"/>
        <v>310.68900000000002</v>
      </c>
      <c r="P39" s="77">
        <f t="shared" si="10"/>
        <v>0</v>
      </c>
      <c r="Q39" s="77">
        <f t="shared" si="11"/>
        <v>108.64125000000003</v>
      </c>
      <c r="R39" s="77">
        <f t="shared" si="12"/>
        <v>0</v>
      </c>
      <c r="S39" s="77">
        <f t="shared" si="12"/>
        <v>0.69030900000000006</v>
      </c>
      <c r="T39" s="77">
        <f t="shared" si="12"/>
        <v>0</v>
      </c>
      <c r="U39" s="77">
        <f t="shared" si="12"/>
        <v>0</v>
      </c>
      <c r="AB39" s="59"/>
      <c r="AC39" s="59"/>
      <c r="AD39" s="59"/>
      <c r="AE39" s="59"/>
      <c r="AF39" s="59"/>
      <c r="AG39" s="59"/>
      <c r="AH39" s="59"/>
      <c r="AI39" s="59"/>
    </row>
    <row r="40" spans="1:35" s="72" customFormat="1" ht="13" x14ac:dyDescent="0.35">
      <c r="A40" s="13" t="str">
        <f>L8</f>
        <v>Woodstock 10</v>
      </c>
      <c r="B40" s="15">
        <v>0</v>
      </c>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t="str">
        <f>M8</f>
        <v>Woodstock 11</v>
      </c>
      <c r="B41" s="15">
        <v>185</v>
      </c>
      <c r="C41" s="77">
        <f t="shared" si="6"/>
        <v>173.82599999999999</v>
      </c>
      <c r="D41" s="77">
        <f t="shared" si="7"/>
        <v>54.929016000000004</v>
      </c>
      <c r="E41" s="77">
        <f t="shared" si="8"/>
        <v>1.8779202000000004</v>
      </c>
      <c r="F41" s="77">
        <f t="shared" si="9"/>
        <v>3.9917842200000004</v>
      </c>
      <c r="G41" s="77">
        <f t="shared" si="10"/>
        <v>0.20079900000000006</v>
      </c>
      <c r="H41" s="77">
        <f t="shared" si="10"/>
        <v>0.77422500000000005</v>
      </c>
      <c r="I41" s="77">
        <f t="shared" si="10"/>
        <v>2.4075900000000004E-2</v>
      </c>
      <c r="J41" s="77">
        <f t="shared" si="10"/>
        <v>3.5964E-3</v>
      </c>
      <c r="K41" s="77">
        <f t="shared" si="10"/>
        <v>7.4925000000000018E-3</v>
      </c>
      <c r="L41" s="77">
        <f t="shared" si="10"/>
        <v>5.0949000000000008E-2</v>
      </c>
      <c r="M41" s="77">
        <f t="shared" si="10"/>
        <v>4.2957000000000009E-2</v>
      </c>
      <c r="N41" s="77">
        <f t="shared" si="10"/>
        <v>1298.7</v>
      </c>
      <c r="O41" s="77">
        <f t="shared" si="10"/>
        <v>310.68900000000002</v>
      </c>
      <c r="P41" s="77">
        <f t="shared" si="10"/>
        <v>0</v>
      </c>
      <c r="Q41" s="77">
        <f t="shared" si="11"/>
        <v>108.64125000000003</v>
      </c>
      <c r="R41" s="77">
        <f t="shared" si="12"/>
        <v>0</v>
      </c>
      <c r="S41" s="77">
        <f t="shared" si="12"/>
        <v>0.69030900000000006</v>
      </c>
      <c r="T41" s="77">
        <f t="shared" si="12"/>
        <v>0</v>
      </c>
      <c r="U41" s="77">
        <f t="shared" si="12"/>
        <v>0</v>
      </c>
      <c r="AB41" s="59"/>
      <c r="AC41" s="59"/>
      <c r="AD41" s="59"/>
      <c r="AE41" s="59"/>
      <c r="AF41" s="59"/>
      <c r="AG41" s="59"/>
      <c r="AH41" s="59"/>
      <c r="AI41" s="59"/>
    </row>
    <row r="42" spans="1:35" s="72" customFormat="1" ht="13" x14ac:dyDescent="0.35">
      <c r="A42" s="13" t="str">
        <f>N8</f>
        <v>Woodstock 12</v>
      </c>
      <c r="B42" s="15">
        <v>185</v>
      </c>
      <c r="C42" s="77">
        <f t="shared" si="6"/>
        <v>173.82599999999999</v>
      </c>
      <c r="D42" s="77">
        <f t="shared" si="7"/>
        <v>54.929016000000004</v>
      </c>
      <c r="E42" s="77">
        <f t="shared" si="8"/>
        <v>1.8779202000000004</v>
      </c>
      <c r="F42" s="77">
        <f t="shared" si="9"/>
        <v>3.9917842200000004</v>
      </c>
      <c r="G42" s="77">
        <f t="shared" si="10"/>
        <v>0.20079900000000006</v>
      </c>
      <c r="H42" s="77">
        <f t="shared" si="10"/>
        <v>0.77422500000000005</v>
      </c>
      <c r="I42" s="77">
        <f t="shared" si="10"/>
        <v>2.4075900000000004E-2</v>
      </c>
      <c r="J42" s="77">
        <f t="shared" si="10"/>
        <v>3.5964E-3</v>
      </c>
      <c r="K42" s="77">
        <f t="shared" si="10"/>
        <v>7.4925000000000018E-3</v>
      </c>
      <c r="L42" s="77">
        <f t="shared" si="10"/>
        <v>5.0949000000000008E-2</v>
      </c>
      <c r="M42" s="77">
        <f t="shared" si="10"/>
        <v>4.2957000000000009E-2</v>
      </c>
      <c r="N42" s="77">
        <f t="shared" si="10"/>
        <v>1298.7</v>
      </c>
      <c r="O42" s="77">
        <f t="shared" si="10"/>
        <v>310.68900000000002</v>
      </c>
      <c r="P42" s="77">
        <f t="shared" si="10"/>
        <v>0</v>
      </c>
      <c r="Q42" s="77">
        <f t="shared" si="11"/>
        <v>108.64125000000003</v>
      </c>
      <c r="R42" s="77">
        <f t="shared" si="12"/>
        <v>0</v>
      </c>
      <c r="S42" s="77">
        <f t="shared" si="12"/>
        <v>0.69030900000000006</v>
      </c>
      <c r="T42" s="77">
        <f t="shared" si="12"/>
        <v>0</v>
      </c>
      <c r="U42" s="77">
        <f t="shared" si="12"/>
        <v>0</v>
      </c>
      <c r="AB42" s="59"/>
      <c r="AC42" s="59"/>
      <c r="AD42" s="59"/>
      <c r="AE42" s="59"/>
      <c r="AF42" s="59"/>
      <c r="AG42" s="59"/>
      <c r="AH42" s="59"/>
      <c r="AI42" s="59"/>
    </row>
    <row r="43" spans="1:35" s="72" customFormat="1" ht="13" x14ac:dyDescent="0.35">
      <c r="A43" s="13" t="str">
        <f>O8</f>
        <v>Woodstock 13/14</v>
      </c>
      <c r="B43" s="15">
        <v>150</v>
      </c>
      <c r="C43" s="77">
        <f t="shared" si="6"/>
        <v>140.94</v>
      </c>
      <c r="D43" s="77">
        <f t="shared" si="7"/>
        <v>44.537040000000012</v>
      </c>
      <c r="E43" s="77">
        <f t="shared" si="8"/>
        <v>1.5226380000000002</v>
      </c>
      <c r="F43" s="77">
        <f t="shared" si="9"/>
        <v>3.2365818000000002</v>
      </c>
      <c r="G43" s="77">
        <f t="shared" si="10"/>
        <v>0.16281000000000004</v>
      </c>
      <c r="H43" s="77">
        <f t="shared" si="10"/>
        <v>0.62775000000000003</v>
      </c>
      <c r="I43" s="77">
        <f t="shared" si="10"/>
        <v>1.9521000000000004E-2</v>
      </c>
      <c r="J43" s="77">
        <f t="shared" si="10"/>
        <v>2.9160000000000002E-3</v>
      </c>
      <c r="K43" s="77">
        <f t="shared" si="10"/>
        <v>6.0750000000000014E-3</v>
      </c>
      <c r="L43" s="77">
        <f t="shared" si="10"/>
        <v>4.1310000000000006E-2</v>
      </c>
      <c r="M43" s="77">
        <f t="shared" si="10"/>
        <v>3.4830000000000007E-2</v>
      </c>
      <c r="N43" s="77">
        <f t="shared" si="10"/>
        <v>1053</v>
      </c>
      <c r="O43" s="77">
        <f t="shared" si="10"/>
        <v>251.91000000000003</v>
      </c>
      <c r="P43" s="77">
        <f t="shared" si="10"/>
        <v>0</v>
      </c>
      <c r="Q43" s="77">
        <f t="shared" si="11"/>
        <v>88.08750000000002</v>
      </c>
      <c r="R43" s="77">
        <f t="shared" si="12"/>
        <v>0</v>
      </c>
      <c r="S43" s="77">
        <f t="shared" si="12"/>
        <v>0.55971000000000004</v>
      </c>
      <c r="T43" s="77">
        <f t="shared" si="12"/>
        <v>0</v>
      </c>
      <c r="U43" s="77">
        <f t="shared" si="12"/>
        <v>0</v>
      </c>
      <c r="AB43" s="59"/>
      <c r="AC43" s="59"/>
      <c r="AD43" s="59"/>
      <c r="AE43" s="59"/>
      <c r="AF43" s="59"/>
      <c r="AG43" s="59"/>
      <c r="AH43" s="59"/>
      <c r="AI43" s="59"/>
    </row>
    <row r="44" spans="1:35" s="72" customFormat="1" ht="13" x14ac:dyDescent="0.35">
      <c r="A44" s="13" t="str">
        <f>P8</f>
        <v>Gwarcoed 16</v>
      </c>
      <c r="B44" s="15">
        <v>185</v>
      </c>
      <c r="C44" s="77">
        <f t="shared" si="6"/>
        <v>173.82599999999999</v>
      </c>
      <c r="D44" s="77">
        <f t="shared" si="7"/>
        <v>54.929016000000004</v>
      </c>
      <c r="E44" s="77">
        <f t="shared" si="8"/>
        <v>1.8779202000000004</v>
      </c>
      <c r="F44" s="77">
        <f t="shared" si="9"/>
        <v>3.9917842200000004</v>
      </c>
      <c r="G44" s="77">
        <f t="shared" si="10"/>
        <v>0.20079900000000006</v>
      </c>
      <c r="H44" s="77">
        <f t="shared" si="10"/>
        <v>0.77422500000000005</v>
      </c>
      <c r="I44" s="77">
        <f t="shared" si="10"/>
        <v>2.4075900000000004E-2</v>
      </c>
      <c r="J44" s="77">
        <f t="shared" si="10"/>
        <v>3.5964E-3</v>
      </c>
      <c r="K44" s="77">
        <f t="shared" si="10"/>
        <v>7.4925000000000018E-3</v>
      </c>
      <c r="L44" s="77">
        <f t="shared" si="10"/>
        <v>5.0949000000000008E-2</v>
      </c>
      <c r="M44" s="77">
        <f t="shared" si="10"/>
        <v>4.2957000000000009E-2</v>
      </c>
      <c r="N44" s="77">
        <f t="shared" si="10"/>
        <v>1298.7</v>
      </c>
      <c r="O44" s="77">
        <f t="shared" si="10"/>
        <v>310.68900000000002</v>
      </c>
      <c r="P44" s="77">
        <f t="shared" si="10"/>
        <v>0</v>
      </c>
      <c r="Q44" s="77">
        <f t="shared" si="11"/>
        <v>108.64125000000003</v>
      </c>
      <c r="R44" s="77">
        <f t="shared" si="12"/>
        <v>0</v>
      </c>
      <c r="S44" s="77">
        <f t="shared" si="12"/>
        <v>0.69030900000000006</v>
      </c>
      <c r="T44" s="77">
        <f t="shared" si="12"/>
        <v>0</v>
      </c>
      <c r="U44" s="77">
        <f t="shared" si="12"/>
        <v>0</v>
      </c>
      <c r="AB44" s="59"/>
      <c r="AC44" s="59"/>
      <c r="AD44" s="59"/>
      <c r="AE44" s="59"/>
      <c r="AF44" s="59"/>
      <c r="AG44" s="59"/>
      <c r="AH44" s="59"/>
      <c r="AI44" s="59"/>
    </row>
    <row r="45" spans="1:35" s="72" customFormat="1" ht="13" x14ac:dyDescent="0.35">
      <c r="A45" s="13" t="str">
        <f>Q8</f>
        <v>Gwarcoed 17</v>
      </c>
      <c r="B45" s="15">
        <v>185</v>
      </c>
      <c r="C45" s="77">
        <f t="shared" si="6"/>
        <v>173.82599999999999</v>
      </c>
      <c r="D45" s="77">
        <f t="shared" si="7"/>
        <v>54.929016000000004</v>
      </c>
      <c r="E45" s="77">
        <f t="shared" si="8"/>
        <v>1.8779202000000004</v>
      </c>
      <c r="F45" s="77">
        <f t="shared" si="9"/>
        <v>3.9917842200000004</v>
      </c>
      <c r="G45" s="77">
        <f t="shared" si="10"/>
        <v>0.20079900000000006</v>
      </c>
      <c r="H45" s="77">
        <f t="shared" si="10"/>
        <v>0.77422500000000005</v>
      </c>
      <c r="I45" s="77">
        <f t="shared" si="10"/>
        <v>2.4075900000000004E-2</v>
      </c>
      <c r="J45" s="77">
        <f t="shared" si="10"/>
        <v>3.5964E-3</v>
      </c>
      <c r="K45" s="77">
        <f t="shared" si="10"/>
        <v>7.4925000000000018E-3</v>
      </c>
      <c r="L45" s="77">
        <f t="shared" si="10"/>
        <v>5.0949000000000008E-2</v>
      </c>
      <c r="M45" s="77">
        <f t="shared" si="10"/>
        <v>4.2957000000000009E-2</v>
      </c>
      <c r="N45" s="77">
        <f t="shared" si="10"/>
        <v>1298.7</v>
      </c>
      <c r="O45" s="77">
        <f t="shared" si="10"/>
        <v>310.68900000000002</v>
      </c>
      <c r="P45" s="77">
        <f t="shared" si="10"/>
        <v>0</v>
      </c>
      <c r="Q45" s="77">
        <f t="shared" si="11"/>
        <v>108.64125000000003</v>
      </c>
      <c r="R45" s="77">
        <f t="shared" si="12"/>
        <v>0</v>
      </c>
      <c r="S45" s="77">
        <f t="shared" si="12"/>
        <v>0.69030900000000006</v>
      </c>
      <c r="T45" s="77">
        <f t="shared" si="12"/>
        <v>0</v>
      </c>
      <c r="U45" s="77">
        <f t="shared" si="12"/>
        <v>0</v>
      </c>
      <c r="AB45" s="59"/>
      <c r="AC45" s="59"/>
      <c r="AD45" s="59"/>
      <c r="AE45" s="59"/>
      <c r="AF45" s="59"/>
      <c r="AG45" s="59"/>
      <c r="AH45" s="59"/>
      <c r="AI45" s="59"/>
    </row>
    <row r="46" spans="1:35" s="72" customFormat="1" ht="13" x14ac:dyDescent="0.35">
      <c r="A46" s="13" t="str">
        <f>R8</f>
        <v>Gwarcoed 19</v>
      </c>
      <c r="B46" s="15">
        <v>185</v>
      </c>
      <c r="C46" s="77">
        <f t="shared" si="6"/>
        <v>173.82599999999999</v>
      </c>
      <c r="D46" s="77">
        <f t="shared" si="7"/>
        <v>54.929016000000004</v>
      </c>
      <c r="E46" s="77">
        <f t="shared" si="8"/>
        <v>1.8779202000000004</v>
      </c>
      <c r="F46" s="77">
        <f t="shared" si="9"/>
        <v>3.9917842200000004</v>
      </c>
      <c r="G46" s="77">
        <f t="shared" si="10"/>
        <v>0.20079900000000006</v>
      </c>
      <c r="H46" s="77">
        <f t="shared" si="10"/>
        <v>0.77422500000000005</v>
      </c>
      <c r="I46" s="77">
        <f t="shared" si="10"/>
        <v>2.4075900000000004E-2</v>
      </c>
      <c r="J46" s="77">
        <f t="shared" si="10"/>
        <v>3.5964E-3</v>
      </c>
      <c r="K46" s="77">
        <f t="shared" si="10"/>
        <v>7.4925000000000018E-3</v>
      </c>
      <c r="L46" s="77">
        <f t="shared" si="10"/>
        <v>5.0949000000000008E-2</v>
      </c>
      <c r="M46" s="77">
        <f t="shared" si="10"/>
        <v>4.2957000000000009E-2</v>
      </c>
      <c r="N46" s="77">
        <f t="shared" si="10"/>
        <v>1298.7</v>
      </c>
      <c r="O46" s="77">
        <f t="shared" si="10"/>
        <v>310.68900000000002</v>
      </c>
      <c r="P46" s="77">
        <f t="shared" si="10"/>
        <v>0</v>
      </c>
      <c r="Q46" s="77">
        <f t="shared" si="11"/>
        <v>108.64125000000003</v>
      </c>
      <c r="R46" s="77">
        <f t="shared" si="12"/>
        <v>0</v>
      </c>
      <c r="S46" s="77">
        <f t="shared" si="12"/>
        <v>0.69030900000000006</v>
      </c>
      <c r="T46" s="77">
        <f t="shared" si="12"/>
        <v>0</v>
      </c>
      <c r="U46" s="77">
        <f t="shared" si="12"/>
        <v>0</v>
      </c>
      <c r="AB46" s="59"/>
      <c r="AC46" s="59"/>
      <c r="AD46" s="59"/>
      <c r="AE46" s="59"/>
      <c r="AF46" s="59"/>
      <c r="AG46" s="59"/>
      <c r="AH46" s="59"/>
      <c r="AI46" s="59"/>
    </row>
    <row r="47" spans="1:35" s="72" customFormat="1" ht="13" x14ac:dyDescent="0.35">
      <c r="A47" s="13" t="str">
        <f>S8</f>
        <v>Gwarcoed 22</v>
      </c>
      <c r="B47" s="15">
        <v>185</v>
      </c>
      <c r="C47" s="77">
        <f t="shared" si="6"/>
        <v>173.82599999999999</v>
      </c>
      <c r="D47" s="77">
        <f t="shared" si="7"/>
        <v>54.929016000000004</v>
      </c>
      <c r="E47" s="77">
        <f t="shared" si="8"/>
        <v>1.8779202000000004</v>
      </c>
      <c r="F47" s="77">
        <f t="shared" si="9"/>
        <v>3.9917842200000004</v>
      </c>
      <c r="G47" s="77">
        <f t="shared" si="10"/>
        <v>0.20079900000000006</v>
      </c>
      <c r="H47" s="77">
        <f t="shared" si="10"/>
        <v>0.77422500000000005</v>
      </c>
      <c r="I47" s="77">
        <f t="shared" si="10"/>
        <v>2.4075900000000004E-2</v>
      </c>
      <c r="J47" s="77">
        <f t="shared" si="10"/>
        <v>3.5964E-3</v>
      </c>
      <c r="K47" s="77">
        <f t="shared" si="10"/>
        <v>7.4925000000000018E-3</v>
      </c>
      <c r="L47" s="77">
        <f t="shared" si="10"/>
        <v>5.0949000000000008E-2</v>
      </c>
      <c r="M47" s="77">
        <f t="shared" si="10"/>
        <v>4.2957000000000009E-2</v>
      </c>
      <c r="N47" s="77">
        <f t="shared" si="10"/>
        <v>1298.7</v>
      </c>
      <c r="O47" s="77">
        <f t="shared" si="10"/>
        <v>310.68900000000002</v>
      </c>
      <c r="P47" s="77">
        <f t="shared" si="10"/>
        <v>0</v>
      </c>
      <c r="Q47" s="77">
        <f t="shared" si="11"/>
        <v>108.64125000000003</v>
      </c>
      <c r="R47" s="77">
        <f t="shared" si="12"/>
        <v>0</v>
      </c>
      <c r="S47" s="77">
        <f t="shared" si="12"/>
        <v>0.69030900000000006</v>
      </c>
      <c r="T47" s="77">
        <f t="shared" si="12"/>
        <v>0</v>
      </c>
      <c r="U47" s="77">
        <f t="shared" si="12"/>
        <v>0</v>
      </c>
      <c r="AB47" s="59"/>
      <c r="AC47" s="59"/>
      <c r="AD47" s="59"/>
      <c r="AE47" s="59"/>
      <c r="AF47" s="59"/>
      <c r="AG47" s="59"/>
      <c r="AH47" s="59"/>
      <c r="AI47" s="59"/>
    </row>
    <row r="48" spans="1:35" s="72" customFormat="1" ht="13" x14ac:dyDescent="0.35">
      <c r="A48" s="13" t="str">
        <f>T8</f>
        <v>Gwarcoed 23</v>
      </c>
      <c r="B48" s="15">
        <v>185</v>
      </c>
      <c r="C48" s="77">
        <f t="shared" si="6"/>
        <v>173.82599999999999</v>
      </c>
      <c r="D48" s="77">
        <f t="shared" si="7"/>
        <v>54.929016000000004</v>
      </c>
      <c r="E48" s="77">
        <f t="shared" si="8"/>
        <v>1.8779202000000004</v>
      </c>
      <c r="F48" s="77">
        <f t="shared" si="9"/>
        <v>3.9917842200000004</v>
      </c>
      <c r="G48" s="77">
        <f t="shared" si="10"/>
        <v>0.20079900000000006</v>
      </c>
      <c r="H48" s="77">
        <f t="shared" si="10"/>
        <v>0.77422500000000005</v>
      </c>
      <c r="I48" s="77">
        <f t="shared" si="10"/>
        <v>2.4075900000000004E-2</v>
      </c>
      <c r="J48" s="77">
        <f t="shared" si="10"/>
        <v>3.5964E-3</v>
      </c>
      <c r="K48" s="77">
        <f t="shared" si="10"/>
        <v>7.4925000000000018E-3</v>
      </c>
      <c r="L48" s="77">
        <f t="shared" si="10"/>
        <v>5.0949000000000008E-2</v>
      </c>
      <c r="M48" s="77">
        <f t="shared" si="10"/>
        <v>4.2957000000000009E-2</v>
      </c>
      <c r="N48" s="77">
        <f t="shared" si="10"/>
        <v>1298.7</v>
      </c>
      <c r="O48" s="77">
        <f t="shared" si="10"/>
        <v>310.68900000000002</v>
      </c>
      <c r="P48" s="77">
        <f t="shared" si="10"/>
        <v>0</v>
      </c>
      <c r="Q48" s="77">
        <f t="shared" si="11"/>
        <v>108.64125000000003</v>
      </c>
      <c r="R48" s="77">
        <f t="shared" si="12"/>
        <v>0</v>
      </c>
      <c r="S48" s="77">
        <f t="shared" si="12"/>
        <v>0.69030900000000006</v>
      </c>
      <c r="T48" s="77">
        <f t="shared" si="12"/>
        <v>0</v>
      </c>
      <c r="U48" s="77">
        <f t="shared" si="12"/>
        <v>0</v>
      </c>
      <c r="AB48" s="59"/>
      <c r="AC48" s="59"/>
      <c r="AD48" s="59"/>
      <c r="AE48" s="59"/>
      <c r="AF48" s="59"/>
      <c r="AG48" s="59"/>
      <c r="AH48" s="59"/>
      <c r="AI48" s="59"/>
    </row>
    <row r="49" spans="1:35" s="72" customFormat="1" ht="13" x14ac:dyDescent="0.35">
      <c r="A49" s="13" t="str">
        <f>U8</f>
        <v>Gwarcoed 24</v>
      </c>
      <c r="B49" s="15">
        <v>185</v>
      </c>
      <c r="C49" s="77">
        <f t="shared" si="6"/>
        <v>173.82599999999999</v>
      </c>
      <c r="D49" s="77">
        <f t="shared" si="7"/>
        <v>54.929016000000004</v>
      </c>
      <c r="E49" s="77">
        <f t="shared" si="8"/>
        <v>1.8779202000000004</v>
      </c>
      <c r="F49" s="77">
        <f t="shared" si="9"/>
        <v>3.9917842200000004</v>
      </c>
      <c r="G49" s="77">
        <f t="shared" si="10"/>
        <v>0.20079900000000006</v>
      </c>
      <c r="H49" s="77">
        <f t="shared" si="10"/>
        <v>0.77422500000000005</v>
      </c>
      <c r="I49" s="77">
        <f t="shared" si="10"/>
        <v>2.4075900000000004E-2</v>
      </c>
      <c r="J49" s="77">
        <f t="shared" si="10"/>
        <v>3.5964E-3</v>
      </c>
      <c r="K49" s="77">
        <f t="shared" si="10"/>
        <v>7.4925000000000018E-3</v>
      </c>
      <c r="L49" s="77">
        <f t="shared" si="10"/>
        <v>5.0949000000000008E-2</v>
      </c>
      <c r="M49" s="77">
        <f t="shared" si="10"/>
        <v>4.2957000000000009E-2</v>
      </c>
      <c r="N49" s="77">
        <f t="shared" si="10"/>
        <v>1298.7</v>
      </c>
      <c r="O49" s="77">
        <f t="shared" si="10"/>
        <v>310.68900000000002</v>
      </c>
      <c r="P49" s="77">
        <f t="shared" si="10"/>
        <v>0</v>
      </c>
      <c r="Q49" s="77">
        <f t="shared" si="11"/>
        <v>108.64125000000003</v>
      </c>
      <c r="R49" s="77">
        <f t="shared" si="12"/>
        <v>0</v>
      </c>
      <c r="S49" s="77">
        <f t="shared" si="12"/>
        <v>0.69030900000000006</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"&amp;(VLOOKUP(C14,Table24[],6,FALSE))</f>
        <v xml:space="preserve"> I Grass</v>
      </c>
      <c r="C58" s="13" t="str">
        <f>D16&amp;" I "&amp;(VLOOKUP(D14,Table24[],6,FALSE))</f>
        <v xml:space="preserve"> I Grass</v>
      </c>
      <c r="D58" s="13" t="str">
        <f>E16&amp;" I "&amp;(VLOOKUP(E14,Table24[],6,FALSE))</f>
        <v xml:space="preserve"> I Grass</v>
      </c>
      <c r="E58" s="13" t="str">
        <f>F16&amp;" I "&amp;(VLOOKUP(F14,Table24[],6,FALSE))</f>
        <v xml:space="preserve"> I Grass</v>
      </c>
      <c r="F58" s="13" t="str">
        <f>G16&amp;" I "&amp;(VLOOKUP(G14,Table24[],6,FALSE))</f>
        <v xml:space="preserve"> I Grass</v>
      </c>
      <c r="G58" s="13" t="str">
        <f>H16&amp;" I "&amp;(VLOOKUP(H14,Table24[],6,FALSE))</f>
        <v xml:space="preserve"> I Grass</v>
      </c>
      <c r="H58" s="13" t="str">
        <f>I16&amp;" I "&amp;(VLOOKUP(I14,Table24[],6,FALSE))</f>
        <v xml:space="preserve"> I Arable</v>
      </c>
      <c r="I58" s="13" t="str">
        <f>J16&amp;" I "&amp;(VLOOKUP(J14,Table24[],6,FALSE))</f>
        <v xml:space="preserve"> I Grass</v>
      </c>
      <c r="J58" s="13" t="str">
        <f>K16&amp;" I "&amp;(VLOOKUP(K14,Table24[],6,FALSE))</f>
        <v xml:space="preserve"> I Grass</v>
      </c>
      <c r="K58" s="13" t="str">
        <f>L16&amp;" I "&amp;(VLOOKUP(L14,Table24[],6,FALSE))</f>
        <v xml:space="preserve"> I Grass</v>
      </c>
      <c r="L58" s="13" t="str">
        <f>M16&amp;" I "&amp;(VLOOKUP(M14,Table24[],6,FALSE))</f>
        <v xml:space="preserve"> I Grass</v>
      </c>
      <c r="M58" s="13" t="str">
        <f>N16&amp;" I "&amp;(VLOOKUP(N14,Table24[],6,FALSE))</f>
        <v xml:space="preserve"> I Grass</v>
      </c>
      <c r="N58" s="13" t="str">
        <f>O16&amp;" I "&amp;(VLOOKUP(O14,Table24[],6,FALSE))</f>
        <v xml:space="preserve"> I Arable</v>
      </c>
      <c r="O58" s="13" t="str">
        <f>P16&amp;" I "&amp;(VLOOKUP(P14,Table24[],6,FALSE))</f>
        <v xml:space="preserve"> I Grass</v>
      </c>
      <c r="P58" s="13" t="str">
        <f>Q16&amp;" I "&amp;(VLOOKUP(Q14,Table24[],6,FALSE))</f>
        <v xml:space="preserve"> I Grass</v>
      </c>
      <c r="Q58" s="13" t="str">
        <f>R16&amp;" I "&amp;(VLOOKUP(R14,Table24[],6,FALSE))</f>
        <v xml:space="preserve"> I Grass</v>
      </c>
      <c r="R58" s="13" t="str">
        <f>S16&amp;" I "&amp;(VLOOKUP(S14,Table24[],6,FALSE))</f>
        <v xml:space="preserve"> I Grass</v>
      </c>
      <c r="S58" s="13" t="str">
        <f>T16&amp;" I "&amp;(VLOOKUP(T14,Table24[],6,FALSE))</f>
        <v xml:space="preserve"> I Grass</v>
      </c>
      <c r="T58" s="13" t="str">
        <f>U16&amp;" I "&amp;(VLOOKUP(U14,Table24[],6,FALSE))</f>
        <v xml:space="preserve"> I Grass</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6.7</v>
      </c>
      <c r="I59" s="76">
        <f>VLOOKUP(J$14,Table24[],5,FALSE)</f>
        <v>6.2</v>
      </c>
      <c r="J59" s="76">
        <f>VLOOKUP(K$14,Table24[],5,FALSE)</f>
        <v>6.2</v>
      </c>
      <c r="K59" s="76">
        <f>VLOOKUP(L$14,Table24[],5,FALSE)</f>
        <v>6.2</v>
      </c>
      <c r="L59" s="76">
        <f>VLOOKUP(M$14,Table24[],5,FALSE)</f>
        <v>6.2</v>
      </c>
      <c r="M59" s="76">
        <f>VLOOKUP(N$14,Table24[],5,FALSE)</f>
        <v>6.2</v>
      </c>
      <c r="N59" s="76">
        <f>VLOOKUP(O$14,Table24[],5,FALSE)</f>
        <v>6.7</v>
      </c>
      <c r="O59" s="76">
        <f>VLOOKUP(P$14,Table24[],5,FALSE)</f>
        <v>6.2</v>
      </c>
      <c r="P59" s="76">
        <f>VLOOKUP(Q$14,Table24[],5,FALSE)</f>
        <v>6.2</v>
      </c>
      <c r="Q59" s="76">
        <f>VLOOKUP(R$14,Table24[],5,FALSE)</f>
        <v>6.2</v>
      </c>
      <c r="R59" s="76">
        <f>VLOOKUP(S$14,Table24[],5,FALSE)</f>
        <v>6.2</v>
      </c>
      <c r="S59" s="76">
        <f>VLOOKUP(T$14,Table24[],5,FALSE)</f>
        <v>6.2</v>
      </c>
      <c r="T59" s="76">
        <f>VLOOKUP(U$14,Table24[],5,FALSE)</f>
        <v>6.2</v>
      </c>
      <c r="U59" s="76" t="e">
        <f>VLOOKUP(V$14,Table24[],5,FALSE)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185</v>
      </c>
      <c r="C62" s="77">
        <f>B32</f>
        <v>185</v>
      </c>
      <c r="D62" s="77">
        <f>B33</f>
        <v>185</v>
      </c>
      <c r="E62" s="77">
        <f>B34</f>
        <v>185</v>
      </c>
      <c r="F62" s="77">
        <f>B35</f>
        <v>185</v>
      </c>
      <c r="G62" s="77">
        <f>B36</f>
        <v>185</v>
      </c>
      <c r="H62" s="77">
        <f>B37</f>
        <v>150</v>
      </c>
      <c r="I62" s="77">
        <f>B38</f>
        <v>185</v>
      </c>
      <c r="J62" s="77">
        <f>B39</f>
        <v>185</v>
      </c>
      <c r="K62" s="77">
        <f>B40</f>
        <v>0</v>
      </c>
      <c r="L62" s="77">
        <f>B41</f>
        <v>185</v>
      </c>
      <c r="M62" s="77">
        <f>B42</f>
        <v>185</v>
      </c>
      <c r="N62" s="77">
        <f>B43</f>
        <v>150</v>
      </c>
      <c r="O62" s="77">
        <f>B44</f>
        <v>185</v>
      </c>
      <c r="P62" s="77">
        <f>B45</f>
        <v>185</v>
      </c>
      <c r="Q62" s="77">
        <f>B46</f>
        <v>185</v>
      </c>
      <c r="R62" s="77">
        <f>B47</f>
        <v>185</v>
      </c>
      <c r="S62" s="77">
        <f>B48</f>
        <v>185</v>
      </c>
      <c r="T62" s="77">
        <f>B49</f>
        <v>185</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77" priority="43" operator="equal">
      <formula>"DECREASE"</formula>
    </cfRule>
    <cfRule type="cellIs" dxfId="376" priority="44" operator="equal">
      <formula>"INCREASE"</formula>
    </cfRule>
  </conditionalFormatting>
  <conditionalFormatting sqref="B31:B50 B62:U66">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N24" zoomScale="90" zoomScaleNormal="90" workbookViewId="0">
      <selection activeCell="S46" sqref="S4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6.1</v>
      </c>
      <c r="J1" s="119" t="s">
        <v>153</v>
      </c>
      <c r="K1" s="119"/>
      <c r="L1" s="97">
        <v>133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187</v>
      </c>
      <c r="G2" s="138" t="s">
        <v>110</v>
      </c>
      <c r="H2" s="139"/>
      <c r="I2" s="118"/>
      <c r="J2" s="119" t="s">
        <v>158</v>
      </c>
      <c r="K2" s="119"/>
      <c r="L2" s="97">
        <v>0.7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1.9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188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32.617402290000001</v>
      </c>
      <c r="D18" s="16">
        <f>$D32</f>
        <v>32.617402290000001</v>
      </c>
      <c r="E18" s="16">
        <f>$D33</f>
        <v>32.617402290000001</v>
      </c>
      <c r="F18" s="16">
        <f>$D34</f>
        <v>32.617402290000001</v>
      </c>
      <c r="G18" s="16">
        <f>$D35</f>
        <v>32.617402290000001</v>
      </c>
      <c r="H18" s="16">
        <f>$D36</f>
        <v>32.617402290000001</v>
      </c>
      <c r="I18" s="16">
        <f>$D37</f>
        <v>32.617402290000001</v>
      </c>
      <c r="J18" s="16">
        <f>$D38</f>
        <v>32.617402290000001</v>
      </c>
      <c r="K18" s="16">
        <f>$D39</f>
        <v>32.617402290000001</v>
      </c>
      <c r="L18" s="16">
        <f>$D40</f>
        <v>32.617402290000001</v>
      </c>
      <c r="M18" s="16">
        <f>$D41</f>
        <v>32.617402290000001</v>
      </c>
      <c r="N18" s="16">
        <f>$D42</f>
        <v>32.617402290000001</v>
      </c>
      <c r="O18" s="16">
        <f>$D43</f>
        <v>32.617402290000001</v>
      </c>
      <c r="P18" s="16">
        <f>$D44</f>
        <v>32.617402290000001</v>
      </c>
      <c r="Q18" s="16">
        <f>$D45</f>
        <v>32.617402290000001</v>
      </c>
      <c r="R18" s="16">
        <f>$D46</f>
        <v>32.617402290000001</v>
      </c>
      <c r="S18" s="16">
        <f>$D47</f>
        <v>32.617402290000001</v>
      </c>
      <c r="T18" s="16">
        <f>$D48</f>
        <v>32.617402290000001</v>
      </c>
      <c r="U18" s="16">
        <f>$D49</f>
        <v>32.617402290000001</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-47.28259770999999</v>
      </c>
      <c r="D19" s="16">
        <f t="shared" ref="D19:V19" si="1">D18-D17</f>
        <v>-47.28259770999999</v>
      </c>
      <c r="E19" s="16">
        <f t="shared" si="1"/>
        <v>-47.28259770999999</v>
      </c>
      <c r="F19" s="16">
        <f t="shared" si="1"/>
        <v>-47.28259770999999</v>
      </c>
      <c r="G19" s="16">
        <f t="shared" si="1"/>
        <v>-47.28259770999999</v>
      </c>
      <c r="H19" s="16">
        <f t="shared" si="1"/>
        <v>-47.28259770999999</v>
      </c>
      <c r="I19" s="16">
        <f t="shared" si="1"/>
        <v>-179.88259771</v>
      </c>
      <c r="J19" s="16">
        <f t="shared" si="1"/>
        <v>-47.28259770999999</v>
      </c>
      <c r="K19" s="16">
        <f t="shared" si="1"/>
        <v>-47.28259770999999</v>
      </c>
      <c r="L19" s="16">
        <f t="shared" si="1"/>
        <v>-47.28259770999999</v>
      </c>
      <c r="M19" s="16">
        <f t="shared" si="1"/>
        <v>-47.28259770999999</v>
      </c>
      <c r="N19" s="16">
        <f t="shared" si="1"/>
        <v>-47.28259770999999</v>
      </c>
      <c r="O19" s="16">
        <f t="shared" si="1"/>
        <v>-179.88259771</v>
      </c>
      <c r="P19" s="16">
        <f t="shared" si="1"/>
        <v>-47.28259770999999</v>
      </c>
      <c r="Q19" s="16">
        <f t="shared" si="1"/>
        <v>-47.28259770999999</v>
      </c>
      <c r="R19" s="16">
        <f t="shared" si="1"/>
        <v>-47.28259770999999</v>
      </c>
      <c r="S19" s="16">
        <f t="shared" si="1"/>
        <v>-47.28259770999999</v>
      </c>
      <c r="T19" s="16">
        <f t="shared" si="1"/>
        <v>-47.28259770999999</v>
      </c>
      <c r="U19" s="16">
        <f t="shared" si="1"/>
        <v>-47.28259770999999</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1.6333274924999999</v>
      </c>
      <c r="D22" s="16">
        <f>$E32</f>
        <v>1.6333274924999999</v>
      </c>
      <c r="E22" s="16">
        <f>$E33</f>
        <v>1.6333274924999999</v>
      </c>
      <c r="F22" s="16">
        <f>$E34</f>
        <v>1.6333274924999999</v>
      </c>
      <c r="G22" s="16">
        <f>$E35</f>
        <v>1.6333274924999999</v>
      </c>
      <c r="H22" s="16">
        <f>$E36</f>
        <v>1.6333274924999999</v>
      </c>
      <c r="I22" s="16">
        <f>$E37</f>
        <v>1.6333274924999999</v>
      </c>
      <c r="J22" s="16">
        <f>$E38</f>
        <v>1.6333274924999999</v>
      </c>
      <c r="K22" s="16">
        <f>$E39</f>
        <v>1.6333274924999999</v>
      </c>
      <c r="L22" s="16">
        <f>$E40</f>
        <v>1.6333274924999999</v>
      </c>
      <c r="M22" s="16">
        <f>$E41</f>
        <v>1.6333274924999999</v>
      </c>
      <c r="N22" s="16">
        <f>$E42</f>
        <v>1.6333274924999999</v>
      </c>
      <c r="O22" s="16">
        <f>$E43</f>
        <v>1.6333274924999999</v>
      </c>
      <c r="P22" s="16">
        <f>$E44</f>
        <v>1.6333274924999999</v>
      </c>
      <c r="Q22" s="16">
        <f>$E45</f>
        <v>1.6333274924999999</v>
      </c>
      <c r="R22" s="16">
        <f>$E46</f>
        <v>1.6333274924999999</v>
      </c>
      <c r="S22" s="16">
        <f>$E47</f>
        <v>1.6333274924999999</v>
      </c>
      <c r="T22" s="16">
        <f>$E48</f>
        <v>1.6333274924999999</v>
      </c>
      <c r="U22" s="16">
        <f>$E49</f>
        <v>1.6333274924999999</v>
      </c>
      <c r="V22" s="16">
        <f>$E50</f>
        <v>0</v>
      </c>
      <c r="AI22" s="63" t="s">
        <v>102</v>
      </c>
      <c r="AJ22" s="64">
        <v>1.2</v>
      </c>
      <c r="AK22" s="65">
        <v>5</v>
      </c>
      <c r="AL22" s="29">
        <v>20</v>
      </c>
      <c r="AM22" s="11">
        <v>6.7</v>
      </c>
      <c r="AN22" s="11" t="s">
        <v>135</v>
      </c>
    </row>
    <row r="23" spans="1:40" ht="13" x14ac:dyDescent="0.25">
      <c r="A23" s="124" t="s">
        <v>92</v>
      </c>
      <c r="B23" s="125"/>
      <c r="C23" s="16">
        <f>C22-C21</f>
        <v>-280.36667250750003</v>
      </c>
      <c r="D23" s="16">
        <f t="shared" ref="D23:V23" si="3">D22-D21</f>
        <v>-280.36667250750003</v>
      </c>
      <c r="E23" s="16">
        <f t="shared" si="3"/>
        <v>-280.36667250750003</v>
      </c>
      <c r="F23" s="16">
        <f t="shared" si="3"/>
        <v>-280.36667250750003</v>
      </c>
      <c r="G23" s="16">
        <f t="shared" si="3"/>
        <v>-280.36667250750003</v>
      </c>
      <c r="H23" s="16">
        <f t="shared" si="3"/>
        <v>-280.36667250750003</v>
      </c>
      <c r="I23" s="16">
        <f t="shared" si="3"/>
        <v>-298.36667250750003</v>
      </c>
      <c r="J23" s="16">
        <f t="shared" si="3"/>
        <v>-280.36667250750003</v>
      </c>
      <c r="K23" s="16">
        <f t="shared" si="3"/>
        <v>-280.36667250750003</v>
      </c>
      <c r="L23" s="16">
        <f t="shared" si="3"/>
        <v>-280.36667250750003</v>
      </c>
      <c r="M23" s="16">
        <f t="shared" si="3"/>
        <v>-280.36667250750003</v>
      </c>
      <c r="N23" s="16">
        <f t="shared" si="3"/>
        <v>-280.36667250750003</v>
      </c>
      <c r="O23" s="16">
        <f t="shared" si="3"/>
        <v>-298.36667250750003</v>
      </c>
      <c r="P23" s="16">
        <f t="shared" si="3"/>
        <v>-280.36667250750003</v>
      </c>
      <c r="Q23" s="16">
        <f t="shared" si="3"/>
        <v>-280.36667250750003</v>
      </c>
      <c r="R23" s="16">
        <f t="shared" si="3"/>
        <v>-280.36667250750003</v>
      </c>
      <c r="S23" s="16">
        <f t="shared" si="3"/>
        <v>-280.36667250750003</v>
      </c>
      <c r="T23" s="16">
        <f t="shared" si="3"/>
        <v>-280.36667250750003</v>
      </c>
      <c r="U23" s="16">
        <f t="shared" si="3"/>
        <v>-280.36667250750003</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5.91</v>
      </c>
      <c r="C28" s="15">
        <v>0.7</v>
      </c>
      <c r="D28" s="15">
        <v>0.14599999999999999</v>
      </c>
      <c r="E28" s="15">
        <v>1.3899999999999999E-2</v>
      </c>
      <c r="F28" s="15">
        <v>312</v>
      </c>
      <c r="G28" s="15">
        <v>8.91</v>
      </c>
      <c r="H28" s="15">
        <v>208</v>
      </c>
      <c r="I28" s="15">
        <v>29.1</v>
      </c>
      <c r="J28" s="15">
        <v>0.34</v>
      </c>
      <c r="K28" s="23">
        <v>0.68</v>
      </c>
      <c r="L28" s="15">
        <v>23.5</v>
      </c>
      <c r="M28" s="15">
        <v>16</v>
      </c>
      <c r="N28" s="15">
        <v>2960</v>
      </c>
      <c r="O28" s="15">
        <v>404000</v>
      </c>
      <c r="P28" s="15"/>
      <c r="Q28" s="15">
        <v>4870</v>
      </c>
      <c r="R28" s="15"/>
      <c r="S28" s="15">
        <v>22.6</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165</v>
      </c>
      <c r="C31" s="77">
        <f>IF(C$27="%w/w SAR",((C$28*10)*$B31),IF(C$27="%w/w DM",(((C$28*10)*($B$28/100))*$B31),IF(C$27="kg/t SAR",(C$28*$B31),IF(C$27="kg/t DM",((C$28*($B$28/100))*$B31),IF(C$27="mg/kg SAR",((C$28*0.001)*$B31),IF(C$27="mg/kg DM",(((C$28*0.001)*($B$28/100))*$B31),0))))))</f>
        <v>68.260500000000008</v>
      </c>
      <c r="D31" s="77">
        <f>(IF(D$27="%w/w SAR",((D$28*10)*$B31),IF(D$27="%w/w DM",(((D$28*10)*($B$28/100))*$B31),IF(D$27="kg/t SAR",(D$28*$B31),IF(D$27="kg/t DM",((D$28*($B$28/100))*$B31),IF(D$27="mg/kg SAR",((D$28*0.001)*$B31),IF(D$27="mg/kg DM",(((D$28*0.001)*($B$28/100))*$B31),"0")))))))*2.291</f>
        <v>32.617402290000001</v>
      </c>
      <c r="E31" s="77">
        <f>(IF(E$27="%w/w SAR",((E$28*10)*$B31),IF(E$27="%w/w DM",(((E$28*10)*($B$28/100))*$B31),IF(E$27="kg/t SAR",(E$28*$B31),IF(E$27="kg/t DM",((E$28*($B$28/100))*$B31),IF(E$27="mg/kg SAR",((E$28*0.001)*$B31),IF(E$27="mg/kg DM",(((E$28*0.001)*($B$28/100))*$B31),"0")))))))*1.205</f>
        <v>1.6333274924999999</v>
      </c>
      <c r="F31" s="77">
        <f>(IF(F$27="%w/w SAR",((F$28*10)*$B31),IF(F$27="%w/w DM",(((F$28*10)*($B$28/100))*$B31),IF(F$27="kg/t SAR",(F$28*$B31),IF(F$27="kg/t DM",((F$28*($B$28/100))*$B31),IF(F$27="mg/kg SAR",((F$28*0.001)*$B31),IF(F$27="mg/kg DM",(((F$28*0.001)*($B$28/100))*$B31),"0")))))))*1.658</f>
        <v>5.0444119439999993</v>
      </c>
      <c r="G31" s="77">
        <f t="shared" ref="G31:P46" si="5">IF(G$27="%w/w SAR",((G$28*10)*$B31),IF(G$27="%w/w DM",(((G$28*10)*($B$28/100))*$B31),IF(G$27="kg/t SAR",(G$28*$B31),IF(G$27="kg/t DM",((G$28*($B$28/100))*$B31),IF(G$27="mg/kg SAR",((G$28*0.001)*$B31),IF(G$27="mg/kg DM",(((G$28*0.001)*($B$28/100))*$B31),0))))))</f>
        <v>8.6885864999999993E-2</v>
      </c>
      <c r="H31" s="77">
        <f t="shared" si="5"/>
        <v>2.0283120000000001</v>
      </c>
      <c r="I31" s="77">
        <f t="shared" si="5"/>
        <v>0.28376865000000001</v>
      </c>
      <c r="J31" s="77">
        <f t="shared" si="5"/>
        <v>3.3155100000000002E-3</v>
      </c>
      <c r="K31" s="77">
        <f t="shared" si="5"/>
        <v>6.6310200000000005E-3</v>
      </c>
      <c r="L31" s="77">
        <f t="shared" si="5"/>
        <v>0.22916025000000001</v>
      </c>
      <c r="M31" s="77">
        <f t="shared" si="5"/>
        <v>0.156024</v>
      </c>
      <c r="N31" s="77">
        <f t="shared" si="5"/>
        <v>28.864440000000002</v>
      </c>
      <c r="O31" s="77">
        <f t="shared" si="5"/>
        <v>3939.6060000000002</v>
      </c>
      <c r="P31" s="77">
        <f t="shared" si="5"/>
        <v>0</v>
      </c>
      <c r="Q31" s="77">
        <f>(IF(Q$27="%w/w SAR",((Q$28*10)*$B31),IF(Q$27="%w/w DM",(((Q$28*10)*($B$28/100))*$B31),IF(Q$27="kg/t SAR",(Q$28*$B31),IF(Q$27="kg/t DM",((Q$28*($B$28/100))*$B31),IF(Q$27="mg/kg SAR",((Q$28*0.001)*$B31),IF(Q$27="mg/kg DM",(((Q$28*0.001)*($B$28/100))*$B31),0)))))))*2.5</f>
        <v>118.72451249999999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0.22038389999999999</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165</v>
      </c>
      <c r="C32" s="77">
        <f t="shared" ref="C32:C50" si="6">IF(C$27="%w/w SAR",((C$28*10)*$B32),IF(C$27="%w/w DM",(((C$28*10)*($B$28/100))*$B32),IF(C$27="kg/t SAR",(C$28*$B32),IF(C$27="kg/t DM",((C$28*($B$28/100))*$B32),IF(C$27="mg/kg SAR",((C$28*0.001)*$B32),IF(C$27="mg/kg DM",(((C$28*0.001)*($B$28/100))*$B32),0))))))</f>
        <v>68.260500000000008</v>
      </c>
      <c r="D32" s="77">
        <f t="shared" ref="D32:D50" si="7">(IF(D$27="%w/w SAR",((D$28*10)*$B32),IF(D$27="%w/w DM",(((D$28*10)*($B$28/100))*$B32),IF(D$27="kg/t SAR",(D$28*$B32),IF(D$27="kg/t DM",((D$28*($B$28/100))*$B32),IF(D$27="mg/kg SAR",((D$28*0.001)*$B32),IF(D$27="mg/kg DM",(((D$28*0.001)*($B$28/100))*$B32),"0")))))))*2.291</f>
        <v>32.617402290000001</v>
      </c>
      <c r="E32" s="77">
        <f t="shared" ref="E32:E50" si="8">(IF(E$27="%w/w SAR",((E$28*10)*$B32),IF(E$27="%w/w DM",(((E$28*10)*($B$28/100))*$B32),IF(E$27="kg/t SAR",(E$28*$B32),IF(E$27="kg/t DM",((E$28*($B$28/100))*$B32),IF(E$27="mg/kg SAR",((E$28*0.001)*$B32),IF(E$27="mg/kg DM",(((E$28*0.001)*($B$28/100))*$B32),"0")))))))*1.205</f>
        <v>1.6333274924999999</v>
      </c>
      <c r="F32" s="77">
        <f t="shared" ref="F32:F50" si="9">(IF(F$27="%w/w SAR",((F$28*10)*$B32),IF(F$27="%w/w DM",(((F$28*10)*($B$28/100))*$B32),IF(F$27="kg/t SAR",(F$28*$B32),IF(F$27="kg/t DM",((F$28*($B$28/100))*$B32),IF(F$27="mg/kg SAR",((F$28*0.001)*$B32),IF(F$27="mg/kg DM",(((F$28*0.001)*($B$28/100))*$B32),"0")))))))*1.658</f>
        <v>5.0444119439999993</v>
      </c>
      <c r="G32" s="77">
        <f t="shared" si="5"/>
        <v>8.6885864999999993E-2</v>
      </c>
      <c r="H32" s="77">
        <f t="shared" si="5"/>
        <v>2.0283120000000001</v>
      </c>
      <c r="I32" s="77">
        <f t="shared" si="5"/>
        <v>0.28376865000000001</v>
      </c>
      <c r="J32" s="77">
        <f t="shared" si="5"/>
        <v>3.3155100000000002E-3</v>
      </c>
      <c r="K32" s="77">
        <f t="shared" si="5"/>
        <v>6.6310200000000005E-3</v>
      </c>
      <c r="L32" s="77">
        <f t="shared" si="5"/>
        <v>0.22916025000000001</v>
      </c>
      <c r="M32" s="77">
        <f t="shared" si="5"/>
        <v>0.156024</v>
      </c>
      <c r="N32" s="77">
        <f t="shared" si="5"/>
        <v>28.864440000000002</v>
      </c>
      <c r="O32" s="77">
        <f t="shared" si="5"/>
        <v>3939.6060000000002</v>
      </c>
      <c r="P32" s="77">
        <f t="shared" si="5"/>
        <v>0</v>
      </c>
      <c r="Q32" s="77">
        <f t="shared" ref="Q32:Q50" si="10">(IF(Q$27="%w/w SAR",((Q$28*10)*$B32),IF(Q$27="%w/w DM",(((Q$28*10)*($B$28/100))*$B32),IF(Q$27="kg/t SAR",(Q$28*$B32),IF(Q$27="kg/t DM",((Q$28*($B$28/100))*$B32),IF(Q$27="mg/kg SAR",((Q$28*0.001)*$B32),IF(Q$27="mg/kg DM",(((Q$28*0.001)*($B$28/100))*$B32),0)))))))*2.5</f>
        <v>118.72451249999999</v>
      </c>
      <c r="R32" s="77">
        <f t="shared" ref="R32:U50" si="11">IF(R$27="%w/w SAR",((R$28*10)*$B32),IF(R$27="%w/w DM",(((R$28*10)*($B$28/100))*$B32),IF(R$27="kg/t SAR",(R$28*$B32),IF(R$27="kg/t DM",((R$28*($B$28/100))*$B32),IF(R$27="mg/kg SAR",((R$28*0.001)*$B32),IF(R$27="mg/kg DM",(((R$28*0.001)*($B$28/100))*$B32),0))))))</f>
        <v>0</v>
      </c>
      <c r="S32" s="77">
        <f t="shared" si="11"/>
        <v>0.22038389999999999</v>
      </c>
      <c r="T32" s="77">
        <f t="shared" si="11"/>
        <v>0</v>
      </c>
      <c r="U32" s="77">
        <f t="shared" si="11"/>
        <v>0</v>
      </c>
      <c r="AB32" s="59"/>
      <c r="AC32" s="59"/>
      <c r="AD32" s="59"/>
      <c r="AE32" s="59"/>
      <c r="AF32" s="59"/>
      <c r="AG32" s="59"/>
      <c r="AH32" s="59"/>
      <c r="AI32" s="59"/>
    </row>
    <row r="33" spans="1:35" s="72" customFormat="1" ht="13" x14ac:dyDescent="0.35">
      <c r="A33" s="13" t="str">
        <f>E8</f>
        <v>Woodstock 3</v>
      </c>
      <c r="B33" s="15">
        <v>165</v>
      </c>
      <c r="C33" s="77">
        <f t="shared" si="6"/>
        <v>68.260500000000008</v>
      </c>
      <c r="D33" s="77">
        <f t="shared" si="7"/>
        <v>32.617402290000001</v>
      </c>
      <c r="E33" s="77">
        <f t="shared" si="8"/>
        <v>1.6333274924999999</v>
      </c>
      <c r="F33" s="77">
        <f t="shared" si="9"/>
        <v>5.0444119439999993</v>
      </c>
      <c r="G33" s="77">
        <f t="shared" si="5"/>
        <v>8.6885864999999993E-2</v>
      </c>
      <c r="H33" s="77">
        <f t="shared" si="5"/>
        <v>2.0283120000000001</v>
      </c>
      <c r="I33" s="77">
        <f t="shared" si="5"/>
        <v>0.28376865000000001</v>
      </c>
      <c r="J33" s="77">
        <f t="shared" si="5"/>
        <v>3.3155100000000002E-3</v>
      </c>
      <c r="K33" s="77">
        <f t="shared" si="5"/>
        <v>6.6310200000000005E-3</v>
      </c>
      <c r="L33" s="77">
        <f t="shared" si="5"/>
        <v>0.22916025000000001</v>
      </c>
      <c r="M33" s="77">
        <f t="shared" si="5"/>
        <v>0.156024</v>
      </c>
      <c r="N33" s="77">
        <f t="shared" si="5"/>
        <v>28.864440000000002</v>
      </c>
      <c r="O33" s="77">
        <f t="shared" si="5"/>
        <v>3939.6060000000002</v>
      </c>
      <c r="P33" s="77">
        <f t="shared" si="5"/>
        <v>0</v>
      </c>
      <c r="Q33" s="77">
        <f t="shared" si="10"/>
        <v>118.72451249999999</v>
      </c>
      <c r="R33" s="77">
        <f t="shared" si="11"/>
        <v>0</v>
      </c>
      <c r="S33" s="77">
        <f t="shared" si="11"/>
        <v>0.22038389999999999</v>
      </c>
      <c r="T33" s="77">
        <f t="shared" si="11"/>
        <v>0</v>
      </c>
      <c r="U33" s="77">
        <f t="shared" si="11"/>
        <v>0</v>
      </c>
      <c r="AB33" s="59"/>
      <c r="AC33" s="59"/>
      <c r="AD33" s="59"/>
      <c r="AE33" s="59"/>
      <c r="AF33" s="59"/>
      <c r="AG33" s="59"/>
      <c r="AH33" s="59"/>
      <c r="AI33" s="59"/>
    </row>
    <row r="34" spans="1:35" s="72" customFormat="1" ht="13" x14ac:dyDescent="0.35">
      <c r="A34" s="13" t="str">
        <f>F8</f>
        <v>Woodstock 4</v>
      </c>
      <c r="B34" s="15">
        <v>165</v>
      </c>
      <c r="C34" s="77">
        <f t="shared" si="6"/>
        <v>68.260500000000008</v>
      </c>
      <c r="D34" s="77">
        <f t="shared" si="7"/>
        <v>32.617402290000001</v>
      </c>
      <c r="E34" s="77">
        <f t="shared" si="8"/>
        <v>1.6333274924999999</v>
      </c>
      <c r="F34" s="77">
        <f t="shared" si="9"/>
        <v>5.0444119439999993</v>
      </c>
      <c r="G34" s="77">
        <f t="shared" si="5"/>
        <v>8.6885864999999993E-2</v>
      </c>
      <c r="H34" s="77">
        <f t="shared" si="5"/>
        <v>2.0283120000000001</v>
      </c>
      <c r="I34" s="77">
        <f t="shared" si="5"/>
        <v>0.28376865000000001</v>
      </c>
      <c r="J34" s="77">
        <f t="shared" si="5"/>
        <v>3.3155100000000002E-3</v>
      </c>
      <c r="K34" s="77">
        <f t="shared" si="5"/>
        <v>6.6310200000000005E-3</v>
      </c>
      <c r="L34" s="77">
        <f t="shared" si="5"/>
        <v>0.22916025000000001</v>
      </c>
      <c r="M34" s="77">
        <f t="shared" si="5"/>
        <v>0.156024</v>
      </c>
      <c r="N34" s="77">
        <f t="shared" si="5"/>
        <v>28.864440000000002</v>
      </c>
      <c r="O34" s="77">
        <f t="shared" si="5"/>
        <v>3939.6060000000002</v>
      </c>
      <c r="P34" s="77">
        <f t="shared" si="5"/>
        <v>0</v>
      </c>
      <c r="Q34" s="77">
        <f t="shared" si="10"/>
        <v>118.72451249999999</v>
      </c>
      <c r="R34" s="77">
        <f t="shared" si="11"/>
        <v>0</v>
      </c>
      <c r="S34" s="77">
        <f t="shared" si="11"/>
        <v>0.22038389999999999</v>
      </c>
      <c r="T34" s="77">
        <f t="shared" si="11"/>
        <v>0</v>
      </c>
      <c r="U34" s="77">
        <f t="shared" si="11"/>
        <v>0</v>
      </c>
      <c r="AB34" s="59"/>
      <c r="AC34" s="59"/>
      <c r="AD34" s="59"/>
      <c r="AE34" s="59"/>
      <c r="AF34" s="59"/>
      <c r="AG34" s="59"/>
      <c r="AH34" s="59"/>
      <c r="AI34" s="59"/>
    </row>
    <row r="35" spans="1:35" s="72" customFormat="1" ht="13" x14ac:dyDescent="0.35">
      <c r="A35" s="13" t="str">
        <f>G8</f>
        <v>Woodstock 5</v>
      </c>
      <c r="B35" s="15">
        <v>165</v>
      </c>
      <c r="C35" s="77">
        <f t="shared" si="6"/>
        <v>68.260500000000008</v>
      </c>
      <c r="D35" s="77">
        <f t="shared" si="7"/>
        <v>32.617402290000001</v>
      </c>
      <c r="E35" s="77">
        <f t="shared" si="8"/>
        <v>1.6333274924999999</v>
      </c>
      <c r="F35" s="77">
        <f t="shared" si="9"/>
        <v>5.0444119439999993</v>
      </c>
      <c r="G35" s="77">
        <f t="shared" si="5"/>
        <v>8.6885864999999993E-2</v>
      </c>
      <c r="H35" s="77">
        <f t="shared" si="5"/>
        <v>2.0283120000000001</v>
      </c>
      <c r="I35" s="77">
        <f t="shared" si="5"/>
        <v>0.28376865000000001</v>
      </c>
      <c r="J35" s="77">
        <f t="shared" si="5"/>
        <v>3.3155100000000002E-3</v>
      </c>
      <c r="K35" s="77">
        <f t="shared" si="5"/>
        <v>6.6310200000000005E-3</v>
      </c>
      <c r="L35" s="77">
        <f t="shared" si="5"/>
        <v>0.22916025000000001</v>
      </c>
      <c r="M35" s="77">
        <f t="shared" si="5"/>
        <v>0.156024</v>
      </c>
      <c r="N35" s="77">
        <f t="shared" si="5"/>
        <v>28.864440000000002</v>
      </c>
      <c r="O35" s="77">
        <f t="shared" si="5"/>
        <v>3939.6060000000002</v>
      </c>
      <c r="P35" s="77">
        <f t="shared" si="5"/>
        <v>0</v>
      </c>
      <c r="Q35" s="77">
        <f t="shared" si="10"/>
        <v>118.72451249999999</v>
      </c>
      <c r="R35" s="77">
        <f t="shared" si="11"/>
        <v>0</v>
      </c>
      <c r="S35" s="77">
        <f t="shared" si="11"/>
        <v>0.22038389999999999</v>
      </c>
      <c r="T35" s="77">
        <f t="shared" si="11"/>
        <v>0</v>
      </c>
      <c r="U35" s="77">
        <f t="shared" si="11"/>
        <v>0</v>
      </c>
      <c r="AB35" s="59"/>
      <c r="AC35" s="59"/>
      <c r="AD35" s="59"/>
      <c r="AE35" s="59"/>
      <c r="AF35" s="59"/>
      <c r="AG35" s="59"/>
      <c r="AH35" s="59"/>
      <c r="AI35" s="59"/>
    </row>
    <row r="36" spans="1:35" s="72" customFormat="1" ht="13" x14ac:dyDescent="0.35">
      <c r="A36" s="13" t="str">
        <f>H8</f>
        <v>Woodstock 6</v>
      </c>
      <c r="B36" s="15">
        <v>165</v>
      </c>
      <c r="C36" s="77">
        <f t="shared" si="6"/>
        <v>68.260500000000008</v>
      </c>
      <c r="D36" s="77">
        <f t="shared" si="7"/>
        <v>32.617402290000001</v>
      </c>
      <c r="E36" s="77">
        <f t="shared" si="8"/>
        <v>1.6333274924999999</v>
      </c>
      <c r="F36" s="77">
        <f t="shared" si="9"/>
        <v>5.0444119439999993</v>
      </c>
      <c r="G36" s="77">
        <f t="shared" si="5"/>
        <v>8.6885864999999993E-2</v>
      </c>
      <c r="H36" s="77">
        <f t="shared" si="5"/>
        <v>2.0283120000000001</v>
      </c>
      <c r="I36" s="77">
        <f t="shared" si="5"/>
        <v>0.28376865000000001</v>
      </c>
      <c r="J36" s="77">
        <f t="shared" si="5"/>
        <v>3.3155100000000002E-3</v>
      </c>
      <c r="K36" s="77">
        <f t="shared" si="5"/>
        <v>6.6310200000000005E-3</v>
      </c>
      <c r="L36" s="77">
        <f t="shared" si="5"/>
        <v>0.22916025000000001</v>
      </c>
      <c r="M36" s="77">
        <f t="shared" si="5"/>
        <v>0.156024</v>
      </c>
      <c r="N36" s="77">
        <f t="shared" si="5"/>
        <v>28.864440000000002</v>
      </c>
      <c r="O36" s="77">
        <f t="shared" si="5"/>
        <v>3939.6060000000002</v>
      </c>
      <c r="P36" s="77">
        <f t="shared" si="5"/>
        <v>0</v>
      </c>
      <c r="Q36" s="77">
        <f t="shared" si="10"/>
        <v>118.72451249999999</v>
      </c>
      <c r="R36" s="77">
        <f t="shared" si="11"/>
        <v>0</v>
      </c>
      <c r="S36" s="77">
        <f t="shared" si="11"/>
        <v>0.22038389999999999</v>
      </c>
      <c r="T36" s="77">
        <f t="shared" si="11"/>
        <v>0</v>
      </c>
      <c r="U36" s="77">
        <f t="shared" si="11"/>
        <v>0</v>
      </c>
      <c r="AB36" s="59"/>
      <c r="AC36" s="59"/>
      <c r="AD36" s="59"/>
      <c r="AE36" s="59"/>
      <c r="AF36" s="59"/>
      <c r="AG36" s="59"/>
      <c r="AH36" s="59"/>
      <c r="AI36" s="59"/>
    </row>
    <row r="37" spans="1:35" s="72" customFormat="1" ht="13" x14ac:dyDescent="0.35">
      <c r="A37" s="13" t="str">
        <f>I8</f>
        <v>Woodstock 7</v>
      </c>
      <c r="B37" s="15">
        <v>165</v>
      </c>
      <c r="C37" s="77">
        <f t="shared" si="6"/>
        <v>68.260500000000008</v>
      </c>
      <c r="D37" s="77">
        <f t="shared" si="7"/>
        <v>32.617402290000001</v>
      </c>
      <c r="E37" s="77">
        <f t="shared" si="8"/>
        <v>1.6333274924999999</v>
      </c>
      <c r="F37" s="77">
        <f t="shared" si="9"/>
        <v>5.0444119439999993</v>
      </c>
      <c r="G37" s="77">
        <f t="shared" si="5"/>
        <v>8.6885864999999993E-2</v>
      </c>
      <c r="H37" s="77">
        <f t="shared" si="5"/>
        <v>2.0283120000000001</v>
      </c>
      <c r="I37" s="77">
        <f t="shared" si="5"/>
        <v>0.28376865000000001</v>
      </c>
      <c r="J37" s="77">
        <f t="shared" si="5"/>
        <v>3.3155100000000002E-3</v>
      </c>
      <c r="K37" s="77">
        <f t="shared" si="5"/>
        <v>6.6310200000000005E-3</v>
      </c>
      <c r="L37" s="77">
        <f t="shared" si="5"/>
        <v>0.22916025000000001</v>
      </c>
      <c r="M37" s="77">
        <f t="shared" si="5"/>
        <v>0.156024</v>
      </c>
      <c r="N37" s="77">
        <f t="shared" si="5"/>
        <v>28.864440000000002</v>
      </c>
      <c r="O37" s="77">
        <f t="shared" si="5"/>
        <v>3939.6060000000002</v>
      </c>
      <c r="P37" s="77">
        <f t="shared" si="5"/>
        <v>0</v>
      </c>
      <c r="Q37" s="77">
        <f t="shared" si="10"/>
        <v>118.72451249999999</v>
      </c>
      <c r="R37" s="77">
        <f t="shared" si="11"/>
        <v>0</v>
      </c>
      <c r="S37" s="77">
        <f t="shared" si="11"/>
        <v>0.22038389999999999</v>
      </c>
      <c r="T37" s="77">
        <f t="shared" si="11"/>
        <v>0</v>
      </c>
      <c r="U37" s="77">
        <f t="shared" si="11"/>
        <v>0</v>
      </c>
      <c r="AB37" s="59"/>
      <c r="AC37" s="59"/>
      <c r="AD37" s="59"/>
      <c r="AE37" s="59"/>
      <c r="AF37" s="59"/>
      <c r="AG37" s="59"/>
      <c r="AH37" s="59"/>
      <c r="AI37" s="59"/>
    </row>
    <row r="38" spans="1:35" s="72" customFormat="1" ht="13" x14ac:dyDescent="0.35">
      <c r="A38" s="13" t="str">
        <f>J8</f>
        <v>Woodstock 8</v>
      </c>
      <c r="B38" s="15">
        <v>165</v>
      </c>
      <c r="C38" s="77">
        <f t="shared" si="6"/>
        <v>68.260500000000008</v>
      </c>
      <c r="D38" s="77">
        <f t="shared" si="7"/>
        <v>32.617402290000001</v>
      </c>
      <c r="E38" s="77">
        <f t="shared" si="8"/>
        <v>1.6333274924999999</v>
      </c>
      <c r="F38" s="77">
        <f t="shared" si="9"/>
        <v>5.0444119439999993</v>
      </c>
      <c r="G38" s="77">
        <f t="shared" si="5"/>
        <v>8.6885864999999993E-2</v>
      </c>
      <c r="H38" s="77">
        <f t="shared" si="5"/>
        <v>2.0283120000000001</v>
      </c>
      <c r="I38" s="77">
        <f t="shared" si="5"/>
        <v>0.28376865000000001</v>
      </c>
      <c r="J38" s="77">
        <f t="shared" si="5"/>
        <v>3.3155100000000002E-3</v>
      </c>
      <c r="K38" s="77">
        <f t="shared" si="5"/>
        <v>6.6310200000000005E-3</v>
      </c>
      <c r="L38" s="77">
        <f t="shared" si="5"/>
        <v>0.22916025000000001</v>
      </c>
      <c r="M38" s="77">
        <f t="shared" si="5"/>
        <v>0.156024</v>
      </c>
      <c r="N38" s="77">
        <f t="shared" si="5"/>
        <v>28.864440000000002</v>
      </c>
      <c r="O38" s="77">
        <f t="shared" si="5"/>
        <v>3939.6060000000002</v>
      </c>
      <c r="P38" s="77">
        <f t="shared" si="5"/>
        <v>0</v>
      </c>
      <c r="Q38" s="77">
        <f t="shared" si="10"/>
        <v>118.72451249999999</v>
      </c>
      <c r="R38" s="77">
        <f t="shared" si="11"/>
        <v>0</v>
      </c>
      <c r="S38" s="77">
        <f t="shared" si="11"/>
        <v>0.22038389999999999</v>
      </c>
      <c r="T38" s="77">
        <f t="shared" si="11"/>
        <v>0</v>
      </c>
      <c r="U38" s="77">
        <f t="shared" si="11"/>
        <v>0</v>
      </c>
      <c r="AB38" s="59"/>
      <c r="AC38" s="59"/>
      <c r="AD38" s="59"/>
      <c r="AE38" s="59"/>
      <c r="AF38" s="59"/>
      <c r="AG38" s="59"/>
      <c r="AH38" s="59"/>
      <c r="AI38" s="59"/>
    </row>
    <row r="39" spans="1:35" s="72" customFormat="1" ht="13" x14ac:dyDescent="0.35">
      <c r="A39" s="13" t="str">
        <f>K8</f>
        <v>Woodstock 9</v>
      </c>
      <c r="B39" s="15">
        <v>165</v>
      </c>
      <c r="C39" s="77">
        <f t="shared" si="6"/>
        <v>68.260500000000008</v>
      </c>
      <c r="D39" s="77">
        <f t="shared" si="7"/>
        <v>32.617402290000001</v>
      </c>
      <c r="E39" s="77">
        <f t="shared" si="8"/>
        <v>1.6333274924999999</v>
      </c>
      <c r="F39" s="77">
        <f t="shared" si="9"/>
        <v>5.0444119439999993</v>
      </c>
      <c r="G39" s="77">
        <f t="shared" si="5"/>
        <v>8.6885864999999993E-2</v>
      </c>
      <c r="H39" s="77">
        <f t="shared" si="5"/>
        <v>2.0283120000000001</v>
      </c>
      <c r="I39" s="77">
        <f t="shared" si="5"/>
        <v>0.28376865000000001</v>
      </c>
      <c r="J39" s="77">
        <f t="shared" si="5"/>
        <v>3.3155100000000002E-3</v>
      </c>
      <c r="K39" s="77">
        <f t="shared" si="5"/>
        <v>6.6310200000000005E-3</v>
      </c>
      <c r="L39" s="77">
        <f t="shared" si="5"/>
        <v>0.22916025000000001</v>
      </c>
      <c r="M39" s="77">
        <f t="shared" si="5"/>
        <v>0.156024</v>
      </c>
      <c r="N39" s="77">
        <f t="shared" si="5"/>
        <v>28.864440000000002</v>
      </c>
      <c r="O39" s="77">
        <f t="shared" si="5"/>
        <v>3939.6060000000002</v>
      </c>
      <c r="P39" s="77">
        <f t="shared" si="5"/>
        <v>0</v>
      </c>
      <c r="Q39" s="77">
        <f t="shared" si="10"/>
        <v>118.72451249999999</v>
      </c>
      <c r="R39" s="77">
        <f t="shared" si="11"/>
        <v>0</v>
      </c>
      <c r="S39" s="77">
        <f t="shared" si="11"/>
        <v>0.22038389999999999</v>
      </c>
      <c r="T39" s="77">
        <f t="shared" si="11"/>
        <v>0</v>
      </c>
      <c r="U39" s="77">
        <f t="shared" si="11"/>
        <v>0</v>
      </c>
      <c r="AB39" s="59"/>
      <c r="AC39" s="59"/>
      <c r="AD39" s="59"/>
      <c r="AE39" s="59"/>
      <c r="AF39" s="59"/>
      <c r="AG39" s="59"/>
      <c r="AH39" s="59"/>
      <c r="AI39" s="59"/>
    </row>
    <row r="40" spans="1:35" s="72" customFormat="1" ht="13" x14ac:dyDescent="0.35">
      <c r="A40" s="13" t="str">
        <f>L8</f>
        <v>Woodstock 10</v>
      </c>
      <c r="B40" s="15">
        <v>165</v>
      </c>
      <c r="C40" s="77">
        <f t="shared" si="6"/>
        <v>68.260500000000008</v>
      </c>
      <c r="D40" s="77">
        <f t="shared" si="7"/>
        <v>32.617402290000001</v>
      </c>
      <c r="E40" s="77">
        <f t="shared" si="8"/>
        <v>1.6333274924999999</v>
      </c>
      <c r="F40" s="77">
        <f t="shared" si="9"/>
        <v>5.0444119439999993</v>
      </c>
      <c r="G40" s="77">
        <f t="shared" si="5"/>
        <v>8.6885864999999993E-2</v>
      </c>
      <c r="H40" s="77">
        <f t="shared" si="5"/>
        <v>2.0283120000000001</v>
      </c>
      <c r="I40" s="77">
        <f t="shared" si="5"/>
        <v>0.28376865000000001</v>
      </c>
      <c r="J40" s="77">
        <f t="shared" si="5"/>
        <v>3.3155100000000002E-3</v>
      </c>
      <c r="K40" s="77">
        <f t="shared" si="5"/>
        <v>6.6310200000000005E-3</v>
      </c>
      <c r="L40" s="77">
        <f t="shared" si="5"/>
        <v>0.22916025000000001</v>
      </c>
      <c r="M40" s="77">
        <f t="shared" si="5"/>
        <v>0.156024</v>
      </c>
      <c r="N40" s="77">
        <f t="shared" si="5"/>
        <v>28.864440000000002</v>
      </c>
      <c r="O40" s="77">
        <f t="shared" si="5"/>
        <v>3939.6060000000002</v>
      </c>
      <c r="P40" s="77">
        <f t="shared" si="5"/>
        <v>0</v>
      </c>
      <c r="Q40" s="77">
        <f t="shared" si="10"/>
        <v>118.72451249999999</v>
      </c>
      <c r="R40" s="77">
        <f t="shared" si="11"/>
        <v>0</v>
      </c>
      <c r="S40" s="77">
        <f t="shared" si="11"/>
        <v>0.22038389999999999</v>
      </c>
      <c r="T40" s="77">
        <f t="shared" si="11"/>
        <v>0</v>
      </c>
      <c r="U40" s="77">
        <f t="shared" si="11"/>
        <v>0</v>
      </c>
      <c r="AB40" s="59"/>
      <c r="AC40" s="59"/>
      <c r="AD40" s="59"/>
      <c r="AE40" s="59"/>
      <c r="AF40" s="59"/>
      <c r="AG40" s="59"/>
      <c r="AH40" s="59"/>
      <c r="AI40" s="59"/>
    </row>
    <row r="41" spans="1:35" s="72" customFormat="1" ht="13" x14ac:dyDescent="0.35">
      <c r="A41" s="13" t="str">
        <f>M8</f>
        <v>Woodstock 11</v>
      </c>
      <c r="B41" s="15">
        <v>165</v>
      </c>
      <c r="C41" s="77">
        <f t="shared" si="6"/>
        <v>68.260500000000008</v>
      </c>
      <c r="D41" s="77">
        <f t="shared" si="7"/>
        <v>32.617402290000001</v>
      </c>
      <c r="E41" s="77">
        <f t="shared" si="8"/>
        <v>1.6333274924999999</v>
      </c>
      <c r="F41" s="77">
        <f t="shared" si="9"/>
        <v>5.0444119439999993</v>
      </c>
      <c r="G41" s="77">
        <f t="shared" si="5"/>
        <v>8.6885864999999993E-2</v>
      </c>
      <c r="H41" s="77">
        <f t="shared" si="5"/>
        <v>2.0283120000000001</v>
      </c>
      <c r="I41" s="77">
        <f t="shared" si="5"/>
        <v>0.28376865000000001</v>
      </c>
      <c r="J41" s="77">
        <f t="shared" si="5"/>
        <v>3.3155100000000002E-3</v>
      </c>
      <c r="K41" s="77">
        <f t="shared" si="5"/>
        <v>6.6310200000000005E-3</v>
      </c>
      <c r="L41" s="77">
        <f t="shared" si="5"/>
        <v>0.22916025000000001</v>
      </c>
      <c r="M41" s="77">
        <f t="shared" si="5"/>
        <v>0.156024</v>
      </c>
      <c r="N41" s="77">
        <f t="shared" si="5"/>
        <v>28.864440000000002</v>
      </c>
      <c r="O41" s="77">
        <f t="shared" si="5"/>
        <v>3939.6060000000002</v>
      </c>
      <c r="P41" s="77">
        <f t="shared" si="5"/>
        <v>0</v>
      </c>
      <c r="Q41" s="77">
        <f t="shared" si="10"/>
        <v>118.72451249999999</v>
      </c>
      <c r="R41" s="77">
        <f t="shared" si="11"/>
        <v>0</v>
      </c>
      <c r="S41" s="77">
        <f t="shared" si="11"/>
        <v>0.22038389999999999</v>
      </c>
      <c r="T41" s="77">
        <f t="shared" si="11"/>
        <v>0</v>
      </c>
      <c r="U41" s="77">
        <f t="shared" si="11"/>
        <v>0</v>
      </c>
      <c r="AB41" s="59"/>
      <c r="AC41" s="59"/>
      <c r="AD41" s="59"/>
      <c r="AE41" s="59"/>
      <c r="AF41" s="59"/>
      <c r="AG41" s="59"/>
      <c r="AH41" s="59"/>
      <c r="AI41" s="59"/>
    </row>
    <row r="42" spans="1:35" s="72" customFormat="1" ht="13" x14ac:dyDescent="0.35">
      <c r="A42" s="13" t="str">
        <f>N8</f>
        <v>Woodstock 12</v>
      </c>
      <c r="B42" s="15">
        <v>165</v>
      </c>
      <c r="C42" s="77">
        <f t="shared" si="6"/>
        <v>68.260500000000008</v>
      </c>
      <c r="D42" s="77">
        <f t="shared" si="7"/>
        <v>32.617402290000001</v>
      </c>
      <c r="E42" s="77">
        <f t="shared" si="8"/>
        <v>1.6333274924999999</v>
      </c>
      <c r="F42" s="77">
        <f t="shared" si="9"/>
        <v>5.0444119439999993</v>
      </c>
      <c r="G42" s="77">
        <f t="shared" si="5"/>
        <v>8.6885864999999993E-2</v>
      </c>
      <c r="H42" s="77">
        <f t="shared" si="5"/>
        <v>2.0283120000000001</v>
      </c>
      <c r="I42" s="77">
        <f t="shared" si="5"/>
        <v>0.28376865000000001</v>
      </c>
      <c r="J42" s="77">
        <f t="shared" si="5"/>
        <v>3.3155100000000002E-3</v>
      </c>
      <c r="K42" s="77">
        <f t="shared" si="5"/>
        <v>6.6310200000000005E-3</v>
      </c>
      <c r="L42" s="77">
        <f t="shared" si="5"/>
        <v>0.22916025000000001</v>
      </c>
      <c r="M42" s="77">
        <f t="shared" si="5"/>
        <v>0.156024</v>
      </c>
      <c r="N42" s="77">
        <f t="shared" si="5"/>
        <v>28.864440000000002</v>
      </c>
      <c r="O42" s="77">
        <f t="shared" si="5"/>
        <v>3939.6060000000002</v>
      </c>
      <c r="P42" s="77">
        <f t="shared" si="5"/>
        <v>0</v>
      </c>
      <c r="Q42" s="77">
        <f t="shared" si="10"/>
        <v>118.72451249999999</v>
      </c>
      <c r="R42" s="77">
        <f t="shared" si="11"/>
        <v>0</v>
      </c>
      <c r="S42" s="77">
        <f t="shared" si="11"/>
        <v>0.22038389999999999</v>
      </c>
      <c r="T42" s="77">
        <f t="shared" si="11"/>
        <v>0</v>
      </c>
      <c r="U42" s="77">
        <f t="shared" si="11"/>
        <v>0</v>
      </c>
      <c r="AB42" s="59"/>
      <c r="AC42" s="59"/>
      <c r="AD42" s="59"/>
      <c r="AE42" s="59"/>
      <c r="AF42" s="59"/>
      <c r="AG42" s="59"/>
      <c r="AH42" s="59"/>
      <c r="AI42" s="59"/>
    </row>
    <row r="43" spans="1:35" s="72" customFormat="1" ht="13" x14ac:dyDescent="0.35">
      <c r="A43" s="13" t="str">
        <f>O8</f>
        <v>Woodstock 13/14</v>
      </c>
      <c r="B43" s="15">
        <v>165</v>
      </c>
      <c r="C43" s="77">
        <f t="shared" si="6"/>
        <v>68.260500000000008</v>
      </c>
      <c r="D43" s="77">
        <f t="shared" si="7"/>
        <v>32.617402290000001</v>
      </c>
      <c r="E43" s="77">
        <f t="shared" si="8"/>
        <v>1.6333274924999999</v>
      </c>
      <c r="F43" s="77">
        <f t="shared" si="9"/>
        <v>5.0444119439999993</v>
      </c>
      <c r="G43" s="77">
        <f t="shared" si="5"/>
        <v>8.6885864999999993E-2</v>
      </c>
      <c r="H43" s="77">
        <f t="shared" si="5"/>
        <v>2.0283120000000001</v>
      </c>
      <c r="I43" s="77">
        <f t="shared" si="5"/>
        <v>0.28376865000000001</v>
      </c>
      <c r="J43" s="77">
        <f t="shared" si="5"/>
        <v>3.3155100000000002E-3</v>
      </c>
      <c r="K43" s="77">
        <f t="shared" si="5"/>
        <v>6.6310200000000005E-3</v>
      </c>
      <c r="L43" s="77">
        <f t="shared" si="5"/>
        <v>0.22916025000000001</v>
      </c>
      <c r="M43" s="77">
        <f t="shared" si="5"/>
        <v>0.156024</v>
      </c>
      <c r="N43" s="77">
        <f t="shared" si="5"/>
        <v>28.864440000000002</v>
      </c>
      <c r="O43" s="77">
        <f t="shared" si="5"/>
        <v>3939.6060000000002</v>
      </c>
      <c r="P43" s="77">
        <f t="shared" si="5"/>
        <v>0</v>
      </c>
      <c r="Q43" s="77">
        <f t="shared" si="10"/>
        <v>118.72451249999999</v>
      </c>
      <c r="R43" s="77">
        <f t="shared" si="11"/>
        <v>0</v>
      </c>
      <c r="S43" s="77">
        <f t="shared" si="11"/>
        <v>0.22038389999999999</v>
      </c>
      <c r="T43" s="77">
        <f t="shared" si="11"/>
        <v>0</v>
      </c>
      <c r="U43" s="77">
        <f t="shared" si="11"/>
        <v>0</v>
      </c>
      <c r="AB43" s="59"/>
      <c r="AC43" s="59"/>
      <c r="AD43" s="59"/>
      <c r="AE43" s="59"/>
      <c r="AF43" s="59"/>
      <c r="AG43" s="59"/>
      <c r="AH43" s="59"/>
      <c r="AI43" s="59"/>
    </row>
    <row r="44" spans="1:35" s="72" customFormat="1" ht="13" x14ac:dyDescent="0.35">
      <c r="A44" s="13" t="str">
        <f>P8</f>
        <v>Gwarcoed 16</v>
      </c>
      <c r="B44" s="15">
        <v>165</v>
      </c>
      <c r="C44" s="77">
        <f t="shared" si="6"/>
        <v>68.260500000000008</v>
      </c>
      <c r="D44" s="77">
        <f t="shared" si="7"/>
        <v>32.617402290000001</v>
      </c>
      <c r="E44" s="77">
        <f t="shared" si="8"/>
        <v>1.6333274924999999</v>
      </c>
      <c r="F44" s="77">
        <f t="shared" si="9"/>
        <v>5.0444119439999993</v>
      </c>
      <c r="G44" s="77">
        <f t="shared" si="5"/>
        <v>8.6885864999999993E-2</v>
      </c>
      <c r="H44" s="77">
        <f t="shared" si="5"/>
        <v>2.0283120000000001</v>
      </c>
      <c r="I44" s="77">
        <f t="shared" si="5"/>
        <v>0.28376865000000001</v>
      </c>
      <c r="J44" s="77">
        <f t="shared" si="5"/>
        <v>3.3155100000000002E-3</v>
      </c>
      <c r="K44" s="77">
        <f t="shared" si="5"/>
        <v>6.6310200000000005E-3</v>
      </c>
      <c r="L44" s="77">
        <f t="shared" si="5"/>
        <v>0.22916025000000001</v>
      </c>
      <c r="M44" s="77">
        <f t="shared" si="5"/>
        <v>0.156024</v>
      </c>
      <c r="N44" s="77">
        <f t="shared" si="5"/>
        <v>28.864440000000002</v>
      </c>
      <c r="O44" s="77">
        <f t="shared" si="5"/>
        <v>3939.6060000000002</v>
      </c>
      <c r="P44" s="77">
        <f t="shared" si="5"/>
        <v>0</v>
      </c>
      <c r="Q44" s="77">
        <f t="shared" si="10"/>
        <v>118.72451249999999</v>
      </c>
      <c r="R44" s="77">
        <f t="shared" si="11"/>
        <v>0</v>
      </c>
      <c r="S44" s="77">
        <f t="shared" si="11"/>
        <v>0.22038389999999999</v>
      </c>
      <c r="T44" s="77">
        <f t="shared" si="11"/>
        <v>0</v>
      </c>
      <c r="U44" s="77">
        <f t="shared" si="11"/>
        <v>0</v>
      </c>
      <c r="AB44" s="59"/>
      <c r="AC44" s="59"/>
      <c r="AD44" s="59"/>
      <c r="AE44" s="59"/>
      <c r="AF44" s="59"/>
      <c r="AG44" s="59"/>
      <c r="AH44" s="59"/>
      <c r="AI44" s="59"/>
    </row>
    <row r="45" spans="1:35" s="72" customFormat="1" ht="13" x14ac:dyDescent="0.35">
      <c r="A45" s="13" t="str">
        <f>Q8</f>
        <v>Gwarcoed 17</v>
      </c>
      <c r="B45" s="15">
        <v>165</v>
      </c>
      <c r="C45" s="77">
        <f t="shared" si="6"/>
        <v>68.260500000000008</v>
      </c>
      <c r="D45" s="77">
        <f t="shared" si="7"/>
        <v>32.617402290000001</v>
      </c>
      <c r="E45" s="77">
        <f t="shared" si="8"/>
        <v>1.6333274924999999</v>
      </c>
      <c r="F45" s="77">
        <f t="shared" si="9"/>
        <v>5.0444119439999993</v>
      </c>
      <c r="G45" s="77">
        <f t="shared" si="5"/>
        <v>8.6885864999999993E-2</v>
      </c>
      <c r="H45" s="77">
        <f t="shared" si="5"/>
        <v>2.0283120000000001</v>
      </c>
      <c r="I45" s="77">
        <f t="shared" si="5"/>
        <v>0.28376865000000001</v>
      </c>
      <c r="J45" s="77">
        <f t="shared" si="5"/>
        <v>3.3155100000000002E-3</v>
      </c>
      <c r="K45" s="77">
        <f t="shared" si="5"/>
        <v>6.6310200000000005E-3</v>
      </c>
      <c r="L45" s="77">
        <f t="shared" si="5"/>
        <v>0.22916025000000001</v>
      </c>
      <c r="M45" s="77">
        <f t="shared" si="5"/>
        <v>0.156024</v>
      </c>
      <c r="N45" s="77">
        <f t="shared" si="5"/>
        <v>28.864440000000002</v>
      </c>
      <c r="O45" s="77">
        <f t="shared" si="5"/>
        <v>3939.6060000000002</v>
      </c>
      <c r="P45" s="77">
        <f t="shared" si="5"/>
        <v>0</v>
      </c>
      <c r="Q45" s="77">
        <f t="shared" si="10"/>
        <v>118.72451249999999</v>
      </c>
      <c r="R45" s="77">
        <f t="shared" si="11"/>
        <v>0</v>
      </c>
      <c r="S45" s="77">
        <f t="shared" si="11"/>
        <v>0.22038389999999999</v>
      </c>
      <c r="T45" s="77">
        <f t="shared" si="11"/>
        <v>0</v>
      </c>
      <c r="U45" s="77">
        <f t="shared" si="11"/>
        <v>0</v>
      </c>
      <c r="AB45" s="59"/>
      <c r="AC45" s="59"/>
      <c r="AD45" s="59"/>
      <c r="AE45" s="59"/>
      <c r="AF45" s="59"/>
      <c r="AG45" s="59"/>
      <c r="AH45" s="59"/>
      <c r="AI45" s="59"/>
    </row>
    <row r="46" spans="1:35" s="72" customFormat="1" ht="13" x14ac:dyDescent="0.35">
      <c r="A46" s="13" t="str">
        <f>R8</f>
        <v>Gwarcoed 19</v>
      </c>
      <c r="B46" s="15">
        <v>165</v>
      </c>
      <c r="C46" s="77">
        <f t="shared" si="6"/>
        <v>68.260500000000008</v>
      </c>
      <c r="D46" s="77">
        <f t="shared" si="7"/>
        <v>32.617402290000001</v>
      </c>
      <c r="E46" s="77">
        <f t="shared" si="8"/>
        <v>1.6333274924999999</v>
      </c>
      <c r="F46" s="77">
        <f t="shared" si="9"/>
        <v>5.0444119439999993</v>
      </c>
      <c r="G46" s="77">
        <f t="shared" si="5"/>
        <v>8.6885864999999993E-2</v>
      </c>
      <c r="H46" s="77">
        <f t="shared" si="5"/>
        <v>2.0283120000000001</v>
      </c>
      <c r="I46" s="77">
        <f t="shared" si="5"/>
        <v>0.28376865000000001</v>
      </c>
      <c r="J46" s="77">
        <f t="shared" si="5"/>
        <v>3.3155100000000002E-3</v>
      </c>
      <c r="K46" s="77">
        <f t="shared" si="5"/>
        <v>6.6310200000000005E-3</v>
      </c>
      <c r="L46" s="77">
        <f t="shared" si="5"/>
        <v>0.22916025000000001</v>
      </c>
      <c r="M46" s="77">
        <f t="shared" si="5"/>
        <v>0.156024</v>
      </c>
      <c r="N46" s="77">
        <f t="shared" si="5"/>
        <v>28.864440000000002</v>
      </c>
      <c r="O46" s="77">
        <f t="shared" si="5"/>
        <v>3939.6060000000002</v>
      </c>
      <c r="P46" s="77">
        <f t="shared" si="5"/>
        <v>0</v>
      </c>
      <c r="Q46" s="77">
        <f t="shared" si="10"/>
        <v>118.72451249999999</v>
      </c>
      <c r="R46" s="77">
        <f t="shared" si="11"/>
        <v>0</v>
      </c>
      <c r="S46" s="77">
        <f t="shared" si="11"/>
        <v>0.22038389999999999</v>
      </c>
      <c r="T46" s="77">
        <f t="shared" si="11"/>
        <v>0</v>
      </c>
      <c r="U46" s="77">
        <f t="shared" si="11"/>
        <v>0</v>
      </c>
      <c r="AB46" s="59"/>
      <c r="AC46" s="59"/>
      <c r="AD46" s="59"/>
      <c r="AE46" s="59"/>
      <c r="AF46" s="59"/>
      <c r="AG46" s="59"/>
      <c r="AH46" s="59"/>
      <c r="AI46" s="59"/>
    </row>
    <row r="47" spans="1:35" s="72" customFormat="1" ht="13" x14ac:dyDescent="0.35">
      <c r="A47" s="13" t="str">
        <f>S8</f>
        <v>Gwarcoed 22</v>
      </c>
      <c r="B47" s="15">
        <v>165</v>
      </c>
      <c r="C47" s="77">
        <f t="shared" si="6"/>
        <v>68.260500000000008</v>
      </c>
      <c r="D47" s="77">
        <f t="shared" si="7"/>
        <v>32.617402290000001</v>
      </c>
      <c r="E47" s="77">
        <f t="shared" si="8"/>
        <v>1.6333274924999999</v>
      </c>
      <c r="F47" s="77">
        <f t="shared" si="9"/>
        <v>5.0444119439999993</v>
      </c>
      <c r="G47" s="77">
        <f t="shared" ref="G47:P50" si="12">IF(G$27="%w/w SAR",((G$28*10)*$B47),IF(G$27="%w/w DM",(((G$28*10)*($B$28/100))*$B47),IF(G$27="kg/t SAR",(G$28*$B47),IF(G$27="kg/t DM",((G$28*($B$28/100))*$B47),IF(G$27="mg/kg SAR",((G$28*0.001)*$B47),IF(G$27="mg/kg DM",(((G$28*0.001)*($B$28/100))*$B47),0))))))</f>
        <v>8.6885864999999993E-2</v>
      </c>
      <c r="H47" s="77">
        <f t="shared" si="12"/>
        <v>2.0283120000000001</v>
      </c>
      <c r="I47" s="77">
        <f t="shared" si="12"/>
        <v>0.28376865000000001</v>
      </c>
      <c r="J47" s="77">
        <f t="shared" si="12"/>
        <v>3.3155100000000002E-3</v>
      </c>
      <c r="K47" s="77">
        <f t="shared" si="12"/>
        <v>6.6310200000000005E-3</v>
      </c>
      <c r="L47" s="77">
        <f t="shared" si="12"/>
        <v>0.22916025000000001</v>
      </c>
      <c r="M47" s="77">
        <f t="shared" si="12"/>
        <v>0.156024</v>
      </c>
      <c r="N47" s="77">
        <f t="shared" si="12"/>
        <v>28.864440000000002</v>
      </c>
      <c r="O47" s="77">
        <f t="shared" si="12"/>
        <v>3939.6060000000002</v>
      </c>
      <c r="P47" s="77">
        <f t="shared" si="12"/>
        <v>0</v>
      </c>
      <c r="Q47" s="77">
        <f t="shared" si="10"/>
        <v>118.72451249999999</v>
      </c>
      <c r="R47" s="77">
        <f t="shared" si="11"/>
        <v>0</v>
      </c>
      <c r="S47" s="77">
        <f t="shared" si="11"/>
        <v>0.22038389999999999</v>
      </c>
      <c r="T47" s="77">
        <f t="shared" si="11"/>
        <v>0</v>
      </c>
      <c r="U47" s="77">
        <f t="shared" si="11"/>
        <v>0</v>
      </c>
      <c r="AB47" s="59"/>
      <c r="AC47" s="59"/>
      <c r="AD47" s="59"/>
      <c r="AE47" s="59"/>
      <c r="AF47" s="59"/>
      <c r="AG47" s="59"/>
      <c r="AH47" s="59"/>
      <c r="AI47" s="59"/>
    </row>
    <row r="48" spans="1:35" s="72" customFormat="1" ht="13" x14ac:dyDescent="0.35">
      <c r="A48" s="13" t="str">
        <f>T8</f>
        <v>Gwarcoed 23</v>
      </c>
      <c r="B48" s="15">
        <v>165</v>
      </c>
      <c r="C48" s="77">
        <f t="shared" si="6"/>
        <v>68.260500000000008</v>
      </c>
      <c r="D48" s="77">
        <f t="shared" si="7"/>
        <v>32.617402290000001</v>
      </c>
      <c r="E48" s="77">
        <f t="shared" si="8"/>
        <v>1.6333274924999999</v>
      </c>
      <c r="F48" s="77">
        <f t="shared" si="9"/>
        <v>5.0444119439999993</v>
      </c>
      <c r="G48" s="77">
        <f t="shared" si="12"/>
        <v>8.6885864999999993E-2</v>
      </c>
      <c r="H48" s="77">
        <f t="shared" si="12"/>
        <v>2.0283120000000001</v>
      </c>
      <c r="I48" s="77">
        <f t="shared" si="12"/>
        <v>0.28376865000000001</v>
      </c>
      <c r="J48" s="77">
        <f t="shared" si="12"/>
        <v>3.3155100000000002E-3</v>
      </c>
      <c r="K48" s="77">
        <f t="shared" si="12"/>
        <v>6.6310200000000005E-3</v>
      </c>
      <c r="L48" s="77">
        <f t="shared" si="12"/>
        <v>0.22916025000000001</v>
      </c>
      <c r="M48" s="77">
        <f t="shared" si="12"/>
        <v>0.156024</v>
      </c>
      <c r="N48" s="77">
        <f t="shared" si="12"/>
        <v>28.864440000000002</v>
      </c>
      <c r="O48" s="77">
        <f t="shared" si="12"/>
        <v>3939.6060000000002</v>
      </c>
      <c r="P48" s="77">
        <f t="shared" si="12"/>
        <v>0</v>
      </c>
      <c r="Q48" s="77">
        <f t="shared" si="10"/>
        <v>118.72451249999999</v>
      </c>
      <c r="R48" s="77">
        <f t="shared" si="11"/>
        <v>0</v>
      </c>
      <c r="S48" s="77">
        <f t="shared" si="11"/>
        <v>0.22038389999999999</v>
      </c>
      <c r="T48" s="77">
        <f t="shared" si="11"/>
        <v>0</v>
      </c>
      <c r="U48" s="77">
        <f t="shared" si="11"/>
        <v>0</v>
      </c>
      <c r="AB48" s="59"/>
      <c r="AC48" s="59"/>
      <c r="AD48" s="59"/>
      <c r="AE48" s="59"/>
      <c r="AF48" s="59"/>
      <c r="AG48" s="59"/>
      <c r="AH48" s="59"/>
      <c r="AI48" s="59"/>
    </row>
    <row r="49" spans="1:35" s="72" customFormat="1" ht="13" x14ac:dyDescent="0.35">
      <c r="A49" s="13" t="str">
        <f>U8</f>
        <v>Gwarcoed 24</v>
      </c>
      <c r="B49" s="15">
        <v>165</v>
      </c>
      <c r="C49" s="77">
        <f t="shared" si="6"/>
        <v>68.260500000000008</v>
      </c>
      <c r="D49" s="77">
        <f t="shared" si="7"/>
        <v>32.617402290000001</v>
      </c>
      <c r="E49" s="77">
        <f t="shared" si="8"/>
        <v>1.6333274924999999</v>
      </c>
      <c r="F49" s="77">
        <f t="shared" si="9"/>
        <v>5.0444119439999993</v>
      </c>
      <c r="G49" s="77">
        <f t="shared" si="12"/>
        <v>8.6885864999999993E-2</v>
      </c>
      <c r="H49" s="77">
        <f t="shared" si="12"/>
        <v>2.0283120000000001</v>
      </c>
      <c r="I49" s="77">
        <f t="shared" si="12"/>
        <v>0.28376865000000001</v>
      </c>
      <c r="J49" s="77">
        <f t="shared" si="12"/>
        <v>3.3155100000000002E-3</v>
      </c>
      <c r="K49" s="77">
        <f t="shared" si="12"/>
        <v>6.6310200000000005E-3</v>
      </c>
      <c r="L49" s="77">
        <f t="shared" si="12"/>
        <v>0.22916025000000001</v>
      </c>
      <c r="M49" s="77">
        <f t="shared" si="12"/>
        <v>0.156024</v>
      </c>
      <c r="N49" s="77">
        <f t="shared" si="12"/>
        <v>28.864440000000002</v>
      </c>
      <c r="O49" s="77">
        <f t="shared" si="12"/>
        <v>3939.6060000000002</v>
      </c>
      <c r="P49" s="77">
        <f t="shared" si="12"/>
        <v>0</v>
      </c>
      <c r="Q49" s="77">
        <f t="shared" si="10"/>
        <v>118.72451249999999</v>
      </c>
      <c r="R49" s="77">
        <f t="shared" si="11"/>
        <v>0</v>
      </c>
      <c r="S49" s="77">
        <f t="shared" si="11"/>
        <v>0.22038389999999999</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"&amp;(VLOOKUP(C14,Table245[],6,FALSE))</f>
        <v>0 I Grass</v>
      </c>
      <c r="C58" s="13" t="str">
        <f>D16&amp;" I "&amp;(VLOOKUP(D14,Table245[],6,FALSE))</f>
        <v>0 I Grass</v>
      </c>
      <c r="D58" s="13" t="str">
        <f>E16&amp;" I "&amp;(VLOOKUP(E14,Table245[],6,FALSE))</f>
        <v>0 I Grass</v>
      </c>
      <c r="E58" s="13" t="str">
        <f>F16&amp;" I "&amp;(VLOOKUP(F14,Table245[],6,FALSE))</f>
        <v>0 I Grass</v>
      </c>
      <c r="F58" s="13" t="str">
        <f>G16&amp;" I "&amp;(VLOOKUP(G14,Table245[],6,FALSE))</f>
        <v>0 I Grass</v>
      </c>
      <c r="G58" s="13" t="str">
        <f>H16&amp;" I "&amp;(VLOOKUP(H14,Table245[],6,FALSE))</f>
        <v>0 I Grass</v>
      </c>
      <c r="H58" s="13" t="str">
        <f>I16&amp;" I "&amp;(VLOOKUP(I14,Table245[],6,FALSE))</f>
        <v>0 I Arable</v>
      </c>
      <c r="I58" s="13" t="str">
        <f>J16&amp;" I "&amp;(VLOOKUP(J14,Table245[],6,FALSE))</f>
        <v>0 I Grass</v>
      </c>
      <c r="J58" s="13" t="str">
        <f>K16&amp;" I "&amp;(VLOOKUP(K14,Table245[],6,FALSE))</f>
        <v>0 I Grass</v>
      </c>
      <c r="K58" s="13" t="str">
        <f>L16&amp;" I "&amp;(VLOOKUP(L14,Table245[],6,FALSE))</f>
        <v>0 I Grass</v>
      </c>
      <c r="L58" s="13" t="str">
        <f>M16&amp;" I "&amp;(VLOOKUP(M14,Table245[],6,FALSE))</f>
        <v>0 I Grass</v>
      </c>
      <c r="M58" s="13" t="str">
        <f>N16&amp;" I "&amp;(VLOOKUP(N14,Table245[],6,FALSE))</f>
        <v>0 I Grass</v>
      </c>
      <c r="N58" s="13" t="str">
        <f>O16&amp;" I "&amp;(VLOOKUP(O14,Table245[],6,FALSE))</f>
        <v>0 I Arable</v>
      </c>
      <c r="O58" s="13" t="str">
        <f>P16&amp;" I "&amp;(VLOOKUP(P14,Table245[],6,FALSE))</f>
        <v>0 I Grass</v>
      </c>
      <c r="P58" s="13" t="str">
        <f>Q16&amp;" I "&amp;(VLOOKUP(Q14,Table245[],6,FALSE))</f>
        <v>0 I Grass</v>
      </c>
      <c r="Q58" s="13" t="str">
        <f>R16&amp;" I "&amp;(VLOOKUP(R14,Table245[],6,FALSE))</f>
        <v>0 I Grass</v>
      </c>
      <c r="R58" s="13" t="str">
        <f>S16&amp;" I "&amp;(VLOOKUP(S14,Table245[],6,FALSE))</f>
        <v>0 I Grass</v>
      </c>
      <c r="S58" s="13" t="str">
        <f>T16&amp;" I "&amp;(VLOOKUP(T14,Table245[],6,FALSE))</f>
        <v>0 I Grass</v>
      </c>
      <c r="T58" s="13" t="str">
        <f>U16&amp;" I "&amp;(VLOOKUP(U14,Table245[],6,FALSE))</f>
        <v>0 I Grass</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6.7</v>
      </c>
      <c r="I59" s="76">
        <f>VLOOKUP(J$14,Table245[],5,FALSE)</f>
        <v>6.2</v>
      </c>
      <c r="J59" s="76">
        <f>VLOOKUP(K$14,Table245[],5,FALSE)</f>
        <v>6.2</v>
      </c>
      <c r="K59" s="76">
        <f>VLOOKUP(L$14,Table245[],5,FALSE)</f>
        <v>6.2</v>
      </c>
      <c r="L59" s="76">
        <f>VLOOKUP(M$14,Table245[],5,FALSE)</f>
        <v>6.2</v>
      </c>
      <c r="M59" s="76">
        <f>VLOOKUP(N$14,Table245[],5,FALSE)</f>
        <v>6.2</v>
      </c>
      <c r="N59" s="76">
        <f>VLOOKUP(O$14,Table245[],5,FALSE)</f>
        <v>6.7</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t="e">
        <f>VLOOKUP(V$14,Table245[],5,FALSE)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165</v>
      </c>
      <c r="C62" s="77">
        <f>B32</f>
        <v>165</v>
      </c>
      <c r="D62" s="77">
        <f>B33</f>
        <v>165</v>
      </c>
      <c r="E62" s="77">
        <f>B34</f>
        <v>165</v>
      </c>
      <c r="F62" s="77">
        <f>B35</f>
        <v>165</v>
      </c>
      <c r="G62" s="77">
        <f>B36</f>
        <v>165</v>
      </c>
      <c r="H62" s="77">
        <f>B37</f>
        <v>165</v>
      </c>
      <c r="I62" s="77">
        <f>B38</f>
        <v>165</v>
      </c>
      <c r="J62" s="77">
        <f>B39</f>
        <v>165</v>
      </c>
      <c r="K62" s="77">
        <f>B40</f>
        <v>165</v>
      </c>
      <c r="L62" s="77">
        <f>B41</f>
        <v>165</v>
      </c>
      <c r="M62" s="77">
        <f>B42</f>
        <v>165</v>
      </c>
      <c r="N62" s="77">
        <f>B43</f>
        <v>165</v>
      </c>
      <c r="O62" s="77">
        <f>B44</f>
        <v>165</v>
      </c>
      <c r="P62" s="77">
        <f>B45</f>
        <v>165</v>
      </c>
      <c r="Q62" s="77">
        <f>B46</f>
        <v>165</v>
      </c>
      <c r="R62" s="77">
        <f>B47</f>
        <v>165</v>
      </c>
      <c r="S62" s="77">
        <f>B48</f>
        <v>165</v>
      </c>
      <c r="T62" s="77">
        <f>B49</f>
        <v>165</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K24" zoomScale="90" zoomScaleNormal="90" workbookViewId="0">
      <selection activeCell="S33" sqref="S3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5.4</v>
      </c>
      <c r="J1" s="119" t="s">
        <v>153</v>
      </c>
      <c r="K1" s="119"/>
      <c r="L1" s="97">
        <v>307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0.81699999999999995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3.75764993880049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189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11.853634000000001</v>
      </c>
      <c r="D18" s="16">
        <f>$D32</f>
        <v>11.853634000000001</v>
      </c>
      <c r="E18" s="16">
        <f>$D33</f>
        <v>11.853634000000001</v>
      </c>
      <c r="F18" s="16">
        <f>$D34</f>
        <v>11.853634000000001</v>
      </c>
      <c r="G18" s="16">
        <f>$D35</f>
        <v>11.853634000000001</v>
      </c>
      <c r="H18" s="16">
        <f>$D36</f>
        <v>11.853634000000001</v>
      </c>
      <c r="I18" s="16">
        <f>$D37</f>
        <v>11.853634000000001</v>
      </c>
      <c r="J18" s="16">
        <f>$D38</f>
        <v>11.853634000000001</v>
      </c>
      <c r="K18" s="16">
        <f>$D39</f>
        <v>11.853634000000001</v>
      </c>
      <c r="L18" s="16">
        <f>$D40</f>
        <v>11.853634000000001</v>
      </c>
      <c r="M18" s="16">
        <f>$D41</f>
        <v>11.853634000000001</v>
      </c>
      <c r="N18" s="16">
        <f>$D42</f>
        <v>11.853634000000001</v>
      </c>
      <c r="O18" s="16">
        <f>$D43</f>
        <v>11.853634000000001</v>
      </c>
      <c r="P18" s="16">
        <f>$D44</f>
        <v>11.853634000000001</v>
      </c>
      <c r="Q18" s="16">
        <f>$D45</f>
        <v>11.853634000000001</v>
      </c>
      <c r="R18" s="16">
        <f>$D46</f>
        <v>11.853634000000001</v>
      </c>
      <c r="S18" s="16">
        <f>$D47</f>
        <v>11.853634000000001</v>
      </c>
      <c r="T18" s="16">
        <f>$D48</f>
        <v>11.853634000000001</v>
      </c>
      <c r="U18" s="16">
        <f>$D49</f>
        <v>11.853634000000001</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-68.046365999999992</v>
      </c>
      <c r="D19" s="16">
        <f t="shared" ref="D19:V19" si="1">D18-D17</f>
        <v>-68.046365999999992</v>
      </c>
      <c r="E19" s="16">
        <f t="shared" si="1"/>
        <v>-68.046365999999992</v>
      </c>
      <c r="F19" s="16">
        <f t="shared" si="1"/>
        <v>-68.046365999999992</v>
      </c>
      <c r="G19" s="16">
        <f t="shared" si="1"/>
        <v>-68.046365999999992</v>
      </c>
      <c r="H19" s="16">
        <f t="shared" si="1"/>
        <v>-68.046365999999992</v>
      </c>
      <c r="I19" s="16">
        <f t="shared" si="1"/>
        <v>-200.646366</v>
      </c>
      <c r="J19" s="16">
        <f t="shared" si="1"/>
        <v>-68.046365999999992</v>
      </c>
      <c r="K19" s="16">
        <f t="shared" si="1"/>
        <v>-68.046365999999992</v>
      </c>
      <c r="L19" s="16">
        <f t="shared" si="1"/>
        <v>-68.046365999999992</v>
      </c>
      <c r="M19" s="16">
        <f t="shared" si="1"/>
        <v>-68.046365999999992</v>
      </c>
      <c r="N19" s="16">
        <f t="shared" si="1"/>
        <v>-68.046365999999992</v>
      </c>
      <c r="O19" s="16">
        <f t="shared" si="1"/>
        <v>-200.646366</v>
      </c>
      <c r="P19" s="16">
        <f t="shared" si="1"/>
        <v>-68.046365999999992</v>
      </c>
      <c r="Q19" s="16">
        <f t="shared" si="1"/>
        <v>-68.046365999999992</v>
      </c>
      <c r="R19" s="16">
        <f t="shared" si="1"/>
        <v>-68.046365999999992</v>
      </c>
      <c r="S19" s="16">
        <f t="shared" si="1"/>
        <v>-68.046365999999992</v>
      </c>
      <c r="T19" s="16">
        <f t="shared" si="1"/>
        <v>-68.046365999999992</v>
      </c>
      <c r="U19" s="16">
        <f t="shared" si="1"/>
        <v>-68.046365999999992</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(VLOOKUP(D$14,$AI2:$AK24,3,FALSE))*D$15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3.8487097499999998</v>
      </c>
      <c r="D22" s="16">
        <f>$E32</f>
        <v>3.8487097499999998</v>
      </c>
      <c r="E22" s="16">
        <f>$E33</f>
        <v>3.8487097499999998</v>
      </c>
      <c r="F22" s="16">
        <f>$E34</f>
        <v>3.8487097499999998</v>
      </c>
      <c r="G22" s="16">
        <f>$E35</f>
        <v>3.8487097499999998</v>
      </c>
      <c r="H22" s="16">
        <f>$E36</f>
        <v>3.8487097499999998</v>
      </c>
      <c r="I22" s="16">
        <f>$E37</f>
        <v>3.8487097499999998</v>
      </c>
      <c r="J22" s="16">
        <f>$E38</f>
        <v>3.8487097499999998</v>
      </c>
      <c r="K22" s="16">
        <f>$E39</f>
        <v>3.8487097499999998</v>
      </c>
      <c r="L22" s="16">
        <f>$E40</f>
        <v>3.8487097499999998</v>
      </c>
      <c r="M22" s="16">
        <f>$E41</f>
        <v>3.8487097499999998</v>
      </c>
      <c r="N22" s="16">
        <f>$E42</f>
        <v>3.8487097499999998</v>
      </c>
      <c r="O22" s="16">
        <f>$E43</f>
        <v>3.8487097499999998</v>
      </c>
      <c r="P22" s="16">
        <f>$E44</f>
        <v>3.8487097499999998</v>
      </c>
      <c r="Q22" s="16">
        <f>$E45</f>
        <v>3.8487097499999998</v>
      </c>
      <c r="R22" s="16">
        <f>$E46</f>
        <v>3.8487097499999998</v>
      </c>
      <c r="S22" s="16">
        <f>$E47</f>
        <v>3.8487097499999998</v>
      </c>
      <c r="T22" s="16">
        <f>$E48</f>
        <v>3.8487097499999998</v>
      </c>
      <c r="U22" s="16">
        <f>$E49</f>
        <v>3.8487097499999998</v>
      </c>
      <c r="V22" s="16">
        <f>$E50</f>
        <v>0</v>
      </c>
      <c r="AI22" s="63" t="s">
        <v>102</v>
      </c>
      <c r="AJ22" s="64">
        <v>1.2</v>
      </c>
      <c r="AK22" s="65">
        <v>5</v>
      </c>
      <c r="AL22" s="29">
        <v>20</v>
      </c>
      <c r="AM22" s="11">
        <v>6.7</v>
      </c>
      <c r="AN22" s="11" t="s">
        <v>135</v>
      </c>
    </row>
    <row r="23" spans="1:40" ht="13" x14ac:dyDescent="0.25">
      <c r="A23" s="124" t="s">
        <v>92</v>
      </c>
      <c r="B23" s="125"/>
      <c r="C23" s="16">
        <f>C22-C21</f>
        <v>-278.15129024999999</v>
      </c>
      <c r="D23" s="16">
        <f t="shared" ref="D23:V23" si="3">D22-D21</f>
        <v>-278.15129024999999</v>
      </c>
      <c r="E23" s="16">
        <f t="shared" si="3"/>
        <v>-278.15129024999999</v>
      </c>
      <c r="F23" s="16">
        <f t="shared" si="3"/>
        <v>-278.15129024999999</v>
      </c>
      <c r="G23" s="16">
        <f t="shared" si="3"/>
        <v>-278.15129024999999</v>
      </c>
      <c r="H23" s="16">
        <f t="shared" si="3"/>
        <v>-278.15129024999999</v>
      </c>
      <c r="I23" s="16">
        <f t="shared" si="3"/>
        <v>-296.15129024999999</v>
      </c>
      <c r="J23" s="16">
        <f t="shared" si="3"/>
        <v>-278.15129024999999</v>
      </c>
      <c r="K23" s="16">
        <f t="shared" si="3"/>
        <v>-278.15129024999999</v>
      </c>
      <c r="L23" s="16">
        <f t="shared" si="3"/>
        <v>-278.15129024999999</v>
      </c>
      <c r="M23" s="16">
        <f t="shared" si="3"/>
        <v>-278.15129024999999</v>
      </c>
      <c r="N23" s="16">
        <f t="shared" si="3"/>
        <v>-278.15129024999999</v>
      </c>
      <c r="O23" s="16">
        <f t="shared" si="3"/>
        <v>-296.15129024999999</v>
      </c>
      <c r="P23" s="16">
        <f t="shared" si="3"/>
        <v>-278.15129024999999</v>
      </c>
      <c r="Q23" s="16">
        <f t="shared" si="3"/>
        <v>-278.15129024999999</v>
      </c>
      <c r="R23" s="16">
        <f t="shared" si="3"/>
        <v>-278.15129024999999</v>
      </c>
      <c r="S23" s="16">
        <f t="shared" si="3"/>
        <v>-278.15129024999999</v>
      </c>
      <c r="T23" s="16">
        <f t="shared" si="3"/>
        <v>-278.15129024999999</v>
      </c>
      <c r="U23" s="16">
        <f t="shared" si="3"/>
        <v>-278.15129024999999</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1.99</v>
      </c>
      <c r="C28" s="15">
        <v>0.81699999999999995</v>
      </c>
      <c r="D28" s="15">
        <v>0.104</v>
      </c>
      <c r="E28" s="15">
        <v>6.4199999999999993E-2</v>
      </c>
      <c r="F28" s="15">
        <v>855</v>
      </c>
      <c r="G28" s="15">
        <v>43.8</v>
      </c>
      <c r="H28" s="15">
        <v>137</v>
      </c>
      <c r="I28" s="15">
        <v>16.600000000000001</v>
      </c>
      <c r="J28" s="15">
        <v>0.32</v>
      </c>
      <c r="K28" s="23">
        <v>2.0299999999999998</v>
      </c>
      <c r="L28" s="15">
        <v>18</v>
      </c>
      <c r="M28" s="15">
        <v>6.13</v>
      </c>
      <c r="N28" s="15">
        <v>3870</v>
      </c>
      <c r="O28" s="15">
        <v>421000</v>
      </c>
      <c r="P28" s="15"/>
      <c r="Q28" s="15">
        <v>5620</v>
      </c>
      <c r="R28" s="15"/>
      <c r="S28" s="15">
        <v>63.9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250</v>
      </c>
      <c r="C31" s="77">
        <f>IF(C$27="%w/w SAR",((C$28*10)*$B31),IF(C$27="%w/w DM",(((C$28*10)*($B$28/100))*$B31),IF(C$27="kg/t SAR",(C$28*$B31),IF(C$27="kg/t DM",((C$28*($B$28/100))*$B31),IF(C$27="mg/kg SAR",((C$28*0.001)*$B31),IF(C$27="mg/kg DM",(((C$28*0.001)*($B$28/100))*$B31),0))))))</f>
        <v>40.64575</v>
      </c>
      <c r="D31" s="77">
        <f>(IF(D$27="%w/w SAR",((D$28*10)*$B31),IF(D$27="%w/w DM",(((D$28*10)*($B$28/100))*$B31),IF(D$27="kg/t SAR",(D$28*$B31),IF(D$27="kg/t DM",((D$28*($B$28/100))*$B31),IF(D$27="mg/kg SAR",((D$28*0.001)*$B31),IF(D$27="mg/kg DM",(((D$28*0.001)*($B$28/100))*$B31),"0")))))))*2.291</f>
        <v>11.853634000000001</v>
      </c>
      <c r="E31" s="77">
        <f>(IF(E$27="%w/w SAR",((E$28*10)*$B31),IF(E$27="%w/w DM",(((E$28*10)*($B$28/100))*$B31),IF(E$27="kg/t SAR",(E$28*$B31),IF(E$27="kg/t DM",((E$28*($B$28/100))*$B31),IF(E$27="mg/kg SAR",((E$28*0.001)*$B31),IF(E$27="mg/kg DM",(((E$28*0.001)*($B$28/100))*$B31),"0")))))))*1.205</f>
        <v>3.8487097499999998</v>
      </c>
      <c r="F31" s="77">
        <f>(IF(F$27="%w/w SAR",((F$28*10)*$B31),IF(F$27="%w/w DM",(((F$28*10)*($B$28/100))*$B31),IF(F$27="kg/t SAR",(F$28*$B31),IF(F$27="kg/t DM",((F$28*($B$28/100))*$B31),IF(F$27="mg/kg SAR",((F$28*0.001)*$B31),IF(F$27="mg/kg DM",(((F$28*0.001)*($B$28/100))*$B31),"0")))))))*1.658</f>
        <v>7.0525102500000001</v>
      </c>
      <c r="G31" s="77">
        <f t="shared" ref="G31:P46" si="5">IF(G$27="%w/w SAR",((G$28*10)*$B31),IF(G$27="%w/w DM",(((G$28*10)*($B$28/100))*$B31),IF(G$27="kg/t SAR",(G$28*$B31),IF(G$27="kg/t DM",((G$28*($B$28/100))*$B31),IF(G$27="mg/kg SAR",((G$28*0.001)*$B31),IF(G$27="mg/kg DM",(((G$28*0.001)*($B$28/100))*$B31),0))))))</f>
        <v>0.21790500000000002</v>
      </c>
      <c r="H31" s="77">
        <f t="shared" si="5"/>
        <v>0.68157500000000015</v>
      </c>
      <c r="I31" s="77">
        <f t="shared" si="5"/>
        <v>8.2585000000000006E-2</v>
      </c>
      <c r="J31" s="77">
        <f t="shared" si="5"/>
        <v>1.5920000000000001E-3</v>
      </c>
      <c r="K31" s="77">
        <f t="shared" si="5"/>
        <v>1.0099249999999999E-2</v>
      </c>
      <c r="L31" s="77">
        <f t="shared" si="5"/>
        <v>8.9550000000000018E-2</v>
      </c>
      <c r="M31" s="77">
        <f t="shared" si="5"/>
        <v>3.0496750000000003E-2</v>
      </c>
      <c r="N31" s="77">
        <f t="shared" si="5"/>
        <v>19.253250000000001</v>
      </c>
      <c r="O31" s="77">
        <f t="shared" si="5"/>
        <v>2094.4749999999999</v>
      </c>
      <c r="P31" s="77">
        <f t="shared" si="5"/>
        <v>0</v>
      </c>
      <c r="Q31" s="77">
        <f>(IF(Q$27="%w/w SAR",((Q$28*10)*$B31),IF(Q$27="%w/w DM",(((Q$28*10)*($B$28/100))*$B31),IF(Q$27="kg/t SAR",(Q$28*$B31),IF(Q$27="kg/t DM",((Q$28*($B$28/100))*$B31),IF(Q$27="mg/kg SAR",((Q$28*0.001)*$B31),IF(Q$27="mg/kg DM",(((Q$28*0.001)*($B$28/100))*$B31),0)))))))*2.5</f>
        <v>69.898750000000007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0.31790250000000003</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250</v>
      </c>
      <c r="C32" s="77">
        <f t="shared" ref="C32:C50" si="6">IF(C$27="%w/w SAR",((C$28*10)*$B32),IF(C$27="%w/w DM",(((C$28*10)*($B$28/100))*$B32),IF(C$27="kg/t SAR",(C$28*$B32),IF(C$27="kg/t DM",((C$28*($B$28/100))*$B32),IF(C$27="mg/kg SAR",((C$28*0.001)*$B32),IF(C$27="mg/kg DM",(((C$28*0.001)*($B$28/100))*$B32),0))))))</f>
        <v>40.64575</v>
      </c>
      <c r="D32" s="77">
        <f t="shared" ref="D32:D50" si="7">(IF(D$27="%w/w SAR",((D$28*10)*$B32),IF(D$27="%w/w DM",(((D$28*10)*($B$28/100))*$B32),IF(D$27="kg/t SAR",(D$28*$B32),IF(D$27="kg/t DM",((D$28*($B$28/100))*$B32),IF(D$27="mg/kg SAR",((D$28*0.001)*$B32),IF(D$27="mg/kg DM",(((D$28*0.001)*($B$28/100))*$B32),"0")))))))*2.291</f>
        <v>11.853634000000001</v>
      </c>
      <c r="E32" s="77">
        <f t="shared" ref="E32:E50" si="8">(IF(E$27="%w/w SAR",((E$28*10)*$B32),IF(E$27="%w/w DM",(((E$28*10)*($B$28/100))*$B32),IF(E$27="kg/t SAR",(E$28*$B32),IF(E$27="kg/t DM",((E$28*($B$28/100))*$B32),IF(E$27="mg/kg SAR",((E$28*0.001)*$B32),IF(E$27="mg/kg DM",(((E$28*0.001)*($B$28/100))*$B32),"0")))))))*1.205</f>
        <v>3.8487097499999998</v>
      </c>
      <c r="F32" s="77">
        <f t="shared" ref="F32:F50" si="9">(IF(F$27="%w/w SAR",((F$28*10)*$B32),IF(F$27="%w/w DM",(((F$28*10)*($B$28/100))*$B32),IF(F$27="kg/t SAR",(F$28*$B32),IF(F$27="kg/t DM",((F$28*($B$28/100))*$B32),IF(F$27="mg/kg SAR",((F$28*0.001)*$B32),IF(F$27="mg/kg DM",(((F$28*0.001)*($B$28/100))*$B32),"0")))))))*1.658</f>
        <v>7.0525102500000001</v>
      </c>
      <c r="G32" s="77">
        <f t="shared" si="5"/>
        <v>0.21790500000000002</v>
      </c>
      <c r="H32" s="77">
        <f t="shared" si="5"/>
        <v>0.68157500000000015</v>
      </c>
      <c r="I32" s="77">
        <f t="shared" si="5"/>
        <v>8.2585000000000006E-2</v>
      </c>
      <c r="J32" s="77">
        <f t="shared" si="5"/>
        <v>1.5920000000000001E-3</v>
      </c>
      <c r="K32" s="77">
        <f t="shared" si="5"/>
        <v>1.0099249999999999E-2</v>
      </c>
      <c r="L32" s="77">
        <f t="shared" si="5"/>
        <v>8.9550000000000018E-2</v>
      </c>
      <c r="M32" s="77">
        <f t="shared" si="5"/>
        <v>3.0496750000000003E-2</v>
      </c>
      <c r="N32" s="77">
        <f t="shared" si="5"/>
        <v>19.253250000000001</v>
      </c>
      <c r="O32" s="77">
        <f t="shared" si="5"/>
        <v>2094.4749999999999</v>
      </c>
      <c r="P32" s="77">
        <f t="shared" si="5"/>
        <v>0</v>
      </c>
      <c r="Q32" s="77">
        <f t="shared" ref="Q32:Q50" si="10">(IF(Q$27="%w/w SAR",((Q$28*10)*$B32),IF(Q$27="%w/w DM",(((Q$28*10)*($B$28/100))*$B32),IF(Q$27="kg/t SAR",(Q$28*$B32),IF(Q$27="kg/t DM",((Q$28*($B$28/100))*$B32),IF(Q$27="mg/kg SAR",((Q$28*0.001)*$B32),IF(Q$27="mg/kg DM",(((Q$28*0.001)*($B$28/100))*$B32),0)))))))*2.5</f>
        <v>69.898750000000007</v>
      </c>
      <c r="R32" s="77">
        <f t="shared" ref="R32:U50" si="11">IF(R$27="%w/w SAR",((R$28*10)*$B32),IF(R$27="%w/w DM",(((R$28*10)*($B$28/100))*$B32),IF(R$27="kg/t SAR",(R$28*$B32),IF(R$27="kg/t DM",((R$28*($B$28/100))*$B32),IF(R$27="mg/kg SAR",((R$28*0.001)*$B32),IF(R$27="mg/kg DM",(((R$28*0.001)*($B$28/100))*$B32),0))))))</f>
        <v>0</v>
      </c>
      <c r="S32" s="77">
        <f t="shared" si="11"/>
        <v>0.31790250000000003</v>
      </c>
      <c r="T32" s="77">
        <f t="shared" si="11"/>
        <v>0</v>
      </c>
      <c r="U32" s="77">
        <f t="shared" si="11"/>
        <v>0</v>
      </c>
      <c r="AB32" s="59"/>
      <c r="AC32" s="59"/>
      <c r="AD32" s="59"/>
      <c r="AE32" s="59"/>
      <c r="AF32" s="59"/>
      <c r="AG32" s="59"/>
      <c r="AH32" s="59"/>
      <c r="AI32" s="59"/>
    </row>
    <row r="33" spans="1:35" s="72" customFormat="1" ht="13" x14ac:dyDescent="0.35">
      <c r="A33" s="13" t="str">
        <f>E8</f>
        <v>Woodstock 3</v>
      </c>
      <c r="B33" s="15">
        <v>250</v>
      </c>
      <c r="C33" s="77">
        <f t="shared" si="6"/>
        <v>40.64575</v>
      </c>
      <c r="D33" s="77">
        <f t="shared" si="7"/>
        <v>11.853634000000001</v>
      </c>
      <c r="E33" s="77">
        <f t="shared" si="8"/>
        <v>3.8487097499999998</v>
      </c>
      <c r="F33" s="77">
        <f t="shared" si="9"/>
        <v>7.0525102500000001</v>
      </c>
      <c r="G33" s="77">
        <f t="shared" si="5"/>
        <v>0.21790500000000002</v>
      </c>
      <c r="H33" s="77">
        <f t="shared" si="5"/>
        <v>0.68157500000000015</v>
      </c>
      <c r="I33" s="77">
        <f t="shared" si="5"/>
        <v>8.2585000000000006E-2</v>
      </c>
      <c r="J33" s="77">
        <f t="shared" si="5"/>
        <v>1.5920000000000001E-3</v>
      </c>
      <c r="K33" s="77">
        <f t="shared" si="5"/>
        <v>1.0099249999999999E-2</v>
      </c>
      <c r="L33" s="77">
        <f t="shared" si="5"/>
        <v>8.9550000000000018E-2</v>
      </c>
      <c r="M33" s="77">
        <f t="shared" si="5"/>
        <v>3.0496750000000003E-2</v>
      </c>
      <c r="N33" s="77">
        <f t="shared" si="5"/>
        <v>19.253250000000001</v>
      </c>
      <c r="O33" s="77">
        <f t="shared" si="5"/>
        <v>2094.4749999999999</v>
      </c>
      <c r="P33" s="77">
        <f t="shared" si="5"/>
        <v>0</v>
      </c>
      <c r="Q33" s="77">
        <f t="shared" si="10"/>
        <v>69.898750000000007</v>
      </c>
      <c r="R33" s="77">
        <f t="shared" si="11"/>
        <v>0</v>
      </c>
      <c r="S33" s="77">
        <f t="shared" si="11"/>
        <v>0.31790250000000003</v>
      </c>
      <c r="T33" s="77">
        <f t="shared" si="11"/>
        <v>0</v>
      </c>
      <c r="U33" s="77">
        <f t="shared" si="11"/>
        <v>0</v>
      </c>
      <c r="AB33" s="59"/>
      <c r="AC33" s="59"/>
      <c r="AD33" s="59"/>
      <c r="AE33" s="59"/>
      <c r="AF33" s="59"/>
      <c r="AG33" s="59"/>
      <c r="AH33" s="59"/>
      <c r="AI33" s="59"/>
    </row>
    <row r="34" spans="1:35" s="72" customFormat="1" ht="13" x14ac:dyDescent="0.35">
      <c r="A34" s="13" t="str">
        <f>F8</f>
        <v>Woodstock 4</v>
      </c>
      <c r="B34" s="15">
        <v>250</v>
      </c>
      <c r="C34" s="77">
        <f t="shared" si="6"/>
        <v>40.64575</v>
      </c>
      <c r="D34" s="77">
        <f t="shared" si="7"/>
        <v>11.853634000000001</v>
      </c>
      <c r="E34" s="77">
        <f t="shared" si="8"/>
        <v>3.8487097499999998</v>
      </c>
      <c r="F34" s="77">
        <f t="shared" si="9"/>
        <v>7.0525102500000001</v>
      </c>
      <c r="G34" s="77">
        <f t="shared" si="5"/>
        <v>0.21790500000000002</v>
      </c>
      <c r="H34" s="77">
        <f t="shared" si="5"/>
        <v>0.68157500000000015</v>
      </c>
      <c r="I34" s="77">
        <f t="shared" si="5"/>
        <v>8.2585000000000006E-2</v>
      </c>
      <c r="J34" s="77">
        <f t="shared" si="5"/>
        <v>1.5920000000000001E-3</v>
      </c>
      <c r="K34" s="77">
        <f t="shared" si="5"/>
        <v>1.0099249999999999E-2</v>
      </c>
      <c r="L34" s="77">
        <f t="shared" si="5"/>
        <v>8.9550000000000018E-2</v>
      </c>
      <c r="M34" s="77">
        <f t="shared" si="5"/>
        <v>3.0496750000000003E-2</v>
      </c>
      <c r="N34" s="77">
        <f t="shared" si="5"/>
        <v>19.253250000000001</v>
      </c>
      <c r="O34" s="77">
        <f t="shared" si="5"/>
        <v>2094.4749999999999</v>
      </c>
      <c r="P34" s="77">
        <f t="shared" si="5"/>
        <v>0</v>
      </c>
      <c r="Q34" s="77">
        <f t="shared" si="10"/>
        <v>69.898750000000007</v>
      </c>
      <c r="R34" s="77">
        <f t="shared" si="11"/>
        <v>0</v>
      </c>
      <c r="S34" s="77">
        <f t="shared" si="11"/>
        <v>0.31790250000000003</v>
      </c>
      <c r="T34" s="77">
        <f t="shared" si="11"/>
        <v>0</v>
      </c>
      <c r="U34" s="77">
        <f t="shared" si="11"/>
        <v>0</v>
      </c>
      <c r="AB34" s="59"/>
      <c r="AC34" s="59"/>
      <c r="AD34" s="59"/>
      <c r="AE34" s="59"/>
      <c r="AF34" s="59"/>
      <c r="AG34" s="59"/>
      <c r="AH34" s="59"/>
      <c r="AI34" s="59"/>
    </row>
    <row r="35" spans="1:35" s="72" customFormat="1" ht="13" x14ac:dyDescent="0.35">
      <c r="A35" s="13" t="str">
        <f>G8</f>
        <v>Woodstock 5</v>
      </c>
      <c r="B35" s="15">
        <v>250</v>
      </c>
      <c r="C35" s="77">
        <f t="shared" si="6"/>
        <v>40.64575</v>
      </c>
      <c r="D35" s="77">
        <f t="shared" si="7"/>
        <v>11.853634000000001</v>
      </c>
      <c r="E35" s="77">
        <f t="shared" si="8"/>
        <v>3.8487097499999998</v>
      </c>
      <c r="F35" s="77">
        <f t="shared" si="9"/>
        <v>7.0525102500000001</v>
      </c>
      <c r="G35" s="77">
        <f t="shared" si="5"/>
        <v>0.21790500000000002</v>
      </c>
      <c r="H35" s="77">
        <f t="shared" si="5"/>
        <v>0.68157500000000015</v>
      </c>
      <c r="I35" s="77">
        <f t="shared" si="5"/>
        <v>8.2585000000000006E-2</v>
      </c>
      <c r="J35" s="77">
        <f t="shared" si="5"/>
        <v>1.5920000000000001E-3</v>
      </c>
      <c r="K35" s="77">
        <f t="shared" si="5"/>
        <v>1.0099249999999999E-2</v>
      </c>
      <c r="L35" s="77">
        <f t="shared" si="5"/>
        <v>8.9550000000000018E-2</v>
      </c>
      <c r="M35" s="77">
        <f t="shared" si="5"/>
        <v>3.0496750000000003E-2</v>
      </c>
      <c r="N35" s="77">
        <f t="shared" si="5"/>
        <v>19.253250000000001</v>
      </c>
      <c r="O35" s="77">
        <f t="shared" si="5"/>
        <v>2094.4749999999999</v>
      </c>
      <c r="P35" s="77">
        <f t="shared" si="5"/>
        <v>0</v>
      </c>
      <c r="Q35" s="77">
        <f t="shared" si="10"/>
        <v>69.898750000000007</v>
      </c>
      <c r="R35" s="77">
        <f t="shared" si="11"/>
        <v>0</v>
      </c>
      <c r="S35" s="77">
        <f t="shared" si="11"/>
        <v>0.31790250000000003</v>
      </c>
      <c r="T35" s="77">
        <f t="shared" si="11"/>
        <v>0</v>
      </c>
      <c r="U35" s="77">
        <f t="shared" si="11"/>
        <v>0</v>
      </c>
      <c r="AB35" s="59"/>
      <c r="AC35" s="59"/>
      <c r="AD35" s="59"/>
      <c r="AE35" s="59"/>
      <c r="AF35" s="59"/>
      <c r="AG35" s="59"/>
      <c r="AH35" s="59"/>
      <c r="AI35" s="59"/>
    </row>
    <row r="36" spans="1:35" s="72" customFormat="1" ht="13" x14ac:dyDescent="0.35">
      <c r="A36" s="13" t="str">
        <f>H8</f>
        <v>Woodstock 6</v>
      </c>
      <c r="B36" s="15">
        <v>250</v>
      </c>
      <c r="C36" s="77">
        <f t="shared" si="6"/>
        <v>40.64575</v>
      </c>
      <c r="D36" s="77">
        <f t="shared" si="7"/>
        <v>11.853634000000001</v>
      </c>
      <c r="E36" s="77">
        <f t="shared" si="8"/>
        <v>3.8487097499999998</v>
      </c>
      <c r="F36" s="77">
        <f t="shared" si="9"/>
        <v>7.0525102500000001</v>
      </c>
      <c r="G36" s="77">
        <f t="shared" si="5"/>
        <v>0.21790500000000002</v>
      </c>
      <c r="H36" s="77">
        <f t="shared" si="5"/>
        <v>0.68157500000000015</v>
      </c>
      <c r="I36" s="77">
        <f t="shared" si="5"/>
        <v>8.2585000000000006E-2</v>
      </c>
      <c r="J36" s="77">
        <f t="shared" si="5"/>
        <v>1.5920000000000001E-3</v>
      </c>
      <c r="K36" s="77">
        <f t="shared" si="5"/>
        <v>1.0099249999999999E-2</v>
      </c>
      <c r="L36" s="77">
        <f t="shared" si="5"/>
        <v>8.9550000000000018E-2</v>
      </c>
      <c r="M36" s="77">
        <f t="shared" si="5"/>
        <v>3.0496750000000003E-2</v>
      </c>
      <c r="N36" s="77">
        <f t="shared" si="5"/>
        <v>19.253250000000001</v>
      </c>
      <c r="O36" s="77">
        <f t="shared" si="5"/>
        <v>2094.4749999999999</v>
      </c>
      <c r="P36" s="77">
        <f t="shared" si="5"/>
        <v>0</v>
      </c>
      <c r="Q36" s="77">
        <f t="shared" si="10"/>
        <v>69.898750000000007</v>
      </c>
      <c r="R36" s="77">
        <f t="shared" si="11"/>
        <v>0</v>
      </c>
      <c r="S36" s="77">
        <f t="shared" si="11"/>
        <v>0.31790250000000003</v>
      </c>
      <c r="T36" s="77">
        <f t="shared" si="11"/>
        <v>0</v>
      </c>
      <c r="U36" s="77">
        <f t="shared" si="11"/>
        <v>0</v>
      </c>
      <c r="AB36" s="59"/>
      <c r="AC36" s="59"/>
      <c r="AD36" s="59"/>
      <c r="AE36" s="59"/>
      <c r="AF36" s="59"/>
      <c r="AG36" s="59"/>
      <c r="AH36" s="59"/>
      <c r="AI36" s="59"/>
    </row>
    <row r="37" spans="1:35" s="72" customFormat="1" ht="13" x14ac:dyDescent="0.35">
      <c r="A37" s="13" t="str">
        <f>I8</f>
        <v>Woodstock 7</v>
      </c>
      <c r="B37" s="15">
        <v>250</v>
      </c>
      <c r="C37" s="77">
        <f t="shared" si="6"/>
        <v>40.64575</v>
      </c>
      <c r="D37" s="77">
        <f t="shared" si="7"/>
        <v>11.853634000000001</v>
      </c>
      <c r="E37" s="77">
        <f t="shared" si="8"/>
        <v>3.8487097499999998</v>
      </c>
      <c r="F37" s="77">
        <f t="shared" si="9"/>
        <v>7.0525102500000001</v>
      </c>
      <c r="G37" s="77">
        <f t="shared" si="5"/>
        <v>0.21790500000000002</v>
      </c>
      <c r="H37" s="77">
        <f t="shared" si="5"/>
        <v>0.68157500000000015</v>
      </c>
      <c r="I37" s="77">
        <f t="shared" si="5"/>
        <v>8.2585000000000006E-2</v>
      </c>
      <c r="J37" s="77">
        <f t="shared" si="5"/>
        <v>1.5920000000000001E-3</v>
      </c>
      <c r="K37" s="77">
        <f t="shared" si="5"/>
        <v>1.0099249999999999E-2</v>
      </c>
      <c r="L37" s="77">
        <f t="shared" si="5"/>
        <v>8.9550000000000018E-2</v>
      </c>
      <c r="M37" s="77">
        <f t="shared" si="5"/>
        <v>3.0496750000000003E-2</v>
      </c>
      <c r="N37" s="77">
        <f t="shared" si="5"/>
        <v>19.253250000000001</v>
      </c>
      <c r="O37" s="77">
        <f t="shared" si="5"/>
        <v>2094.4749999999999</v>
      </c>
      <c r="P37" s="77">
        <f t="shared" si="5"/>
        <v>0</v>
      </c>
      <c r="Q37" s="77">
        <f t="shared" si="10"/>
        <v>69.898750000000007</v>
      </c>
      <c r="R37" s="77">
        <f t="shared" si="11"/>
        <v>0</v>
      </c>
      <c r="S37" s="77">
        <f t="shared" si="11"/>
        <v>0.31790250000000003</v>
      </c>
      <c r="T37" s="77">
        <f t="shared" si="11"/>
        <v>0</v>
      </c>
      <c r="U37" s="77">
        <f t="shared" si="11"/>
        <v>0</v>
      </c>
      <c r="AB37" s="59"/>
      <c r="AC37" s="59"/>
      <c r="AD37" s="59"/>
      <c r="AE37" s="59"/>
      <c r="AF37" s="59"/>
      <c r="AG37" s="59"/>
      <c r="AH37" s="59"/>
      <c r="AI37" s="59"/>
    </row>
    <row r="38" spans="1:35" s="72" customFormat="1" ht="13" x14ac:dyDescent="0.35">
      <c r="A38" s="13" t="str">
        <f>J8</f>
        <v>Woodstock 8</v>
      </c>
      <c r="B38" s="15">
        <v>250</v>
      </c>
      <c r="C38" s="77">
        <f t="shared" si="6"/>
        <v>40.64575</v>
      </c>
      <c r="D38" s="77">
        <f t="shared" si="7"/>
        <v>11.853634000000001</v>
      </c>
      <c r="E38" s="77">
        <f t="shared" si="8"/>
        <v>3.8487097499999998</v>
      </c>
      <c r="F38" s="77">
        <f t="shared" si="9"/>
        <v>7.0525102500000001</v>
      </c>
      <c r="G38" s="77">
        <f t="shared" si="5"/>
        <v>0.21790500000000002</v>
      </c>
      <c r="H38" s="77">
        <f t="shared" si="5"/>
        <v>0.68157500000000015</v>
      </c>
      <c r="I38" s="77">
        <f t="shared" si="5"/>
        <v>8.2585000000000006E-2</v>
      </c>
      <c r="J38" s="77">
        <f t="shared" si="5"/>
        <v>1.5920000000000001E-3</v>
      </c>
      <c r="K38" s="77">
        <f t="shared" si="5"/>
        <v>1.0099249999999999E-2</v>
      </c>
      <c r="L38" s="77">
        <f t="shared" si="5"/>
        <v>8.9550000000000018E-2</v>
      </c>
      <c r="M38" s="77">
        <f t="shared" si="5"/>
        <v>3.0496750000000003E-2</v>
      </c>
      <c r="N38" s="77">
        <f t="shared" si="5"/>
        <v>19.253250000000001</v>
      </c>
      <c r="O38" s="77">
        <f t="shared" si="5"/>
        <v>2094.4749999999999</v>
      </c>
      <c r="P38" s="77">
        <f t="shared" si="5"/>
        <v>0</v>
      </c>
      <c r="Q38" s="77">
        <f t="shared" si="10"/>
        <v>69.898750000000007</v>
      </c>
      <c r="R38" s="77">
        <f t="shared" si="11"/>
        <v>0</v>
      </c>
      <c r="S38" s="77">
        <f t="shared" si="11"/>
        <v>0.31790250000000003</v>
      </c>
      <c r="T38" s="77">
        <f t="shared" si="11"/>
        <v>0</v>
      </c>
      <c r="U38" s="77">
        <f t="shared" si="11"/>
        <v>0</v>
      </c>
      <c r="AB38" s="59"/>
      <c r="AC38" s="59"/>
      <c r="AD38" s="59"/>
      <c r="AE38" s="59"/>
      <c r="AF38" s="59"/>
      <c r="AG38" s="59"/>
      <c r="AH38" s="59"/>
      <c r="AI38" s="59"/>
    </row>
    <row r="39" spans="1:35" s="72" customFormat="1" ht="13" x14ac:dyDescent="0.35">
      <c r="A39" s="13" t="str">
        <f>K8</f>
        <v>Woodstock 9</v>
      </c>
      <c r="B39" s="15">
        <v>250</v>
      </c>
      <c r="C39" s="77">
        <f t="shared" si="6"/>
        <v>40.64575</v>
      </c>
      <c r="D39" s="77">
        <f t="shared" si="7"/>
        <v>11.853634000000001</v>
      </c>
      <c r="E39" s="77">
        <f t="shared" si="8"/>
        <v>3.8487097499999998</v>
      </c>
      <c r="F39" s="77">
        <f t="shared" si="9"/>
        <v>7.0525102500000001</v>
      </c>
      <c r="G39" s="77">
        <f t="shared" si="5"/>
        <v>0.21790500000000002</v>
      </c>
      <c r="H39" s="77">
        <f t="shared" si="5"/>
        <v>0.68157500000000015</v>
      </c>
      <c r="I39" s="77">
        <f t="shared" si="5"/>
        <v>8.2585000000000006E-2</v>
      </c>
      <c r="J39" s="77">
        <f t="shared" si="5"/>
        <v>1.5920000000000001E-3</v>
      </c>
      <c r="K39" s="77">
        <f t="shared" si="5"/>
        <v>1.0099249999999999E-2</v>
      </c>
      <c r="L39" s="77">
        <f t="shared" si="5"/>
        <v>8.9550000000000018E-2</v>
      </c>
      <c r="M39" s="77">
        <f t="shared" si="5"/>
        <v>3.0496750000000003E-2</v>
      </c>
      <c r="N39" s="77">
        <f t="shared" si="5"/>
        <v>19.253250000000001</v>
      </c>
      <c r="O39" s="77">
        <f t="shared" si="5"/>
        <v>2094.4749999999999</v>
      </c>
      <c r="P39" s="77">
        <f t="shared" si="5"/>
        <v>0</v>
      </c>
      <c r="Q39" s="77">
        <f t="shared" si="10"/>
        <v>69.898750000000007</v>
      </c>
      <c r="R39" s="77">
        <f t="shared" si="11"/>
        <v>0</v>
      </c>
      <c r="S39" s="77">
        <f t="shared" si="11"/>
        <v>0.31790250000000003</v>
      </c>
      <c r="T39" s="77">
        <f t="shared" si="11"/>
        <v>0</v>
      </c>
      <c r="U39" s="77">
        <f t="shared" si="11"/>
        <v>0</v>
      </c>
      <c r="AB39" s="59"/>
      <c r="AC39" s="59"/>
      <c r="AD39" s="59"/>
      <c r="AE39" s="59"/>
      <c r="AF39" s="59"/>
      <c r="AG39" s="59"/>
      <c r="AH39" s="59"/>
      <c r="AI39" s="59"/>
    </row>
    <row r="40" spans="1:35" s="72" customFormat="1" ht="13" x14ac:dyDescent="0.35">
      <c r="A40" s="13" t="str">
        <f>L8</f>
        <v>Woodstock 10</v>
      </c>
      <c r="B40" s="15">
        <v>250</v>
      </c>
      <c r="C40" s="77">
        <f t="shared" si="6"/>
        <v>40.64575</v>
      </c>
      <c r="D40" s="77">
        <f t="shared" si="7"/>
        <v>11.853634000000001</v>
      </c>
      <c r="E40" s="77">
        <f t="shared" si="8"/>
        <v>3.8487097499999998</v>
      </c>
      <c r="F40" s="77">
        <f t="shared" si="9"/>
        <v>7.0525102500000001</v>
      </c>
      <c r="G40" s="77">
        <f t="shared" si="5"/>
        <v>0.21790500000000002</v>
      </c>
      <c r="H40" s="77">
        <f t="shared" si="5"/>
        <v>0.68157500000000015</v>
      </c>
      <c r="I40" s="77">
        <f t="shared" si="5"/>
        <v>8.2585000000000006E-2</v>
      </c>
      <c r="J40" s="77">
        <f t="shared" si="5"/>
        <v>1.5920000000000001E-3</v>
      </c>
      <c r="K40" s="77">
        <f t="shared" si="5"/>
        <v>1.0099249999999999E-2</v>
      </c>
      <c r="L40" s="77">
        <f t="shared" si="5"/>
        <v>8.9550000000000018E-2</v>
      </c>
      <c r="M40" s="77">
        <f t="shared" si="5"/>
        <v>3.0496750000000003E-2</v>
      </c>
      <c r="N40" s="77">
        <f t="shared" si="5"/>
        <v>19.253250000000001</v>
      </c>
      <c r="O40" s="77">
        <f t="shared" si="5"/>
        <v>2094.4749999999999</v>
      </c>
      <c r="P40" s="77">
        <f t="shared" si="5"/>
        <v>0</v>
      </c>
      <c r="Q40" s="77">
        <f t="shared" si="10"/>
        <v>69.898750000000007</v>
      </c>
      <c r="R40" s="77">
        <f t="shared" si="11"/>
        <v>0</v>
      </c>
      <c r="S40" s="77">
        <f t="shared" si="11"/>
        <v>0.31790250000000003</v>
      </c>
      <c r="T40" s="77">
        <f t="shared" si="11"/>
        <v>0</v>
      </c>
      <c r="U40" s="77">
        <f t="shared" si="11"/>
        <v>0</v>
      </c>
      <c r="AB40" s="59"/>
      <c r="AC40" s="59"/>
      <c r="AD40" s="59"/>
      <c r="AE40" s="59"/>
      <c r="AF40" s="59"/>
      <c r="AG40" s="59"/>
      <c r="AH40" s="59"/>
      <c r="AI40" s="59"/>
    </row>
    <row r="41" spans="1:35" s="72" customFormat="1" ht="13" x14ac:dyDescent="0.35">
      <c r="A41" s="13" t="str">
        <f>M8</f>
        <v>Woodstock 11</v>
      </c>
      <c r="B41" s="15">
        <v>250</v>
      </c>
      <c r="C41" s="77">
        <f t="shared" si="6"/>
        <v>40.64575</v>
      </c>
      <c r="D41" s="77">
        <f t="shared" si="7"/>
        <v>11.853634000000001</v>
      </c>
      <c r="E41" s="77">
        <f t="shared" si="8"/>
        <v>3.8487097499999998</v>
      </c>
      <c r="F41" s="77">
        <f t="shared" si="9"/>
        <v>7.0525102500000001</v>
      </c>
      <c r="G41" s="77">
        <f t="shared" si="5"/>
        <v>0.21790500000000002</v>
      </c>
      <c r="H41" s="77">
        <f t="shared" si="5"/>
        <v>0.68157500000000015</v>
      </c>
      <c r="I41" s="77">
        <f t="shared" si="5"/>
        <v>8.2585000000000006E-2</v>
      </c>
      <c r="J41" s="77">
        <f t="shared" si="5"/>
        <v>1.5920000000000001E-3</v>
      </c>
      <c r="K41" s="77">
        <f t="shared" si="5"/>
        <v>1.0099249999999999E-2</v>
      </c>
      <c r="L41" s="77">
        <f t="shared" si="5"/>
        <v>8.9550000000000018E-2</v>
      </c>
      <c r="M41" s="77">
        <f t="shared" si="5"/>
        <v>3.0496750000000003E-2</v>
      </c>
      <c r="N41" s="77">
        <f t="shared" si="5"/>
        <v>19.253250000000001</v>
      </c>
      <c r="O41" s="77">
        <f t="shared" si="5"/>
        <v>2094.4749999999999</v>
      </c>
      <c r="P41" s="77">
        <f t="shared" si="5"/>
        <v>0</v>
      </c>
      <c r="Q41" s="77">
        <f t="shared" si="10"/>
        <v>69.898750000000007</v>
      </c>
      <c r="R41" s="77">
        <f t="shared" si="11"/>
        <v>0</v>
      </c>
      <c r="S41" s="77">
        <f t="shared" si="11"/>
        <v>0.31790250000000003</v>
      </c>
      <c r="T41" s="77">
        <f t="shared" si="11"/>
        <v>0</v>
      </c>
      <c r="U41" s="77">
        <f t="shared" si="11"/>
        <v>0</v>
      </c>
      <c r="AB41" s="59"/>
      <c r="AC41" s="59"/>
      <c r="AD41" s="59"/>
      <c r="AE41" s="59"/>
      <c r="AF41" s="59"/>
      <c r="AG41" s="59"/>
      <c r="AH41" s="59"/>
      <c r="AI41" s="59"/>
    </row>
    <row r="42" spans="1:35" s="72" customFormat="1" ht="13" x14ac:dyDescent="0.35">
      <c r="A42" s="13" t="str">
        <f>N8</f>
        <v>Woodstock 12</v>
      </c>
      <c r="B42" s="15">
        <v>250</v>
      </c>
      <c r="C42" s="77">
        <f t="shared" si="6"/>
        <v>40.64575</v>
      </c>
      <c r="D42" s="77">
        <f t="shared" si="7"/>
        <v>11.853634000000001</v>
      </c>
      <c r="E42" s="77">
        <f t="shared" si="8"/>
        <v>3.8487097499999998</v>
      </c>
      <c r="F42" s="77">
        <f t="shared" si="9"/>
        <v>7.0525102500000001</v>
      </c>
      <c r="G42" s="77">
        <f t="shared" si="5"/>
        <v>0.21790500000000002</v>
      </c>
      <c r="H42" s="77">
        <f t="shared" si="5"/>
        <v>0.68157500000000015</v>
      </c>
      <c r="I42" s="77">
        <f t="shared" si="5"/>
        <v>8.2585000000000006E-2</v>
      </c>
      <c r="J42" s="77">
        <f t="shared" si="5"/>
        <v>1.5920000000000001E-3</v>
      </c>
      <c r="K42" s="77">
        <f t="shared" si="5"/>
        <v>1.0099249999999999E-2</v>
      </c>
      <c r="L42" s="77">
        <f t="shared" si="5"/>
        <v>8.9550000000000018E-2</v>
      </c>
      <c r="M42" s="77">
        <f t="shared" si="5"/>
        <v>3.0496750000000003E-2</v>
      </c>
      <c r="N42" s="77">
        <f t="shared" si="5"/>
        <v>19.253250000000001</v>
      </c>
      <c r="O42" s="77">
        <f t="shared" si="5"/>
        <v>2094.4749999999999</v>
      </c>
      <c r="P42" s="77">
        <f t="shared" si="5"/>
        <v>0</v>
      </c>
      <c r="Q42" s="77">
        <f t="shared" si="10"/>
        <v>69.898750000000007</v>
      </c>
      <c r="R42" s="77">
        <f t="shared" si="11"/>
        <v>0</v>
      </c>
      <c r="S42" s="77">
        <f t="shared" si="11"/>
        <v>0.31790250000000003</v>
      </c>
      <c r="T42" s="77">
        <f t="shared" si="11"/>
        <v>0</v>
      </c>
      <c r="U42" s="77">
        <f t="shared" si="11"/>
        <v>0</v>
      </c>
      <c r="AB42" s="59"/>
      <c r="AC42" s="59"/>
      <c r="AD42" s="59"/>
      <c r="AE42" s="59"/>
      <c r="AF42" s="59"/>
      <c r="AG42" s="59"/>
      <c r="AH42" s="59"/>
      <c r="AI42" s="59"/>
    </row>
    <row r="43" spans="1:35" s="72" customFormat="1" ht="13" x14ac:dyDescent="0.35">
      <c r="A43" s="13" t="str">
        <f>O8</f>
        <v>Woodstock 13/14</v>
      </c>
      <c r="B43" s="15">
        <v>250</v>
      </c>
      <c r="C43" s="77">
        <f t="shared" si="6"/>
        <v>40.64575</v>
      </c>
      <c r="D43" s="77">
        <f t="shared" si="7"/>
        <v>11.853634000000001</v>
      </c>
      <c r="E43" s="77">
        <f t="shared" si="8"/>
        <v>3.8487097499999998</v>
      </c>
      <c r="F43" s="77">
        <f t="shared" si="9"/>
        <v>7.0525102500000001</v>
      </c>
      <c r="G43" s="77">
        <f t="shared" si="5"/>
        <v>0.21790500000000002</v>
      </c>
      <c r="H43" s="77">
        <f t="shared" si="5"/>
        <v>0.68157500000000015</v>
      </c>
      <c r="I43" s="77">
        <f t="shared" si="5"/>
        <v>8.2585000000000006E-2</v>
      </c>
      <c r="J43" s="77">
        <f t="shared" si="5"/>
        <v>1.5920000000000001E-3</v>
      </c>
      <c r="K43" s="77">
        <f t="shared" si="5"/>
        <v>1.0099249999999999E-2</v>
      </c>
      <c r="L43" s="77">
        <f t="shared" si="5"/>
        <v>8.9550000000000018E-2</v>
      </c>
      <c r="M43" s="77">
        <f t="shared" si="5"/>
        <v>3.0496750000000003E-2</v>
      </c>
      <c r="N43" s="77">
        <f t="shared" si="5"/>
        <v>19.253250000000001</v>
      </c>
      <c r="O43" s="77">
        <f t="shared" si="5"/>
        <v>2094.4749999999999</v>
      </c>
      <c r="P43" s="77">
        <f t="shared" si="5"/>
        <v>0</v>
      </c>
      <c r="Q43" s="77">
        <f t="shared" si="10"/>
        <v>69.898750000000007</v>
      </c>
      <c r="R43" s="77">
        <f t="shared" si="11"/>
        <v>0</v>
      </c>
      <c r="S43" s="77">
        <f t="shared" si="11"/>
        <v>0.31790250000000003</v>
      </c>
      <c r="T43" s="77">
        <f t="shared" si="11"/>
        <v>0</v>
      </c>
      <c r="U43" s="77">
        <f t="shared" si="11"/>
        <v>0</v>
      </c>
      <c r="AB43" s="59"/>
      <c r="AC43" s="59"/>
      <c r="AD43" s="59"/>
      <c r="AE43" s="59"/>
      <c r="AF43" s="59"/>
      <c r="AG43" s="59"/>
      <c r="AH43" s="59"/>
      <c r="AI43" s="59"/>
    </row>
    <row r="44" spans="1:35" s="72" customFormat="1" ht="13" x14ac:dyDescent="0.35">
      <c r="A44" s="13" t="str">
        <f>P8</f>
        <v>Gwarcoed 16</v>
      </c>
      <c r="B44" s="15">
        <v>250</v>
      </c>
      <c r="C44" s="77">
        <f t="shared" si="6"/>
        <v>40.64575</v>
      </c>
      <c r="D44" s="77">
        <f t="shared" si="7"/>
        <v>11.853634000000001</v>
      </c>
      <c r="E44" s="77">
        <f t="shared" si="8"/>
        <v>3.8487097499999998</v>
      </c>
      <c r="F44" s="77">
        <f t="shared" si="9"/>
        <v>7.0525102500000001</v>
      </c>
      <c r="G44" s="77">
        <f t="shared" si="5"/>
        <v>0.21790500000000002</v>
      </c>
      <c r="H44" s="77">
        <f t="shared" si="5"/>
        <v>0.68157500000000015</v>
      </c>
      <c r="I44" s="77">
        <f t="shared" si="5"/>
        <v>8.2585000000000006E-2</v>
      </c>
      <c r="J44" s="77">
        <f t="shared" si="5"/>
        <v>1.5920000000000001E-3</v>
      </c>
      <c r="K44" s="77">
        <f t="shared" si="5"/>
        <v>1.0099249999999999E-2</v>
      </c>
      <c r="L44" s="77">
        <f t="shared" si="5"/>
        <v>8.9550000000000018E-2</v>
      </c>
      <c r="M44" s="77">
        <f t="shared" si="5"/>
        <v>3.0496750000000003E-2</v>
      </c>
      <c r="N44" s="77">
        <f t="shared" si="5"/>
        <v>19.253250000000001</v>
      </c>
      <c r="O44" s="77">
        <f t="shared" si="5"/>
        <v>2094.4749999999999</v>
      </c>
      <c r="P44" s="77">
        <f t="shared" si="5"/>
        <v>0</v>
      </c>
      <c r="Q44" s="77">
        <f t="shared" si="10"/>
        <v>69.898750000000007</v>
      </c>
      <c r="R44" s="77">
        <f t="shared" si="11"/>
        <v>0</v>
      </c>
      <c r="S44" s="77">
        <f t="shared" si="11"/>
        <v>0.31790250000000003</v>
      </c>
      <c r="T44" s="77">
        <f t="shared" si="11"/>
        <v>0</v>
      </c>
      <c r="U44" s="77">
        <f t="shared" si="11"/>
        <v>0</v>
      </c>
      <c r="AB44" s="59"/>
      <c r="AC44" s="59"/>
      <c r="AD44" s="59"/>
      <c r="AE44" s="59"/>
      <c r="AF44" s="59"/>
      <c r="AG44" s="59"/>
      <c r="AH44" s="59"/>
      <c r="AI44" s="59"/>
    </row>
    <row r="45" spans="1:35" s="72" customFormat="1" ht="13" x14ac:dyDescent="0.35">
      <c r="A45" s="13" t="str">
        <f>Q8</f>
        <v>Gwarcoed 17</v>
      </c>
      <c r="B45" s="15">
        <v>250</v>
      </c>
      <c r="C45" s="77">
        <f t="shared" si="6"/>
        <v>40.64575</v>
      </c>
      <c r="D45" s="77">
        <f t="shared" si="7"/>
        <v>11.853634000000001</v>
      </c>
      <c r="E45" s="77">
        <f t="shared" si="8"/>
        <v>3.8487097499999998</v>
      </c>
      <c r="F45" s="77">
        <f t="shared" si="9"/>
        <v>7.0525102500000001</v>
      </c>
      <c r="G45" s="77">
        <f t="shared" si="5"/>
        <v>0.21790500000000002</v>
      </c>
      <c r="H45" s="77">
        <f t="shared" si="5"/>
        <v>0.68157500000000015</v>
      </c>
      <c r="I45" s="77">
        <f t="shared" si="5"/>
        <v>8.2585000000000006E-2</v>
      </c>
      <c r="J45" s="77">
        <f t="shared" si="5"/>
        <v>1.5920000000000001E-3</v>
      </c>
      <c r="K45" s="77">
        <f t="shared" si="5"/>
        <v>1.0099249999999999E-2</v>
      </c>
      <c r="L45" s="77">
        <f t="shared" si="5"/>
        <v>8.9550000000000018E-2</v>
      </c>
      <c r="M45" s="77">
        <f t="shared" si="5"/>
        <v>3.0496750000000003E-2</v>
      </c>
      <c r="N45" s="77">
        <f t="shared" si="5"/>
        <v>19.253250000000001</v>
      </c>
      <c r="O45" s="77">
        <f t="shared" si="5"/>
        <v>2094.4749999999999</v>
      </c>
      <c r="P45" s="77">
        <f t="shared" si="5"/>
        <v>0</v>
      </c>
      <c r="Q45" s="77">
        <f t="shared" si="10"/>
        <v>69.898750000000007</v>
      </c>
      <c r="R45" s="77">
        <f t="shared" si="11"/>
        <v>0</v>
      </c>
      <c r="S45" s="77">
        <f t="shared" si="11"/>
        <v>0.31790250000000003</v>
      </c>
      <c r="T45" s="77">
        <f t="shared" si="11"/>
        <v>0</v>
      </c>
      <c r="U45" s="77">
        <f t="shared" si="11"/>
        <v>0</v>
      </c>
      <c r="AB45" s="59"/>
      <c r="AC45" s="59"/>
      <c r="AD45" s="59"/>
      <c r="AE45" s="59"/>
      <c r="AF45" s="59"/>
      <c r="AG45" s="59"/>
      <c r="AH45" s="59"/>
      <c r="AI45" s="59"/>
    </row>
    <row r="46" spans="1:35" s="72" customFormat="1" ht="13" x14ac:dyDescent="0.35">
      <c r="A46" s="13" t="str">
        <f>R8</f>
        <v>Gwarcoed 19</v>
      </c>
      <c r="B46" s="15">
        <v>250</v>
      </c>
      <c r="C46" s="77">
        <f t="shared" si="6"/>
        <v>40.64575</v>
      </c>
      <c r="D46" s="77">
        <f t="shared" si="7"/>
        <v>11.853634000000001</v>
      </c>
      <c r="E46" s="77">
        <f t="shared" si="8"/>
        <v>3.8487097499999998</v>
      </c>
      <c r="F46" s="77">
        <f t="shared" si="9"/>
        <v>7.0525102500000001</v>
      </c>
      <c r="G46" s="77">
        <f t="shared" si="5"/>
        <v>0.21790500000000002</v>
      </c>
      <c r="H46" s="77">
        <f t="shared" si="5"/>
        <v>0.68157500000000015</v>
      </c>
      <c r="I46" s="77">
        <f t="shared" si="5"/>
        <v>8.2585000000000006E-2</v>
      </c>
      <c r="J46" s="77">
        <f t="shared" si="5"/>
        <v>1.5920000000000001E-3</v>
      </c>
      <c r="K46" s="77">
        <f t="shared" si="5"/>
        <v>1.0099249999999999E-2</v>
      </c>
      <c r="L46" s="77">
        <f t="shared" si="5"/>
        <v>8.9550000000000018E-2</v>
      </c>
      <c r="M46" s="77">
        <f t="shared" si="5"/>
        <v>3.0496750000000003E-2</v>
      </c>
      <c r="N46" s="77">
        <f t="shared" si="5"/>
        <v>19.253250000000001</v>
      </c>
      <c r="O46" s="77">
        <f t="shared" si="5"/>
        <v>2094.4749999999999</v>
      </c>
      <c r="P46" s="77">
        <f t="shared" si="5"/>
        <v>0</v>
      </c>
      <c r="Q46" s="77">
        <f t="shared" si="10"/>
        <v>69.898750000000007</v>
      </c>
      <c r="R46" s="77">
        <f t="shared" si="11"/>
        <v>0</v>
      </c>
      <c r="S46" s="77">
        <f t="shared" si="11"/>
        <v>0.31790250000000003</v>
      </c>
      <c r="T46" s="77">
        <f t="shared" si="11"/>
        <v>0</v>
      </c>
      <c r="U46" s="77">
        <f t="shared" si="11"/>
        <v>0</v>
      </c>
      <c r="AB46" s="59"/>
      <c r="AC46" s="59"/>
      <c r="AD46" s="59"/>
      <c r="AE46" s="59"/>
      <c r="AF46" s="59"/>
      <c r="AG46" s="59"/>
      <c r="AH46" s="59"/>
      <c r="AI46" s="59"/>
    </row>
    <row r="47" spans="1:35" s="72" customFormat="1" ht="13" x14ac:dyDescent="0.35">
      <c r="A47" s="13" t="str">
        <f>S8</f>
        <v>Gwarcoed 22</v>
      </c>
      <c r="B47" s="15">
        <v>250</v>
      </c>
      <c r="C47" s="77">
        <f t="shared" si="6"/>
        <v>40.64575</v>
      </c>
      <c r="D47" s="77">
        <f t="shared" si="7"/>
        <v>11.853634000000001</v>
      </c>
      <c r="E47" s="77">
        <f t="shared" si="8"/>
        <v>3.8487097499999998</v>
      </c>
      <c r="F47" s="77">
        <f t="shared" si="9"/>
        <v>7.0525102500000001</v>
      </c>
      <c r="G47" s="77">
        <f t="shared" ref="G47:P50" si="12">IF(G$27="%w/w SAR",((G$28*10)*$B47),IF(G$27="%w/w DM",(((G$28*10)*($B$28/100))*$B47),IF(G$27="kg/t SAR",(G$28*$B47),IF(G$27="kg/t DM",((G$28*($B$28/100))*$B47),IF(G$27="mg/kg SAR",((G$28*0.001)*$B47),IF(G$27="mg/kg DM",(((G$28*0.001)*($B$28/100))*$B47),0))))))</f>
        <v>0.21790500000000002</v>
      </c>
      <c r="H47" s="77">
        <f t="shared" si="12"/>
        <v>0.68157500000000015</v>
      </c>
      <c r="I47" s="77">
        <f t="shared" si="12"/>
        <v>8.2585000000000006E-2</v>
      </c>
      <c r="J47" s="77">
        <f t="shared" si="12"/>
        <v>1.5920000000000001E-3</v>
      </c>
      <c r="K47" s="77">
        <f t="shared" si="12"/>
        <v>1.0099249999999999E-2</v>
      </c>
      <c r="L47" s="77">
        <f t="shared" si="12"/>
        <v>8.9550000000000018E-2</v>
      </c>
      <c r="M47" s="77">
        <f t="shared" si="12"/>
        <v>3.0496750000000003E-2</v>
      </c>
      <c r="N47" s="77">
        <f t="shared" si="12"/>
        <v>19.253250000000001</v>
      </c>
      <c r="O47" s="77">
        <f t="shared" si="12"/>
        <v>2094.4749999999999</v>
      </c>
      <c r="P47" s="77">
        <f t="shared" si="12"/>
        <v>0</v>
      </c>
      <c r="Q47" s="77">
        <f t="shared" si="10"/>
        <v>69.898750000000007</v>
      </c>
      <c r="R47" s="77">
        <f t="shared" si="11"/>
        <v>0</v>
      </c>
      <c r="S47" s="77">
        <f t="shared" si="11"/>
        <v>0.31790250000000003</v>
      </c>
      <c r="T47" s="77">
        <f t="shared" si="11"/>
        <v>0</v>
      </c>
      <c r="U47" s="77">
        <f t="shared" si="11"/>
        <v>0</v>
      </c>
      <c r="AB47" s="59"/>
      <c r="AC47" s="59"/>
      <c r="AD47" s="59"/>
      <c r="AE47" s="59"/>
      <c r="AF47" s="59"/>
      <c r="AG47" s="59"/>
      <c r="AH47" s="59"/>
      <c r="AI47" s="59"/>
    </row>
    <row r="48" spans="1:35" s="72" customFormat="1" ht="13" x14ac:dyDescent="0.35">
      <c r="A48" s="13" t="str">
        <f>T8</f>
        <v>Gwarcoed 23</v>
      </c>
      <c r="B48" s="15">
        <v>250</v>
      </c>
      <c r="C48" s="77">
        <f t="shared" si="6"/>
        <v>40.64575</v>
      </c>
      <c r="D48" s="77">
        <f t="shared" si="7"/>
        <v>11.853634000000001</v>
      </c>
      <c r="E48" s="77">
        <f t="shared" si="8"/>
        <v>3.8487097499999998</v>
      </c>
      <c r="F48" s="77">
        <f t="shared" si="9"/>
        <v>7.0525102500000001</v>
      </c>
      <c r="G48" s="77">
        <f t="shared" si="12"/>
        <v>0.21790500000000002</v>
      </c>
      <c r="H48" s="77">
        <f t="shared" si="12"/>
        <v>0.68157500000000015</v>
      </c>
      <c r="I48" s="77">
        <f t="shared" si="12"/>
        <v>8.2585000000000006E-2</v>
      </c>
      <c r="J48" s="77">
        <f t="shared" si="12"/>
        <v>1.5920000000000001E-3</v>
      </c>
      <c r="K48" s="77">
        <f t="shared" si="12"/>
        <v>1.0099249999999999E-2</v>
      </c>
      <c r="L48" s="77">
        <f t="shared" si="12"/>
        <v>8.9550000000000018E-2</v>
      </c>
      <c r="M48" s="77">
        <f t="shared" si="12"/>
        <v>3.0496750000000003E-2</v>
      </c>
      <c r="N48" s="77">
        <f t="shared" si="12"/>
        <v>19.253250000000001</v>
      </c>
      <c r="O48" s="77">
        <f t="shared" si="12"/>
        <v>2094.4749999999999</v>
      </c>
      <c r="P48" s="77">
        <f t="shared" si="12"/>
        <v>0</v>
      </c>
      <c r="Q48" s="77">
        <f t="shared" si="10"/>
        <v>69.898750000000007</v>
      </c>
      <c r="R48" s="77">
        <f t="shared" si="11"/>
        <v>0</v>
      </c>
      <c r="S48" s="77">
        <f t="shared" si="11"/>
        <v>0.31790250000000003</v>
      </c>
      <c r="T48" s="77">
        <f t="shared" si="11"/>
        <v>0</v>
      </c>
      <c r="U48" s="77">
        <f t="shared" si="11"/>
        <v>0</v>
      </c>
      <c r="AB48" s="59"/>
      <c r="AC48" s="59"/>
      <c r="AD48" s="59"/>
      <c r="AE48" s="59"/>
      <c r="AF48" s="59"/>
      <c r="AG48" s="59"/>
      <c r="AH48" s="59"/>
      <c r="AI48" s="59"/>
    </row>
    <row r="49" spans="1:35" s="72" customFormat="1" ht="13" x14ac:dyDescent="0.35">
      <c r="A49" s="13" t="str">
        <f>U8</f>
        <v>Gwarcoed 24</v>
      </c>
      <c r="B49" s="15">
        <v>250</v>
      </c>
      <c r="C49" s="77">
        <f t="shared" si="6"/>
        <v>40.64575</v>
      </c>
      <c r="D49" s="77">
        <f t="shared" si="7"/>
        <v>11.853634000000001</v>
      </c>
      <c r="E49" s="77">
        <f t="shared" si="8"/>
        <v>3.8487097499999998</v>
      </c>
      <c r="F49" s="77">
        <f t="shared" si="9"/>
        <v>7.0525102500000001</v>
      </c>
      <c r="G49" s="77">
        <f t="shared" si="12"/>
        <v>0.21790500000000002</v>
      </c>
      <c r="H49" s="77">
        <f t="shared" si="12"/>
        <v>0.68157500000000015</v>
      </c>
      <c r="I49" s="77">
        <f t="shared" si="12"/>
        <v>8.2585000000000006E-2</v>
      </c>
      <c r="J49" s="77">
        <f t="shared" si="12"/>
        <v>1.5920000000000001E-3</v>
      </c>
      <c r="K49" s="77">
        <f t="shared" si="12"/>
        <v>1.0099249999999999E-2</v>
      </c>
      <c r="L49" s="77">
        <f t="shared" si="12"/>
        <v>8.9550000000000018E-2</v>
      </c>
      <c r="M49" s="77">
        <f t="shared" si="12"/>
        <v>3.0496750000000003E-2</v>
      </c>
      <c r="N49" s="77">
        <f t="shared" si="12"/>
        <v>19.253250000000001</v>
      </c>
      <c r="O49" s="77">
        <f t="shared" si="12"/>
        <v>2094.4749999999999</v>
      </c>
      <c r="P49" s="77">
        <f t="shared" si="12"/>
        <v>0</v>
      </c>
      <c r="Q49" s="77">
        <f t="shared" si="10"/>
        <v>69.898750000000007</v>
      </c>
      <c r="R49" s="77">
        <f t="shared" si="11"/>
        <v>0</v>
      </c>
      <c r="S49" s="77">
        <f t="shared" si="11"/>
        <v>0.31790250000000003</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"&amp;(VLOOKUP(C14,Table245811[],6,FALSE))</f>
        <v>0 I Grass</v>
      </c>
      <c r="C58" s="13" t="str">
        <f>D16&amp;" I "&amp;(VLOOKUP(D14,Table245811[],6,FALSE))</f>
        <v>0 I Grass</v>
      </c>
      <c r="D58" s="13" t="str">
        <f>E16&amp;" I "&amp;(VLOOKUP(E14,Table245811[],6,FALSE))</f>
        <v>0 I Grass</v>
      </c>
      <c r="E58" s="13" t="str">
        <f>F16&amp;" I "&amp;(VLOOKUP(F14,Table245811[],6,FALSE))</f>
        <v>0 I Grass</v>
      </c>
      <c r="F58" s="13" t="str">
        <f>G16&amp;" I "&amp;(VLOOKUP(G14,Table245811[],6,FALSE))</f>
        <v>0 I Grass</v>
      </c>
      <c r="G58" s="13" t="str">
        <f>H16&amp;" I "&amp;(VLOOKUP(H14,Table245811[],6,FALSE))</f>
        <v>0 I Grass</v>
      </c>
      <c r="H58" s="13" t="str">
        <f>I16&amp;" I "&amp;(VLOOKUP(I14,Table245811[],6,FALSE))</f>
        <v>0 I Arable</v>
      </c>
      <c r="I58" s="13" t="str">
        <f>J16&amp;" I "&amp;(VLOOKUP(J14,Table245811[],6,FALSE))</f>
        <v>0 I Grass</v>
      </c>
      <c r="J58" s="13" t="str">
        <f>K16&amp;" I "&amp;(VLOOKUP(K14,Table245811[],6,FALSE))</f>
        <v>0 I Grass</v>
      </c>
      <c r="K58" s="13" t="str">
        <f>L16&amp;" I "&amp;(VLOOKUP(L14,Table245811[],6,FALSE))</f>
        <v>0 I Grass</v>
      </c>
      <c r="L58" s="13" t="str">
        <f>M16&amp;" I "&amp;(VLOOKUP(M14,Table245811[],6,FALSE))</f>
        <v>0 I Grass</v>
      </c>
      <c r="M58" s="13" t="str">
        <f>N16&amp;" I "&amp;(VLOOKUP(N14,Table245811[],6,FALSE))</f>
        <v>0 I Grass</v>
      </c>
      <c r="N58" s="13" t="str">
        <f>O16&amp;" I "&amp;(VLOOKUP(O14,Table245811[],6,FALSE))</f>
        <v>0 I Arable</v>
      </c>
      <c r="O58" s="13" t="str">
        <f>P16&amp;" I "&amp;(VLOOKUP(P14,Table245811[],6,FALSE))</f>
        <v>0 I Grass</v>
      </c>
      <c r="P58" s="13" t="str">
        <f>Q16&amp;" I "&amp;(VLOOKUP(Q14,Table245811[],6,FALSE))</f>
        <v>0 I Grass</v>
      </c>
      <c r="Q58" s="13" t="str">
        <f>R16&amp;" I "&amp;(VLOOKUP(R14,Table245811[],6,FALSE))</f>
        <v>0 I Grass</v>
      </c>
      <c r="R58" s="13" t="str">
        <f>S16&amp;" I "&amp;(VLOOKUP(S14,Table245811[],6,FALSE))</f>
        <v>0 I Grass</v>
      </c>
      <c r="S58" s="13" t="str">
        <f>T16&amp;" I "&amp;(VLOOKUP(T14,Table245811[],6,FALSE))</f>
        <v>0 I Grass</v>
      </c>
      <c r="T58" s="13" t="str">
        <f>U16&amp;" I "&amp;(VLOOKUP(U14,Table245811[],6,FALSE))</f>
        <v>0 I Grass</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6.7</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6.7</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t="e">
        <f>VLOOKUP(V$14,Table245811[],5,FALSE)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A18" zoomScale="90" zoomScaleNormal="90" workbookViewId="0">
      <selection activeCell="K32" sqref="K3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6.2</v>
      </c>
      <c r="J1" s="119" t="s">
        <v>153</v>
      </c>
      <c r="K1" s="119"/>
      <c r="L1" s="97">
        <v>150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187</v>
      </c>
      <c r="G2" s="138" t="s">
        <v>110</v>
      </c>
      <c r="H2" s="139"/>
      <c r="I2" s="118"/>
      <c r="J2" s="119" t="s">
        <v>158</v>
      </c>
      <c r="K2" s="119"/>
      <c r="L2" s="97">
        <v>0.64700000000000002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2.3183925811437405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190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40.573610000000009</v>
      </c>
      <c r="D18" s="16">
        <f>$D32</f>
        <v>40.573610000000009</v>
      </c>
      <c r="E18" s="16">
        <f>$D33</f>
        <v>40.573610000000009</v>
      </c>
      <c r="F18" s="16">
        <f>$D34</f>
        <v>40.573610000000009</v>
      </c>
      <c r="G18" s="16">
        <f>$D35</f>
        <v>40.573610000000009</v>
      </c>
      <c r="H18" s="16">
        <f>$D36</f>
        <v>40.573610000000009</v>
      </c>
      <c r="I18" s="16">
        <f>$D37</f>
        <v>40.573610000000009</v>
      </c>
      <c r="J18" s="16">
        <f>$D38</f>
        <v>40.573610000000009</v>
      </c>
      <c r="K18" s="16">
        <f>$D39</f>
        <v>40.573610000000009</v>
      </c>
      <c r="L18" s="16">
        <f>$D40</f>
        <v>40.573610000000009</v>
      </c>
      <c r="M18" s="16">
        <f>$D41</f>
        <v>40.573610000000009</v>
      </c>
      <c r="N18" s="16">
        <f>$D42</f>
        <v>40.573610000000009</v>
      </c>
      <c r="O18" s="16">
        <f>$D43</f>
        <v>40.573610000000009</v>
      </c>
      <c r="P18" s="16">
        <f>$D44</f>
        <v>40.573610000000009</v>
      </c>
      <c r="Q18" s="16">
        <f>$D45</f>
        <v>40.573610000000009</v>
      </c>
      <c r="R18" s="16">
        <f>$D46</f>
        <v>40.573610000000009</v>
      </c>
      <c r="S18" s="16">
        <f>$D47</f>
        <v>40.573610000000009</v>
      </c>
      <c r="T18" s="16">
        <f>$D48</f>
        <v>40.573610000000009</v>
      </c>
      <c r="U18" s="16">
        <f>$D49</f>
        <v>40.573610000000009</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-39.326389999999982</v>
      </c>
      <c r="D19" s="16">
        <f t="shared" ref="D19:V19" si="1">D18-D17</f>
        <v>-39.326389999999982</v>
      </c>
      <c r="E19" s="16">
        <f t="shared" si="1"/>
        <v>-39.326389999999982</v>
      </c>
      <c r="F19" s="16">
        <f t="shared" si="1"/>
        <v>-39.326389999999982</v>
      </c>
      <c r="G19" s="16">
        <f t="shared" si="1"/>
        <v>-39.326389999999982</v>
      </c>
      <c r="H19" s="16">
        <f t="shared" si="1"/>
        <v>-39.326389999999982</v>
      </c>
      <c r="I19" s="16">
        <f t="shared" si="1"/>
        <v>-171.92639</v>
      </c>
      <c r="J19" s="16">
        <f t="shared" si="1"/>
        <v>-39.326389999999982</v>
      </c>
      <c r="K19" s="16">
        <f t="shared" si="1"/>
        <v>-39.326389999999982</v>
      </c>
      <c r="L19" s="16">
        <f t="shared" si="1"/>
        <v>-39.326389999999982</v>
      </c>
      <c r="M19" s="16">
        <f t="shared" si="1"/>
        <v>-39.326389999999982</v>
      </c>
      <c r="N19" s="16">
        <f t="shared" si="1"/>
        <v>-39.326389999999982</v>
      </c>
      <c r="O19" s="16">
        <f t="shared" si="1"/>
        <v>-171.92639</v>
      </c>
      <c r="P19" s="16">
        <f t="shared" si="1"/>
        <v>-39.326389999999982</v>
      </c>
      <c r="Q19" s="16">
        <f t="shared" si="1"/>
        <v>-39.326389999999982</v>
      </c>
      <c r="R19" s="16">
        <f t="shared" si="1"/>
        <v>-39.326389999999982</v>
      </c>
      <c r="S19" s="16">
        <f t="shared" si="1"/>
        <v>-39.326389999999982</v>
      </c>
      <c r="T19" s="16">
        <f t="shared" si="1"/>
        <v>-39.326389999999982</v>
      </c>
      <c r="U19" s="16">
        <f t="shared" si="1"/>
        <v>-39.326389999999982</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12.035540000000003</v>
      </c>
      <c r="D22" s="16">
        <f>$E32</f>
        <v>12.035540000000003</v>
      </c>
      <c r="E22" s="16">
        <f>$E33</f>
        <v>12.035540000000003</v>
      </c>
      <c r="F22" s="16">
        <f>$E34</f>
        <v>12.035540000000003</v>
      </c>
      <c r="G22" s="16">
        <f>$E35</f>
        <v>12.035540000000003</v>
      </c>
      <c r="H22" s="16">
        <f>$E36</f>
        <v>12.035540000000003</v>
      </c>
      <c r="I22" s="16">
        <f>$E37</f>
        <v>12.035540000000003</v>
      </c>
      <c r="J22" s="16">
        <f>$E38</f>
        <v>12.035540000000003</v>
      </c>
      <c r="K22" s="16">
        <f>$E39</f>
        <v>12.035540000000003</v>
      </c>
      <c r="L22" s="16">
        <f>$E40</f>
        <v>12.035540000000003</v>
      </c>
      <c r="M22" s="16">
        <f>$E41</f>
        <v>12.035540000000003</v>
      </c>
      <c r="N22" s="16">
        <f>$E42</f>
        <v>12.035540000000003</v>
      </c>
      <c r="O22" s="16">
        <f>$E43</f>
        <v>12.035540000000003</v>
      </c>
      <c r="P22" s="16">
        <f>$E44</f>
        <v>12.035540000000003</v>
      </c>
      <c r="Q22" s="16">
        <f>$E45</f>
        <v>12.035540000000003</v>
      </c>
      <c r="R22" s="16">
        <f>$E46</f>
        <v>12.035540000000003</v>
      </c>
      <c r="S22" s="16">
        <f>$E47</f>
        <v>12.035540000000003</v>
      </c>
      <c r="T22" s="16">
        <f>$E48</f>
        <v>12.035540000000003</v>
      </c>
      <c r="U22" s="16">
        <f>$E49</f>
        <v>12.035540000000003</v>
      </c>
      <c r="V22" s="16">
        <f>$E50</f>
        <v>0</v>
      </c>
      <c r="AI22" s="63" t="s">
        <v>102</v>
      </c>
      <c r="AJ22" s="64">
        <v>1.2</v>
      </c>
      <c r="AK22" s="65">
        <v>5</v>
      </c>
      <c r="AL22" s="29">
        <v>20</v>
      </c>
      <c r="AM22" s="11">
        <v>6.7</v>
      </c>
      <c r="AN22" s="11" t="s">
        <v>135</v>
      </c>
    </row>
    <row r="23" spans="1:40" ht="13" x14ac:dyDescent="0.25">
      <c r="A23" s="124" t="s">
        <v>92</v>
      </c>
      <c r="B23" s="125"/>
      <c r="C23" s="16">
        <f>C22-C21</f>
        <v>-269.96445999999997</v>
      </c>
      <c r="D23" s="16">
        <f t="shared" ref="D23:V23" si="3">D22-D21</f>
        <v>-269.96445999999997</v>
      </c>
      <c r="E23" s="16">
        <f t="shared" si="3"/>
        <v>-269.96445999999997</v>
      </c>
      <c r="F23" s="16">
        <f t="shared" si="3"/>
        <v>-269.96445999999997</v>
      </c>
      <c r="G23" s="16">
        <f t="shared" si="3"/>
        <v>-269.96445999999997</v>
      </c>
      <c r="H23" s="16">
        <f t="shared" si="3"/>
        <v>-269.96445999999997</v>
      </c>
      <c r="I23" s="16">
        <f t="shared" si="3"/>
        <v>-287.96445999999997</v>
      </c>
      <c r="J23" s="16">
        <f t="shared" si="3"/>
        <v>-269.96445999999997</v>
      </c>
      <c r="K23" s="16">
        <f t="shared" si="3"/>
        <v>-269.96445999999997</v>
      </c>
      <c r="L23" s="16">
        <f t="shared" si="3"/>
        <v>-269.96445999999997</v>
      </c>
      <c r="M23" s="16">
        <f t="shared" si="3"/>
        <v>-269.96445999999997</v>
      </c>
      <c r="N23" s="16">
        <f t="shared" si="3"/>
        <v>-269.96445999999997</v>
      </c>
      <c r="O23" s="16">
        <f t="shared" si="3"/>
        <v>-287.96445999999997</v>
      </c>
      <c r="P23" s="16">
        <f t="shared" si="3"/>
        <v>-269.96445999999997</v>
      </c>
      <c r="Q23" s="16">
        <f t="shared" si="3"/>
        <v>-269.96445999999997</v>
      </c>
      <c r="R23" s="16">
        <f t="shared" si="3"/>
        <v>-269.96445999999997</v>
      </c>
      <c r="S23" s="16">
        <f t="shared" si="3"/>
        <v>-269.96445999999997</v>
      </c>
      <c r="T23" s="16">
        <f t="shared" si="3"/>
        <v>-269.96445999999997</v>
      </c>
      <c r="U23" s="16">
        <f t="shared" si="3"/>
        <v>-269.96445999999997</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4.4000000000000004</v>
      </c>
      <c r="C28" s="15">
        <v>0.64700000000000002</v>
      </c>
      <c r="D28" s="15">
        <v>0.161</v>
      </c>
      <c r="E28" s="15">
        <v>9.0800000000000006E-2</v>
      </c>
      <c r="F28" s="15">
        <v>2070</v>
      </c>
      <c r="G28" s="15">
        <v>30.5</v>
      </c>
      <c r="H28" s="15">
        <v>168</v>
      </c>
      <c r="I28" s="15">
        <v>53.7</v>
      </c>
      <c r="J28" s="15">
        <v>0.23</v>
      </c>
      <c r="K28" s="23">
        <v>0.99</v>
      </c>
      <c r="L28" s="15">
        <v>15.6</v>
      </c>
      <c r="M28" s="15"/>
      <c r="N28" s="15">
        <v>9760</v>
      </c>
      <c r="O28" s="15">
        <v>323300</v>
      </c>
      <c r="P28" s="15"/>
      <c r="Q28" s="15">
        <v>3040</v>
      </c>
      <c r="R28" s="15"/>
      <c r="S28" s="15">
        <v>29.5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250</v>
      </c>
      <c r="C31" s="77">
        <f>IF(C$27="%w/w SAR",((C$28*10)*$B31),IF(C$27="%w/w DM",(((C$28*10)*($B$28/100))*$B31),IF(C$27="kg/t SAR",(C$28*$B31),IF(C$27="kg/t DM",((C$28*($B$28/100))*$B31),IF(C$27="mg/kg SAR",((C$28*0.001)*$B31),IF(C$27="mg/kg DM",(((C$28*0.001)*($B$28/100))*$B31),0))))))</f>
        <v>71.170000000000016</v>
      </c>
      <c r="D31" s="77">
        <f>(IF(D$27="%w/w SAR",((D$28*10)*$B31),IF(D$27="%w/w DM",(((D$28*10)*($B$28/100))*$B31),IF(D$27="kg/t SAR",(D$28*$B31),IF(D$27="kg/t DM",((D$28*($B$28/100))*$B31),IF(D$27="mg/kg SAR",((D$28*0.001)*$B31),IF(D$27="mg/kg DM",(((D$28*0.001)*($B$28/100))*$B31),"0")))))))*2.291</f>
        <v>40.573610000000009</v>
      </c>
      <c r="E31" s="77">
        <f>(IF(E$27="%w/w SAR",((E$28*10)*$B31),IF(E$27="%w/w DM",(((E$28*10)*($B$28/100))*$B31),IF(E$27="kg/t SAR",(E$28*$B31),IF(E$27="kg/t DM",((E$28*($B$28/100))*$B31),IF(E$27="mg/kg SAR",((E$28*0.001)*$B31),IF(E$27="mg/kg DM",(((E$28*0.001)*($B$28/100))*$B31),"0")))))))*1.205</f>
        <v>12.035540000000003</v>
      </c>
      <c r="F31" s="77">
        <f>(IF(F$27="%w/w SAR",((F$28*10)*$B31),IF(F$27="%w/w DM",(((F$28*10)*($B$28/100))*$B31),IF(F$27="kg/t SAR",(F$28*$B31),IF(F$27="kg/t DM",((F$28*($B$28/100))*$B31),IF(F$27="mg/kg SAR",((F$28*0.001)*$B31),IF(F$27="mg/kg DM",(((F$28*0.001)*($B$28/100))*$B31),"0")))))))*1.658</f>
        <v>37.752660000000006</v>
      </c>
      <c r="G31" s="77">
        <f t="shared" ref="G31:P46" si="5">IF(G$27="%w/w SAR",((G$28*10)*$B31),IF(G$27="%w/w DM",(((G$28*10)*($B$28/100))*$B31),IF(G$27="kg/t SAR",(G$28*$B31),IF(G$27="kg/t DM",((G$28*($B$28/100))*$B31),IF(G$27="mg/kg SAR",((G$28*0.001)*$B31),IF(G$27="mg/kg DM",(((G$28*0.001)*($B$28/100))*$B31),0))))))</f>
        <v>0.33550000000000002</v>
      </c>
      <c r="H31" s="77">
        <f t="shared" si="5"/>
        <v>1.8480000000000003</v>
      </c>
      <c r="I31" s="77">
        <f t="shared" si="5"/>
        <v>0.59070000000000011</v>
      </c>
      <c r="J31" s="77">
        <f t="shared" si="5"/>
        <v>2.5300000000000001E-3</v>
      </c>
      <c r="K31" s="77">
        <f t="shared" si="5"/>
        <v>1.089E-2</v>
      </c>
      <c r="L31" s="77">
        <f t="shared" si="5"/>
        <v>0.1716</v>
      </c>
      <c r="M31" s="77">
        <f t="shared" si="5"/>
        <v>0</v>
      </c>
      <c r="N31" s="77">
        <f t="shared" si="5"/>
        <v>107.36000000000001</v>
      </c>
      <c r="O31" s="77">
        <f t="shared" si="5"/>
        <v>3556.3000000000006</v>
      </c>
      <c r="P31" s="77">
        <f t="shared" si="5"/>
        <v>0</v>
      </c>
      <c r="Q31" s="77">
        <f>(IF(Q$27="%w/w SAR",((Q$28*10)*$B31),IF(Q$27="%w/w DM",(((Q$28*10)*($B$28/100))*$B31),IF(Q$27="kg/t SAR",(Q$28*$B31),IF(Q$27="kg/t DM",((Q$28*($B$28/100))*$B31),IF(Q$27="mg/kg SAR",((Q$28*0.001)*$B31),IF(Q$27="mg/kg DM",(((Q$28*0.001)*($B$28/100))*$B31),0)))))))*2.5</f>
        <v>83.600000000000009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0.32450000000000001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250</v>
      </c>
      <c r="C32" s="77">
        <f t="shared" ref="C32:C50" si="6">IF(C$27="%w/w SAR",((C$28*10)*$B32),IF(C$27="%w/w DM",(((C$28*10)*($B$28/100))*$B32),IF(C$27="kg/t SAR",(C$28*$B32),IF(C$27="kg/t DM",((C$28*($B$28/100))*$B32),IF(C$27="mg/kg SAR",((C$28*0.001)*$B32),IF(C$27="mg/kg DM",(((C$28*0.001)*($B$28/100))*$B32),0))))))</f>
        <v>71.170000000000016</v>
      </c>
      <c r="D32" s="77">
        <f t="shared" ref="D32:D50" si="7">(IF(D$27="%w/w SAR",((D$28*10)*$B32),IF(D$27="%w/w DM",(((D$28*10)*($B$28/100))*$B32),IF(D$27="kg/t SAR",(D$28*$B32),IF(D$27="kg/t DM",((D$28*($B$28/100))*$B32),IF(D$27="mg/kg SAR",((D$28*0.001)*$B32),IF(D$27="mg/kg DM",(((D$28*0.001)*($B$28/100))*$B32),"0")))))))*2.291</f>
        <v>40.573610000000009</v>
      </c>
      <c r="E32" s="77">
        <f t="shared" ref="E32:E50" si="8">(IF(E$27="%w/w SAR",((E$28*10)*$B32),IF(E$27="%w/w DM",(((E$28*10)*($B$28/100))*$B32),IF(E$27="kg/t SAR",(E$28*$B32),IF(E$27="kg/t DM",((E$28*($B$28/100))*$B32),IF(E$27="mg/kg SAR",((E$28*0.001)*$B32),IF(E$27="mg/kg DM",(((E$28*0.001)*($B$28/100))*$B32),"0")))))))*1.205</f>
        <v>12.035540000000003</v>
      </c>
      <c r="F32" s="77">
        <f t="shared" ref="F32:F50" si="9">(IF(F$27="%w/w SAR",((F$28*10)*$B32),IF(F$27="%w/w DM",(((F$28*10)*($B$28/100))*$B32),IF(F$27="kg/t SAR",(F$28*$B32),IF(F$27="kg/t DM",((F$28*($B$28/100))*$B32),IF(F$27="mg/kg SAR",((F$28*0.001)*$B32),IF(F$27="mg/kg DM",(((F$28*0.001)*($B$28/100))*$B32),"0")))))))*1.658</f>
        <v>37.752660000000006</v>
      </c>
      <c r="G32" s="77">
        <f t="shared" si="5"/>
        <v>0.33550000000000002</v>
      </c>
      <c r="H32" s="77">
        <f t="shared" si="5"/>
        <v>1.8480000000000003</v>
      </c>
      <c r="I32" s="77">
        <f t="shared" si="5"/>
        <v>0.59070000000000011</v>
      </c>
      <c r="J32" s="77">
        <f t="shared" si="5"/>
        <v>2.5300000000000001E-3</v>
      </c>
      <c r="K32" s="77">
        <f t="shared" si="5"/>
        <v>1.089E-2</v>
      </c>
      <c r="L32" s="77">
        <f t="shared" si="5"/>
        <v>0.1716</v>
      </c>
      <c r="M32" s="77">
        <f t="shared" si="5"/>
        <v>0</v>
      </c>
      <c r="N32" s="77">
        <f t="shared" si="5"/>
        <v>107.36000000000001</v>
      </c>
      <c r="O32" s="77">
        <f t="shared" si="5"/>
        <v>3556.3000000000006</v>
      </c>
      <c r="P32" s="77">
        <f t="shared" si="5"/>
        <v>0</v>
      </c>
      <c r="Q32" s="77">
        <f t="shared" ref="Q32:Q50" si="10">(IF(Q$27="%w/w SAR",((Q$28*10)*$B32),IF(Q$27="%w/w DM",(((Q$28*10)*($B$28/100))*$B32),IF(Q$27="kg/t SAR",(Q$28*$B32),IF(Q$27="kg/t DM",((Q$28*($B$28/100))*$B32),IF(Q$27="mg/kg SAR",((Q$28*0.001)*$B32),IF(Q$27="mg/kg DM",(((Q$28*0.001)*($B$28/100))*$B32),0)))))))*2.5</f>
        <v>83.600000000000009</v>
      </c>
      <c r="R32" s="77">
        <f t="shared" ref="R32:U50" si="11">IF(R$27="%w/w SAR",((R$28*10)*$B32),IF(R$27="%w/w DM",(((R$28*10)*($B$28/100))*$B32),IF(R$27="kg/t SAR",(R$28*$B32),IF(R$27="kg/t DM",((R$28*($B$28/100))*$B32),IF(R$27="mg/kg SAR",((R$28*0.001)*$B32),IF(R$27="mg/kg DM",(((R$28*0.001)*($B$28/100))*$B32),0))))))</f>
        <v>0</v>
      </c>
      <c r="S32" s="77">
        <f t="shared" si="11"/>
        <v>0.32450000000000001</v>
      </c>
      <c r="T32" s="77">
        <f t="shared" si="11"/>
        <v>0</v>
      </c>
      <c r="U32" s="77">
        <f t="shared" si="11"/>
        <v>0</v>
      </c>
      <c r="AB32" s="59"/>
      <c r="AC32" s="59"/>
      <c r="AD32" s="59"/>
      <c r="AE32" s="59"/>
      <c r="AF32" s="59"/>
      <c r="AG32" s="59"/>
      <c r="AH32" s="59"/>
      <c r="AI32" s="59"/>
    </row>
    <row r="33" spans="1:35" s="72" customFormat="1" ht="13" x14ac:dyDescent="0.35">
      <c r="A33" s="13" t="str">
        <f>E8</f>
        <v>Woodstock 3</v>
      </c>
      <c r="B33" s="15">
        <v>250</v>
      </c>
      <c r="C33" s="77">
        <f t="shared" si="6"/>
        <v>71.170000000000016</v>
      </c>
      <c r="D33" s="77">
        <f t="shared" si="7"/>
        <v>40.573610000000009</v>
      </c>
      <c r="E33" s="77">
        <f t="shared" si="8"/>
        <v>12.035540000000003</v>
      </c>
      <c r="F33" s="77">
        <f t="shared" si="9"/>
        <v>37.752660000000006</v>
      </c>
      <c r="G33" s="77">
        <f t="shared" si="5"/>
        <v>0.33550000000000002</v>
      </c>
      <c r="H33" s="77">
        <f t="shared" si="5"/>
        <v>1.8480000000000003</v>
      </c>
      <c r="I33" s="77">
        <f t="shared" si="5"/>
        <v>0.59070000000000011</v>
      </c>
      <c r="J33" s="77">
        <f t="shared" si="5"/>
        <v>2.5300000000000001E-3</v>
      </c>
      <c r="K33" s="77">
        <f t="shared" si="5"/>
        <v>1.089E-2</v>
      </c>
      <c r="L33" s="77">
        <f t="shared" si="5"/>
        <v>0.1716</v>
      </c>
      <c r="M33" s="77">
        <f t="shared" si="5"/>
        <v>0</v>
      </c>
      <c r="N33" s="77">
        <f t="shared" si="5"/>
        <v>107.36000000000001</v>
      </c>
      <c r="O33" s="77">
        <f t="shared" si="5"/>
        <v>3556.3000000000006</v>
      </c>
      <c r="P33" s="77">
        <f t="shared" si="5"/>
        <v>0</v>
      </c>
      <c r="Q33" s="77">
        <f t="shared" si="10"/>
        <v>83.600000000000009</v>
      </c>
      <c r="R33" s="77">
        <f t="shared" si="11"/>
        <v>0</v>
      </c>
      <c r="S33" s="77">
        <f t="shared" si="11"/>
        <v>0.32450000000000001</v>
      </c>
      <c r="T33" s="77">
        <f t="shared" si="11"/>
        <v>0</v>
      </c>
      <c r="U33" s="77">
        <f t="shared" si="11"/>
        <v>0</v>
      </c>
      <c r="AB33" s="59"/>
      <c r="AC33" s="59"/>
      <c r="AD33" s="59"/>
      <c r="AE33" s="59"/>
      <c r="AF33" s="59"/>
      <c r="AG33" s="59"/>
      <c r="AH33" s="59"/>
      <c r="AI33" s="59"/>
    </row>
    <row r="34" spans="1:35" s="72" customFormat="1" ht="13" x14ac:dyDescent="0.35">
      <c r="A34" s="13" t="str">
        <f>F8</f>
        <v>Woodstock 4</v>
      </c>
      <c r="B34" s="15">
        <v>250</v>
      </c>
      <c r="C34" s="77">
        <f t="shared" si="6"/>
        <v>71.170000000000016</v>
      </c>
      <c r="D34" s="77">
        <f t="shared" si="7"/>
        <v>40.573610000000009</v>
      </c>
      <c r="E34" s="77">
        <f t="shared" si="8"/>
        <v>12.035540000000003</v>
      </c>
      <c r="F34" s="77">
        <f t="shared" si="9"/>
        <v>37.752660000000006</v>
      </c>
      <c r="G34" s="77">
        <f t="shared" si="5"/>
        <v>0.33550000000000002</v>
      </c>
      <c r="H34" s="77">
        <f t="shared" si="5"/>
        <v>1.8480000000000003</v>
      </c>
      <c r="I34" s="77">
        <f t="shared" si="5"/>
        <v>0.59070000000000011</v>
      </c>
      <c r="J34" s="77">
        <f t="shared" si="5"/>
        <v>2.5300000000000001E-3</v>
      </c>
      <c r="K34" s="77">
        <f t="shared" si="5"/>
        <v>1.089E-2</v>
      </c>
      <c r="L34" s="77">
        <f t="shared" si="5"/>
        <v>0.1716</v>
      </c>
      <c r="M34" s="77">
        <f t="shared" si="5"/>
        <v>0</v>
      </c>
      <c r="N34" s="77">
        <f t="shared" si="5"/>
        <v>107.36000000000001</v>
      </c>
      <c r="O34" s="77">
        <f t="shared" si="5"/>
        <v>3556.3000000000006</v>
      </c>
      <c r="P34" s="77">
        <f t="shared" si="5"/>
        <v>0</v>
      </c>
      <c r="Q34" s="77">
        <f t="shared" si="10"/>
        <v>83.600000000000009</v>
      </c>
      <c r="R34" s="77">
        <f t="shared" si="11"/>
        <v>0</v>
      </c>
      <c r="S34" s="77">
        <f t="shared" si="11"/>
        <v>0.32450000000000001</v>
      </c>
      <c r="T34" s="77">
        <f t="shared" si="11"/>
        <v>0</v>
      </c>
      <c r="U34" s="77">
        <f t="shared" si="11"/>
        <v>0</v>
      </c>
      <c r="AB34" s="59"/>
      <c r="AC34" s="59"/>
      <c r="AD34" s="59"/>
      <c r="AE34" s="59"/>
      <c r="AF34" s="59"/>
      <c r="AG34" s="59"/>
      <c r="AH34" s="59"/>
      <c r="AI34" s="59"/>
    </row>
    <row r="35" spans="1:35" s="72" customFormat="1" ht="13" x14ac:dyDescent="0.35">
      <c r="A35" s="13" t="str">
        <f>G8</f>
        <v>Woodstock 5</v>
      </c>
      <c r="B35" s="15">
        <v>250</v>
      </c>
      <c r="C35" s="77">
        <f t="shared" si="6"/>
        <v>71.170000000000016</v>
      </c>
      <c r="D35" s="77">
        <f t="shared" si="7"/>
        <v>40.573610000000009</v>
      </c>
      <c r="E35" s="77">
        <f t="shared" si="8"/>
        <v>12.035540000000003</v>
      </c>
      <c r="F35" s="77">
        <f t="shared" si="9"/>
        <v>37.752660000000006</v>
      </c>
      <c r="G35" s="77">
        <f t="shared" si="5"/>
        <v>0.33550000000000002</v>
      </c>
      <c r="H35" s="77">
        <f t="shared" si="5"/>
        <v>1.8480000000000003</v>
      </c>
      <c r="I35" s="77">
        <f t="shared" si="5"/>
        <v>0.59070000000000011</v>
      </c>
      <c r="J35" s="77">
        <f t="shared" si="5"/>
        <v>2.5300000000000001E-3</v>
      </c>
      <c r="K35" s="77">
        <f t="shared" si="5"/>
        <v>1.089E-2</v>
      </c>
      <c r="L35" s="77">
        <f t="shared" si="5"/>
        <v>0.1716</v>
      </c>
      <c r="M35" s="77">
        <f t="shared" si="5"/>
        <v>0</v>
      </c>
      <c r="N35" s="77">
        <f t="shared" si="5"/>
        <v>107.36000000000001</v>
      </c>
      <c r="O35" s="77">
        <f t="shared" si="5"/>
        <v>3556.3000000000006</v>
      </c>
      <c r="P35" s="77">
        <f t="shared" si="5"/>
        <v>0</v>
      </c>
      <c r="Q35" s="77">
        <f t="shared" si="10"/>
        <v>83.600000000000009</v>
      </c>
      <c r="R35" s="77">
        <f t="shared" si="11"/>
        <v>0</v>
      </c>
      <c r="S35" s="77">
        <f t="shared" si="11"/>
        <v>0.32450000000000001</v>
      </c>
      <c r="T35" s="77">
        <f t="shared" si="11"/>
        <v>0</v>
      </c>
      <c r="U35" s="77">
        <f t="shared" si="11"/>
        <v>0</v>
      </c>
      <c r="AB35" s="59"/>
      <c r="AC35" s="59"/>
      <c r="AD35" s="59"/>
      <c r="AE35" s="59"/>
      <c r="AF35" s="59"/>
      <c r="AG35" s="59"/>
      <c r="AH35" s="59"/>
      <c r="AI35" s="59"/>
    </row>
    <row r="36" spans="1:35" s="72" customFormat="1" ht="13" x14ac:dyDescent="0.35">
      <c r="A36" s="13" t="str">
        <f>H8</f>
        <v>Woodstock 6</v>
      </c>
      <c r="B36" s="15">
        <v>250</v>
      </c>
      <c r="C36" s="77">
        <f t="shared" si="6"/>
        <v>71.170000000000016</v>
      </c>
      <c r="D36" s="77">
        <f t="shared" si="7"/>
        <v>40.573610000000009</v>
      </c>
      <c r="E36" s="77">
        <f t="shared" si="8"/>
        <v>12.035540000000003</v>
      </c>
      <c r="F36" s="77">
        <f t="shared" si="9"/>
        <v>37.752660000000006</v>
      </c>
      <c r="G36" s="77">
        <f t="shared" si="5"/>
        <v>0.33550000000000002</v>
      </c>
      <c r="H36" s="77">
        <f t="shared" si="5"/>
        <v>1.8480000000000003</v>
      </c>
      <c r="I36" s="77">
        <f t="shared" si="5"/>
        <v>0.59070000000000011</v>
      </c>
      <c r="J36" s="77">
        <f t="shared" si="5"/>
        <v>2.5300000000000001E-3</v>
      </c>
      <c r="K36" s="77">
        <f t="shared" si="5"/>
        <v>1.089E-2</v>
      </c>
      <c r="L36" s="77">
        <f t="shared" si="5"/>
        <v>0.1716</v>
      </c>
      <c r="M36" s="77">
        <f t="shared" si="5"/>
        <v>0</v>
      </c>
      <c r="N36" s="77">
        <f t="shared" si="5"/>
        <v>107.36000000000001</v>
      </c>
      <c r="O36" s="77">
        <f t="shared" si="5"/>
        <v>3556.3000000000006</v>
      </c>
      <c r="P36" s="77">
        <f t="shared" si="5"/>
        <v>0</v>
      </c>
      <c r="Q36" s="77">
        <f t="shared" si="10"/>
        <v>83.600000000000009</v>
      </c>
      <c r="R36" s="77">
        <f t="shared" si="11"/>
        <v>0</v>
      </c>
      <c r="S36" s="77">
        <f t="shared" si="11"/>
        <v>0.32450000000000001</v>
      </c>
      <c r="T36" s="77">
        <f t="shared" si="11"/>
        <v>0</v>
      </c>
      <c r="U36" s="77">
        <f t="shared" si="11"/>
        <v>0</v>
      </c>
      <c r="AB36" s="59"/>
      <c r="AC36" s="59"/>
      <c r="AD36" s="59"/>
      <c r="AE36" s="59"/>
      <c r="AF36" s="59"/>
      <c r="AG36" s="59"/>
      <c r="AH36" s="59"/>
      <c r="AI36" s="59"/>
    </row>
    <row r="37" spans="1:35" s="72" customFormat="1" ht="13" x14ac:dyDescent="0.35">
      <c r="A37" s="13" t="str">
        <f>I8</f>
        <v>Woodstock 7</v>
      </c>
      <c r="B37" s="15">
        <v>250</v>
      </c>
      <c r="C37" s="77">
        <f t="shared" si="6"/>
        <v>71.170000000000016</v>
      </c>
      <c r="D37" s="77">
        <f t="shared" si="7"/>
        <v>40.573610000000009</v>
      </c>
      <c r="E37" s="77">
        <f t="shared" si="8"/>
        <v>12.035540000000003</v>
      </c>
      <c r="F37" s="77">
        <f t="shared" si="9"/>
        <v>37.752660000000006</v>
      </c>
      <c r="G37" s="77">
        <f t="shared" si="5"/>
        <v>0.33550000000000002</v>
      </c>
      <c r="H37" s="77">
        <f t="shared" si="5"/>
        <v>1.8480000000000003</v>
      </c>
      <c r="I37" s="77">
        <f t="shared" si="5"/>
        <v>0.59070000000000011</v>
      </c>
      <c r="J37" s="77">
        <f t="shared" si="5"/>
        <v>2.5300000000000001E-3</v>
      </c>
      <c r="K37" s="77">
        <f t="shared" si="5"/>
        <v>1.089E-2</v>
      </c>
      <c r="L37" s="77">
        <f t="shared" si="5"/>
        <v>0.1716</v>
      </c>
      <c r="M37" s="77">
        <f t="shared" si="5"/>
        <v>0</v>
      </c>
      <c r="N37" s="77">
        <f t="shared" si="5"/>
        <v>107.36000000000001</v>
      </c>
      <c r="O37" s="77">
        <f t="shared" si="5"/>
        <v>3556.3000000000006</v>
      </c>
      <c r="P37" s="77">
        <f t="shared" si="5"/>
        <v>0</v>
      </c>
      <c r="Q37" s="77">
        <f t="shared" si="10"/>
        <v>83.600000000000009</v>
      </c>
      <c r="R37" s="77">
        <f t="shared" si="11"/>
        <v>0</v>
      </c>
      <c r="S37" s="77">
        <f t="shared" si="11"/>
        <v>0.32450000000000001</v>
      </c>
      <c r="T37" s="77">
        <f t="shared" si="11"/>
        <v>0</v>
      </c>
      <c r="U37" s="77">
        <f t="shared" si="11"/>
        <v>0</v>
      </c>
      <c r="AB37" s="59"/>
      <c r="AC37" s="59"/>
      <c r="AD37" s="59"/>
      <c r="AE37" s="59"/>
      <c r="AF37" s="59"/>
      <c r="AG37" s="59"/>
      <c r="AH37" s="59"/>
      <c r="AI37" s="59"/>
    </row>
    <row r="38" spans="1:35" s="72" customFormat="1" ht="13" x14ac:dyDescent="0.35">
      <c r="A38" s="13" t="str">
        <f>J8</f>
        <v>Woodstock 8</v>
      </c>
      <c r="B38" s="15">
        <v>250</v>
      </c>
      <c r="C38" s="77">
        <f t="shared" si="6"/>
        <v>71.170000000000016</v>
      </c>
      <c r="D38" s="77">
        <f t="shared" si="7"/>
        <v>40.573610000000009</v>
      </c>
      <c r="E38" s="77">
        <f t="shared" si="8"/>
        <v>12.035540000000003</v>
      </c>
      <c r="F38" s="77">
        <f t="shared" si="9"/>
        <v>37.752660000000006</v>
      </c>
      <c r="G38" s="77">
        <f t="shared" si="5"/>
        <v>0.33550000000000002</v>
      </c>
      <c r="H38" s="77">
        <f t="shared" si="5"/>
        <v>1.8480000000000003</v>
      </c>
      <c r="I38" s="77">
        <f t="shared" si="5"/>
        <v>0.59070000000000011</v>
      </c>
      <c r="J38" s="77">
        <f t="shared" si="5"/>
        <v>2.5300000000000001E-3</v>
      </c>
      <c r="K38" s="77">
        <f t="shared" si="5"/>
        <v>1.089E-2</v>
      </c>
      <c r="L38" s="77">
        <f t="shared" si="5"/>
        <v>0.1716</v>
      </c>
      <c r="M38" s="77">
        <f t="shared" si="5"/>
        <v>0</v>
      </c>
      <c r="N38" s="77">
        <f t="shared" si="5"/>
        <v>107.36000000000001</v>
      </c>
      <c r="O38" s="77">
        <f t="shared" si="5"/>
        <v>3556.3000000000006</v>
      </c>
      <c r="P38" s="77">
        <f t="shared" si="5"/>
        <v>0</v>
      </c>
      <c r="Q38" s="77">
        <f t="shared" si="10"/>
        <v>83.600000000000009</v>
      </c>
      <c r="R38" s="77">
        <f t="shared" si="11"/>
        <v>0</v>
      </c>
      <c r="S38" s="77">
        <f t="shared" si="11"/>
        <v>0.32450000000000001</v>
      </c>
      <c r="T38" s="77">
        <f t="shared" si="11"/>
        <v>0</v>
      </c>
      <c r="U38" s="77">
        <f t="shared" si="11"/>
        <v>0</v>
      </c>
      <c r="AB38" s="59"/>
      <c r="AC38" s="59"/>
      <c r="AD38" s="59"/>
      <c r="AE38" s="59"/>
      <c r="AF38" s="59"/>
      <c r="AG38" s="59"/>
      <c r="AH38" s="59"/>
      <c r="AI38" s="59"/>
    </row>
    <row r="39" spans="1:35" s="72" customFormat="1" ht="13" x14ac:dyDescent="0.35">
      <c r="A39" s="13" t="str">
        <f>K8</f>
        <v>Woodstock 9</v>
      </c>
      <c r="B39" s="15">
        <v>250</v>
      </c>
      <c r="C39" s="77">
        <f t="shared" si="6"/>
        <v>71.170000000000016</v>
      </c>
      <c r="D39" s="77">
        <f t="shared" si="7"/>
        <v>40.573610000000009</v>
      </c>
      <c r="E39" s="77">
        <f t="shared" si="8"/>
        <v>12.035540000000003</v>
      </c>
      <c r="F39" s="77">
        <f t="shared" si="9"/>
        <v>37.752660000000006</v>
      </c>
      <c r="G39" s="77">
        <f t="shared" si="5"/>
        <v>0.33550000000000002</v>
      </c>
      <c r="H39" s="77">
        <f t="shared" si="5"/>
        <v>1.8480000000000003</v>
      </c>
      <c r="I39" s="77">
        <f t="shared" si="5"/>
        <v>0.59070000000000011</v>
      </c>
      <c r="J39" s="77">
        <f t="shared" si="5"/>
        <v>2.5300000000000001E-3</v>
      </c>
      <c r="K39" s="77">
        <f t="shared" si="5"/>
        <v>1.089E-2</v>
      </c>
      <c r="L39" s="77">
        <f t="shared" si="5"/>
        <v>0.1716</v>
      </c>
      <c r="M39" s="77">
        <f t="shared" si="5"/>
        <v>0</v>
      </c>
      <c r="N39" s="77">
        <f t="shared" si="5"/>
        <v>107.36000000000001</v>
      </c>
      <c r="O39" s="77">
        <f t="shared" si="5"/>
        <v>3556.3000000000006</v>
      </c>
      <c r="P39" s="77">
        <f t="shared" si="5"/>
        <v>0</v>
      </c>
      <c r="Q39" s="77">
        <f t="shared" si="10"/>
        <v>83.600000000000009</v>
      </c>
      <c r="R39" s="77">
        <f t="shared" si="11"/>
        <v>0</v>
      </c>
      <c r="S39" s="77">
        <f t="shared" si="11"/>
        <v>0.32450000000000001</v>
      </c>
      <c r="T39" s="77">
        <f t="shared" si="11"/>
        <v>0</v>
      </c>
      <c r="U39" s="77">
        <f t="shared" si="11"/>
        <v>0</v>
      </c>
      <c r="AB39" s="59"/>
      <c r="AC39" s="59"/>
      <c r="AD39" s="59"/>
      <c r="AE39" s="59"/>
      <c r="AF39" s="59"/>
      <c r="AG39" s="59"/>
      <c r="AH39" s="59"/>
      <c r="AI39" s="59"/>
    </row>
    <row r="40" spans="1:35" s="72" customFormat="1" ht="13" x14ac:dyDescent="0.35">
      <c r="A40" s="13" t="str">
        <f>L8</f>
        <v>Woodstock 10</v>
      </c>
      <c r="B40" s="15">
        <v>250</v>
      </c>
      <c r="C40" s="77">
        <f t="shared" si="6"/>
        <v>71.170000000000016</v>
      </c>
      <c r="D40" s="77">
        <f t="shared" si="7"/>
        <v>40.573610000000009</v>
      </c>
      <c r="E40" s="77">
        <f t="shared" si="8"/>
        <v>12.035540000000003</v>
      </c>
      <c r="F40" s="77">
        <f t="shared" si="9"/>
        <v>37.752660000000006</v>
      </c>
      <c r="G40" s="77">
        <f t="shared" si="5"/>
        <v>0.33550000000000002</v>
      </c>
      <c r="H40" s="77">
        <f t="shared" si="5"/>
        <v>1.8480000000000003</v>
      </c>
      <c r="I40" s="77">
        <f t="shared" si="5"/>
        <v>0.59070000000000011</v>
      </c>
      <c r="J40" s="77">
        <f t="shared" si="5"/>
        <v>2.5300000000000001E-3</v>
      </c>
      <c r="K40" s="77">
        <f t="shared" si="5"/>
        <v>1.089E-2</v>
      </c>
      <c r="L40" s="77">
        <f t="shared" si="5"/>
        <v>0.1716</v>
      </c>
      <c r="M40" s="77">
        <f t="shared" si="5"/>
        <v>0</v>
      </c>
      <c r="N40" s="77">
        <f t="shared" si="5"/>
        <v>107.36000000000001</v>
      </c>
      <c r="O40" s="77">
        <f t="shared" si="5"/>
        <v>3556.3000000000006</v>
      </c>
      <c r="P40" s="77">
        <f t="shared" si="5"/>
        <v>0</v>
      </c>
      <c r="Q40" s="77">
        <f t="shared" si="10"/>
        <v>83.600000000000009</v>
      </c>
      <c r="R40" s="77">
        <f t="shared" si="11"/>
        <v>0</v>
      </c>
      <c r="S40" s="77">
        <f t="shared" si="11"/>
        <v>0.32450000000000001</v>
      </c>
      <c r="T40" s="77">
        <f t="shared" si="11"/>
        <v>0</v>
      </c>
      <c r="U40" s="77">
        <f t="shared" si="11"/>
        <v>0</v>
      </c>
      <c r="AB40" s="59"/>
      <c r="AC40" s="59"/>
      <c r="AD40" s="59"/>
      <c r="AE40" s="59"/>
      <c r="AF40" s="59"/>
      <c r="AG40" s="59"/>
      <c r="AH40" s="59"/>
      <c r="AI40" s="59"/>
    </row>
    <row r="41" spans="1:35" s="72" customFormat="1" ht="13" x14ac:dyDescent="0.35">
      <c r="A41" s="13" t="str">
        <f>M8</f>
        <v>Woodstock 11</v>
      </c>
      <c r="B41" s="15">
        <v>250</v>
      </c>
      <c r="C41" s="77">
        <f t="shared" si="6"/>
        <v>71.170000000000016</v>
      </c>
      <c r="D41" s="77">
        <f t="shared" si="7"/>
        <v>40.573610000000009</v>
      </c>
      <c r="E41" s="77">
        <f t="shared" si="8"/>
        <v>12.035540000000003</v>
      </c>
      <c r="F41" s="77">
        <f t="shared" si="9"/>
        <v>37.752660000000006</v>
      </c>
      <c r="G41" s="77">
        <f t="shared" si="5"/>
        <v>0.33550000000000002</v>
      </c>
      <c r="H41" s="77">
        <f t="shared" si="5"/>
        <v>1.8480000000000003</v>
      </c>
      <c r="I41" s="77">
        <f t="shared" si="5"/>
        <v>0.59070000000000011</v>
      </c>
      <c r="J41" s="77">
        <f t="shared" si="5"/>
        <v>2.5300000000000001E-3</v>
      </c>
      <c r="K41" s="77">
        <f t="shared" si="5"/>
        <v>1.089E-2</v>
      </c>
      <c r="L41" s="77">
        <f t="shared" si="5"/>
        <v>0.1716</v>
      </c>
      <c r="M41" s="77">
        <f t="shared" si="5"/>
        <v>0</v>
      </c>
      <c r="N41" s="77">
        <f t="shared" si="5"/>
        <v>107.36000000000001</v>
      </c>
      <c r="O41" s="77">
        <f t="shared" si="5"/>
        <v>3556.3000000000006</v>
      </c>
      <c r="P41" s="77">
        <f t="shared" si="5"/>
        <v>0</v>
      </c>
      <c r="Q41" s="77">
        <f t="shared" si="10"/>
        <v>83.600000000000009</v>
      </c>
      <c r="R41" s="77">
        <f t="shared" si="11"/>
        <v>0</v>
      </c>
      <c r="S41" s="77">
        <f t="shared" si="11"/>
        <v>0.32450000000000001</v>
      </c>
      <c r="T41" s="77">
        <f t="shared" si="11"/>
        <v>0</v>
      </c>
      <c r="U41" s="77">
        <f t="shared" si="11"/>
        <v>0</v>
      </c>
      <c r="AB41" s="59"/>
      <c r="AC41" s="59"/>
      <c r="AD41" s="59"/>
      <c r="AE41" s="59"/>
      <c r="AF41" s="59"/>
      <c r="AG41" s="59"/>
      <c r="AH41" s="59"/>
      <c r="AI41" s="59"/>
    </row>
    <row r="42" spans="1:35" s="72" customFormat="1" ht="13" x14ac:dyDescent="0.35">
      <c r="A42" s="13" t="str">
        <f>N8</f>
        <v>Woodstock 12</v>
      </c>
      <c r="B42" s="15">
        <v>250</v>
      </c>
      <c r="C42" s="77">
        <f t="shared" si="6"/>
        <v>71.170000000000016</v>
      </c>
      <c r="D42" s="77">
        <f t="shared" si="7"/>
        <v>40.573610000000009</v>
      </c>
      <c r="E42" s="77">
        <f t="shared" si="8"/>
        <v>12.035540000000003</v>
      </c>
      <c r="F42" s="77">
        <f t="shared" si="9"/>
        <v>37.752660000000006</v>
      </c>
      <c r="G42" s="77">
        <f t="shared" si="5"/>
        <v>0.33550000000000002</v>
      </c>
      <c r="H42" s="77">
        <f t="shared" si="5"/>
        <v>1.8480000000000003</v>
      </c>
      <c r="I42" s="77">
        <f t="shared" si="5"/>
        <v>0.59070000000000011</v>
      </c>
      <c r="J42" s="77">
        <f t="shared" si="5"/>
        <v>2.5300000000000001E-3</v>
      </c>
      <c r="K42" s="77">
        <f t="shared" si="5"/>
        <v>1.089E-2</v>
      </c>
      <c r="L42" s="77">
        <f t="shared" si="5"/>
        <v>0.1716</v>
      </c>
      <c r="M42" s="77">
        <f t="shared" si="5"/>
        <v>0</v>
      </c>
      <c r="N42" s="77">
        <f t="shared" si="5"/>
        <v>107.36000000000001</v>
      </c>
      <c r="O42" s="77">
        <f t="shared" si="5"/>
        <v>3556.3000000000006</v>
      </c>
      <c r="P42" s="77">
        <f t="shared" si="5"/>
        <v>0</v>
      </c>
      <c r="Q42" s="77">
        <f t="shared" si="10"/>
        <v>83.600000000000009</v>
      </c>
      <c r="R42" s="77">
        <f t="shared" si="11"/>
        <v>0</v>
      </c>
      <c r="S42" s="77">
        <f t="shared" si="11"/>
        <v>0.32450000000000001</v>
      </c>
      <c r="T42" s="77">
        <f t="shared" si="11"/>
        <v>0</v>
      </c>
      <c r="U42" s="77">
        <f t="shared" si="11"/>
        <v>0</v>
      </c>
      <c r="AB42" s="59"/>
      <c r="AC42" s="59"/>
      <c r="AD42" s="59"/>
      <c r="AE42" s="59"/>
      <c r="AF42" s="59"/>
      <c r="AG42" s="59"/>
      <c r="AH42" s="59"/>
      <c r="AI42" s="59"/>
    </row>
    <row r="43" spans="1:35" s="72" customFormat="1" ht="13" x14ac:dyDescent="0.35">
      <c r="A43" s="13" t="str">
        <f>O8</f>
        <v>Woodstock 13/14</v>
      </c>
      <c r="B43" s="15">
        <v>250</v>
      </c>
      <c r="C43" s="77">
        <f t="shared" si="6"/>
        <v>71.170000000000016</v>
      </c>
      <c r="D43" s="77">
        <f t="shared" si="7"/>
        <v>40.573610000000009</v>
      </c>
      <c r="E43" s="77">
        <f t="shared" si="8"/>
        <v>12.035540000000003</v>
      </c>
      <c r="F43" s="77">
        <f t="shared" si="9"/>
        <v>37.752660000000006</v>
      </c>
      <c r="G43" s="77">
        <f t="shared" si="5"/>
        <v>0.33550000000000002</v>
      </c>
      <c r="H43" s="77">
        <f t="shared" si="5"/>
        <v>1.8480000000000003</v>
      </c>
      <c r="I43" s="77">
        <f t="shared" si="5"/>
        <v>0.59070000000000011</v>
      </c>
      <c r="J43" s="77">
        <f t="shared" si="5"/>
        <v>2.5300000000000001E-3</v>
      </c>
      <c r="K43" s="77">
        <f t="shared" si="5"/>
        <v>1.089E-2</v>
      </c>
      <c r="L43" s="77">
        <f t="shared" si="5"/>
        <v>0.1716</v>
      </c>
      <c r="M43" s="77">
        <f t="shared" si="5"/>
        <v>0</v>
      </c>
      <c r="N43" s="77">
        <f t="shared" si="5"/>
        <v>107.36000000000001</v>
      </c>
      <c r="O43" s="77">
        <f t="shared" si="5"/>
        <v>3556.3000000000006</v>
      </c>
      <c r="P43" s="77">
        <f t="shared" si="5"/>
        <v>0</v>
      </c>
      <c r="Q43" s="77">
        <f t="shared" si="10"/>
        <v>83.600000000000009</v>
      </c>
      <c r="R43" s="77">
        <f t="shared" si="11"/>
        <v>0</v>
      </c>
      <c r="S43" s="77">
        <f t="shared" si="11"/>
        <v>0.32450000000000001</v>
      </c>
      <c r="T43" s="77">
        <f t="shared" si="11"/>
        <v>0</v>
      </c>
      <c r="U43" s="77">
        <f t="shared" si="11"/>
        <v>0</v>
      </c>
      <c r="AB43" s="59"/>
      <c r="AC43" s="59"/>
      <c r="AD43" s="59"/>
      <c r="AE43" s="59"/>
      <c r="AF43" s="59"/>
      <c r="AG43" s="59"/>
      <c r="AH43" s="59"/>
      <c r="AI43" s="59"/>
    </row>
    <row r="44" spans="1:35" s="72" customFormat="1" ht="13" x14ac:dyDescent="0.35">
      <c r="A44" s="13" t="str">
        <f>P8</f>
        <v>Gwarcoed 16</v>
      </c>
      <c r="B44" s="15">
        <v>250</v>
      </c>
      <c r="C44" s="77">
        <f t="shared" si="6"/>
        <v>71.170000000000016</v>
      </c>
      <c r="D44" s="77">
        <f t="shared" si="7"/>
        <v>40.573610000000009</v>
      </c>
      <c r="E44" s="77">
        <f t="shared" si="8"/>
        <v>12.035540000000003</v>
      </c>
      <c r="F44" s="77">
        <f t="shared" si="9"/>
        <v>37.752660000000006</v>
      </c>
      <c r="G44" s="77">
        <f t="shared" si="5"/>
        <v>0.33550000000000002</v>
      </c>
      <c r="H44" s="77">
        <f t="shared" si="5"/>
        <v>1.8480000000000003</v>
      </c>
      <c r="I44" s="77">
        <f t="shared" si="5"/>
        <v>0.59070000000000011</v>
      </c>
      <c r="J44" s="77">
        <f t="shared" si="5"/>
        <v>2.5300000000000001E-3</v>
      </c>
      <c r="K44" s="77">
        <f t="shared" si="5"/>
        <v>1.089E-2</v>
      </c>
      <c r="L44" s="77">
        <f t="shared" si="5"/>
        <v>0.1716</v>
      </c>
      <c r="M44" s="77">
        <f t="shared" si="5"/>
        <v>0</v>
      </c>
      <c r="N44" s="77">
        <f t="shared" si="5"/>
        <v>107.36000000000001</v>
      </c>
      <c r="O44" s="77">
        <f t="shared" si="5"/>
        <v>3556.3000000000006</v>
      </c>
      <c r="P44" s="77">
        <f t="shared" si="5"/>
        <v>0</v>
      </c>
      <c r="Q44" s="77">
        <f t="shared" si="10"/>
        <v>83.600000000000009</v>
      </c>
      <c r="R44" s="77">
        <f t="shared" si="11"/>
        <v>0</v>
      </c>
      <c r="S44" s="77">
        <f t="shared" si="11"/>
        <v>0.32450000000000001</v>
      </c>
      <c r="T44" s="77">
        <f t="shared" si="11"/>
        <v>0</v>
      </c>
      <c r="U44" s="77">
        <f t="shared" si="11"/>
        <v>0</v>
      </c>
      <c r="AB44" s="59"/>
      <c r="AC44" s="59"/>
      <c r="AD44" s="59"/>
      <c r="AE44" s="59"/>
      <c r="AF44" s="59"/>
      <c r="AG44" s="59"/>
      <c r="AH44" s="59"/>
      <c r="AI44" s="59"/>
    </row>
    <row r="45" spans="1:35" s="72" customFormat="1" ht="13" x14ac:dyDescent="0.35">
      <c r="A45" s="13" t="str">
        <f>Q8</f>
        <v>Gwarcoed 17</v>
      </c>
      <c r="B45" s="15">
        <v>250</v>
      </c>
      <c r="C45" s="77">
        <f t="shared" si="6"/>
        <v>71.170000000000016</v>
      </c>
      <c r="D45" s="77">
        <f t="shared" si="7"/>
        <v>40.573610000000009</v>
      </c>
      <c r="E45" s="77">
        <f t="shared" si="8"/>
        <v>12.035540000000003</v>
      </c>
      <c r="F45" s="77">
        <f t="shared" si="9"/>
        <v>37.752660000000006</v>
      </c>
      <c r="G45" s="77">
        <f t="shared" si="5"/>
        <v>0.33550000000000002</v>
      </c>
      <c r="H45" s="77">
        <f t="shared" si="5"/>
        <v>1.8480000000000003</v>
      </c>
      <c r="I45" s="77">
        <f t="shared" si="5"/>
        <v>0.59070000000000011</v>
      </c>
      <c r="J45" s="77">
        <f t="shared" si="5"/>
        <v>2.5300000000000001E-3</v>
      </c>
      <c r="K45" s="77">
        <f t="shared" si="5"/>
        <v>1.089E-2</v>
      </c>
      <c r="L45" s="77">
        <f t="shared" si="5"/>
        <v>0.1716</v>
      </c>
      <c r="M45" s="77">
        <f t="shared" si="5"/>
        <v>0</v>
      </c>
      <c r="N45" s="77">
        <f t="shared" si="5"/>
        <v>107.36000000000001</v>
      </c>
      <c r="O45" s="77">
        <f t="shared" si="5"/>
        <v>3556.3000000000006</v>
      </c>
      <c r="P45" s="77">
        <f t="shared" si="5"/>
        <v>0</v>
      </c>
      <c r="Q45" s="77">
        <f t="shared" si="10"/>
        <v>83.600000000000009</v>
      </c>
      <c r="R45" s="77">
        <f t="shared" si="11"/>
        <v>0</v>
      </c>
      <c r="S45" s="77">
        <f t="shared" si="11"/>
        <v>0.32450000000000001</v>
      </c>
      <c r="T45" s="77">
        <f t="shared" si="11"/>
        <v>0</v>
      </c>
      <c r="U45" s="77">
        <f t="shared" si="11"/>
        <v>0</v>
      </c>
      <c r="AB45" s="59"/>
      <c r="AC45" s="59"/>
      <c r="AD45" s="59"/>
      <c r="AE45" s="59"/>
      <c r="AF45" s="59"/>
      <c r="AG45" s="59"/>
      <c r="AH45" s="59"/>
      <c r="AI45" s="59"/>
    </row>
    <row r="46" spans="1:35" s="72" customFormat="1" ht="13" x14ac:dyDescent="0.35">
      <c r="A46" s="13" t="str">
        <f>R8</f>
        <v>Gwarcoed 19</v>
      </c>
      <c r="B46" s="15">
        <v>250</v>
      </c>
      <c r="C46" s="77">
        <f t="shared" si="6"/>
        <v>71.170000000000016</v>
      </c>
      <c r="D46" s="77">
        <f t="shared" si="7"/>
        <v>40.573610000000009</v>
      </c>
      <c r="E46" s="77">
        <f t="shared" si="8"/>
        <v>12.035540000000003</v>
      </c>
      <c r="F46" s="77">
        <f t="shared" si="9"/>
        <v>37.752660000000006</v>
      </c>
      <c r="G46" s="77">
        <f t="shared" si="5"/>
        <v>0.33550000000000002</v>
      </c>
      <c r="H46" s="77">
        <f t="shared" si="5"/>
        <v>1.8480000000000003</v>
      </c>
      <c r="I46" s="77">
        <f t="shared" si="5"/>
        <v>0.59070000000000011</v>
      </c>
      <c r="J46" s="77">
        <f t="shared" si="5"/>
        <v>2.5300000000000001E-3</v>
      </c>
      <c r="K46" s="77">
        <f t="shared" si="5"/>
        <v>1.089E-2</v>
      </c>
      <c r="L46" s="77">
        <f t="shared" si="5"/>
        <v>0.1716</v>
      </c>
      <c r="M46" s="77">
        <f t="shared" si="5"/>
        <v>0</v>
      </c>
      <c r="N46" s="77">
        <f t="shared" si="5"/>
        <v>107.36000000000001</v>
      </c>
      <c r="O46" s="77">
        <f t="shared" si="5"/>
        <v>3556.3000000000006</v>
      </c>
      <c r="P46" s="77">
        <f t="shared" si="5"/>
        <v>0</v>
      </c>
      <c r="Q46" s="77">
        <f t="shared" si="10"/>
        <v>83.600000000000009</v>
      </c>
      <c r="R46" s="77">
        <f t="shared" si="11"/>
        <v>0</v>
      </c>
      <c r="S46" s="77">
        <f t="shared" si="11"/>
        <v>0.32450000000000001</v>
      </c>
      <c r="T46" s="77">
        <f t="shared" si="11"/>
        <v>0</v>
      </c>
      <c r="U46" s="77">
        <f t="shared" si="11"/>
        <v>0</v>
      </c>
      <c r="AB46" s="59"/>
      <c r="AC46" s="59"/>
      <c r="AD46" s="59"/>
      <c r="AE46" s="59"/>
      <c r="AF46" s="59"/>
      <c r="AG46" s="59"/>
      <c r="AH46" s="59"/>
      <c r="AI46" s="59"/>
    </row>
    <row r="47" spans="1:35" s="72" customFormat="1" ht="13" x14ac:dyDescent="0.35">
      <c r="A47" s="13" t="str">
        <f>S8</f>
        <v>Gwarcoed 22</v>
      </c>
      <c r="B47" s="15">
        <v>250</v>
      </c>
      <c r="C47" s="77">
        <f t="shared" si="6"/>
        <v>71.170000000000016</v>
      </c>
      <c r="D47" s="77">
        <f t="shared" si="7"/>
        <v>40.573610000000009</v>
      </c>
      <c r="E47" s="77">
        <f t="shared" si="8"/>
        <v>12.035540000000003</v>
      </c>
      <c r="F47" s="77">
        <f t="shared" si="9"/>
        <v>37.752660000000006</v>
      </c>
      <c r="G47" s="77">
        <f t="shared" ref="G47:P50" si="12">IF(G$27="%w/w SAR",((G$28*10)*$B47),IF(G$27="%w/w DM",(((G$28*10)*($B$28/100))*$B47),IF(G$27="kg/t SAR",(G$28*$B47),IF(G$27="kg/t DM",((G$28*($B$28/100))*$B47),IF(G$27="mg/kg SAR",((G$28*0.001)*$B47),IF(G$27="mg/kg DM",(((G$28*0.001)*($B$28/100))*$B47),0))))))</f>
        <v>0.33550000000000002</v>
      </c>
      <c r="H47" s="77">
        <f t="shared" si="12"/>
        <v>1.8480000000000003</v>
      </c>
      <c r="I47" s="77">
        <f t="shared" si="12"/>
        <v>0.59070000000000011</v>
      </c>
      <c r="J47" s="77">
        <f t="shared" si="12"/>
        <v>2.5300000000000001E-3</v>
      </c>
      <c r="K47" s="77">
        <f t="shared" si="12"/>
        <v>1.089E-2</v>
      </c>
      <c r="L47" s="77">
        <f t="shared" si="12"/>
        <v>0.1716</v>
      </c>
      <c r="M47" s="77">
        <f t="shared" si="12"/>
        <v>0</v>
      </c>
      <c r="N47" s="77">
        <f t="shared" si="12"/>
        <v>107.36000000000001</v>
      </c>
      <c r="O47" s="77">
        <f t="shared" si="12"/>
        <v>3556.3000000000006</v>
      </c>
      <c r="P47" s="77">
        <f t="shared" si="12"/>
        <v>0</v>
      </c>
      <c r="Q47" s="77">
        <f t="shared" si="10"/>
        <v>83.600000000000009</v>
      </c>
      <c r="R47" s="77">
        <f t="shared" si="11"/>
        <v>0</v>
      </c>
      <c r="S47" s="77">
        <f t="shared" si="11"/>
        <v>0.32450000000000001</v>
      </c>
      <c r="T47" s="77">
        <f t="shared" si="11"/>
        <v>0</v>
      </c>
      <c r="U47" s="77">
        <f t="shared" si="11"/>
        <v>0</v>
      </c>
      <c r="AB47" s="59"/>
      <c r="AC47" s="59"/>
      <c r="AD47" s="59"/>
      <c r="AE47" s="59"/>
      <c r="AF47" s="59"/>
      <c r="AG47" s="59"/>
      <c r="AH47" s="59"/>
      <c r="AI47" s="59"/>
    </row>
    <row r="48" spans="1:35" s="72" customFormat="1" ht="13" x14ac:dyDescent="0.35">
      <c r="A48" s="13" t="str">
        <f>T8</f>
        <v>Gwarcoed 23</v>
      </c>
      <c r="B48" s="15">
        <v>250</v>
      </c>
      <c r="C48" s="77">
        <f t="shared" si="6"/>
        <v>71.170000000000016</v>
      </c>
      <c r="D48" s="77">
        <f t="shared" si="7"/>
        <v>40.573610000000009</v>
      </c>
      <c r="E48" s="77">
        <f t="shared" si="8"/>
        <v>12.035540000000003</v>
      </c>
      <c r="F48" s="77">
        <f t="shared" si="9"/>
        <v>37.752660000000006</v>
      </c>
      <c r="G48" s="77">
        <f t="shared" si="12"/>
        <v>0.33550000000000002</v>
      </c>
      <c r="H48" s="77">
        <f t="shared" si="12"/>
        <v>1.8480000000000003</v>
      </c>
      <c r="I48" s="77">
        <f t="shared" si="12"/>
        <v>0.59070000000000011</v>
      </c>
      <c r="J48" s="77">
        <f t="shared" si="12"/>
        <v>2.5300000000000001E-3</v>
      </c>
      <c r="K48" s="77">
        <f t="shared" si="12"/>
        <v>1.089E-2</v>
      </c>
      <c r="L48" s="77">
        <f t="shared" si="12"/>
        <v>0.1716</v>
      </c>
      <c r="M48" s="77">
        <f t="shared" si="12"/>
        <v>0</v>
      </c>
      <c r="N48" s="77">
        <f t="shared" si="12"/>
        <v>107.36000000000001</v>
      </c>
      <c r="O48" s="77">
        <f t="shared" si="12"/>
        <v>3556.3000000000006</v>
      </c>
      <c r="P48" s="77">
        <f t="shared" si="12"/>
        <v>0</v>
      </c>
      <c r="Q48" s="77">
        <f t="shared" si="10"/>
        <v>83.600000000000009</v>
      </c>
      <c r="R48" s="77">
        <f t="shared" si="11"/>
        <v>0</v>
      </c>
      <c r="S48" s="77">
        <f t="shared" si="11"/>
        <v>0.32450000000000001</v>
      </c>
      <c r="T48" s="77">
        <f t="shared" si="11"/>
        <v>0</v>
      </c>
      <c r="U48" s="77">
        <f t="shared" si="11"/>
        <v>0</v>
      </c>
      <c r="AB48" s="59"/>
      <c r="AC48" s="59"/>
      <c r="AD48" s="59"/>
      <c r="AE48" s="59"/>
      <c r="AF48" s="59"/>
      <c r="AG48" s="59"/>
      <c r="AH48" s="59"/>
      <c r="AI48" s="59"/>
    </row>
    <row r="49" spans="1:35" s="72" customFormat="1" ht="13" x14ac:dyDescent="0.35">
      <c r="A49" s="13" t="str">
        <f>U8</f>
        <v>Gwarcoed 24</v>
      </c>
      <c r="B49" s="15">
        <v>250</v>
      </c>
      <c r="C49" s="77">
        <f t="shared" si="6"/>
        <v>71.170000000000016</v>
      </c>
      <c r="D49" s="77">
        <f t="shared" si="7"/>
        <v>40.573610000000009</v>
      </c>
      <c r="E49" s="77">
        <f t="shared" si="8"/>
        <v>12.035540000000003</v>
      </c>
      <c r="F49" s="77">
        <f t="shared" si="9"/>
        <v>37.752660000000006</v>
      </c>
      <c r="G49" s="77">
        <f t="shared" si="12"/>
        <v>0.33550000000000002</v>
      </c>
      <c r="H49" s="77">
        <f t="shared" si="12"/>
        <v>1.8480000000000003</v>
      </c>
      <c r="I49" s="77">
        <f t="shared" si="12"/>
        <v>0.59070000000000011</v>
      </c>
      <c r="J49" s="77">
        <f t="shared" si="12"/>
        <v>2.5300000000000001E-3</v>
      </c>
      <c r="K49" s="77">
        <f t="shared" si="12"/>
        <v>1.089E-2</v>
      </c>
      <c r="L49" s="77">
        <f t="shared" si="12"/>
        <v>0.1716</v>
      </c>
      <c r="M49" s="77">
        <f t="shared" si="12"/>
        <v>0</v>
      </c>
      <c r="N49" s="77">
        <f t="shared" si="12"/>
        <v>107.36000000000001</v>
      </c>
      <c r="O49" s="77">
        <f t="shared" si="12"/>
        <v>3556.3000000000006</v>
      </c>
      <c r="P49" s="77">
        <f t="shared" si="12"/>
        <v>0</v>
      </c>
      <c r="Q49" s="77">
        <f t="shared" si="10"/>
        <v>83.600000000000009</v>
      </c>
      <c r="R49" s="77">
        <f t="shared" si="11"/>
        <v>0</v>
      </c>
      <c r="S49" s="77">
        <f t="shared" si="11"/>
        <v>0.32450000000000001</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"&amp;(VLOOKUP(C14,Table24581112[],6,FALSE))</f>
        <v>0 I Grass</v>
      </c>
      <c r="C58" s="13" t="str">
        <f>D16&amp;" I "&amp;(VLOOKUP(D14,Table24581112[],6,FALSE))</f>
        <v>0 I Grass</v>
      </c>
      <c r="D58" s="13" t="str">
        <f>E16&amp;" I "&amp;(VLOOKUP(E14,Table24581112[],6,FALSE))</f>
        <v>0 I Grass</v>
      </c>
      <c r="E58" s="13" t="str">
        <f>F16&amp;" I "&amp;(VLOOKUP(F14,Table24581112[],6,FALSE))</f>
        <v>0 I Grass</v>
      </c>
      <c r="F58" s="13" t="str">
        <f>G16&amp;" I "&amp;(VLOOKUP(G14,Table24581112[],6,FALSE))</f>
        <v>0 I Grass</v>
      </c>
      <c r="G58" s="13" t="str">
        <f>H16&amp;" I "&amp;(VLOOKUP(H14,Table24581112[],6,FALSE))</f>
        <v>0 I Grass</v>
      </c>
      <c r="H58" s="13" t="str">
        <f>I16&amp;" I "&amp;(VLOOKUP(I14,Table24581112[],6,FALSE))</f>
        <v>0 I Arable</v>
      </c>
      <c r="I58" s="13" t="str">
        <f>J16&amp;" I "&amp;(VLOOKUP(J14,Table24581112[],6,FALSE))</f>
        <v>0 I Grass</v>
      </c>
      <c r="J58" s="13" t="str">
        <f>K16&amp;" I "&amp;(VLOOKUP(K14,Table24581112[],6,FALSE))</f>
        <v>0 I Grass</v>
      </c>
      <c r="K58" s="13" t="str">
        <f>L16&amp;" I "&amp;(VLOOKUP(L14,Table24581112[],6,FALSE))</f>
        <v>0 I Grass</v>
      </c>
      <c r="L58" s="13" t="str">
        <f>M16&amp;" I "&amp;(VLOOKUP(M14,Table24581112[],6,FALSE))</f>
        <v>0 I Grass</v>
      </c>
      <c r="M58" s="13" t="str">
        <f>N16&amp;" I "&amp;(VLOOKUP(N14,Table24581112[],6,FALSE))</f>
        <v>0 I Grass</v>
      </c>
      <c r="N58" s="13" t="str">
        <f>O16&amp;" I "&amp;(VLOOKUP(O14,Table24581112[],6,FALSE))</f>
        <v>0 I Arable</v>
      </c>
      <c r="O58" s="13" t="str">
        <f>P16&amp;" I "&amp;(VLOOKUP(P14,Table24581112[],6,FALSE))</f>
        <v>0 I Grass</v>
      </c>
      <c r="P58" s="13" t="str">
        <f>Q16&amp;" I "&amp;(VLOOKUP(Q14,Table24581112[],6,FALSE))</f>
        <v>0 I Grass</v>
      </c>
      <c r="Q58" s="13" t="str">
        <f>R16&amp;" I "&amp;(VLOOKUP(R14,Table24581112[],6,FALSE))</f>
        <v>0 I Grass</v>
      </c>
      <c r="R58" s="13" t="str">
        <f>S16&amp;" I "&amp;(VLOOKUP(S14,Table24581112[],6,FALSE))</f>
        <v>0 I Grass</v>
      </c>
      <c r="S58" s="13" t="str">
        <f>T16&amp;" I "&amp;(VLOOKUP(T14,Table24581112[],6,FALSE))</f>
        <v>0 I Grass</v>
      </c>
      <c r="T58" s="13" t="str">
        <f>U16&amp;" I "&amp;(VLOOKUP(U14,Table24581112[],6,FALSE))</f>
        <v>0 I Grass</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6.7</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6.7</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t="e">
        <f>VLOOKUP(V$14,Table24581112[],5,FALSE)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P21" zoomScale="90" zoomScaleNormal="90" workbookViewId="0">
      <selection activeCell="T29" sqref="T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Preseli!C1:D1</f>
        <v>PAN-025644</v>
      </c>
      <c r="D1" s="141"/>
      <c r="E1" s="93" t="s">
        <v>45</v>
      </c>
      <c r="F1" s="39">
        <f>Preseli!F1</f>
        <v>48.7</v>
      </c>
      <c r="G1" s="120" t="s">
        <v>43</v>
      </c>
      <c r="H1" s="121"/>
      <c r="I1" s="118">
        <v>6.1</v>
      </c>
      <c r="J1" s="119" t="s">
        <v>153</v>
      </c>
      <c r="K1" s="119"/>
      <c r="L1" s="97">
        <v>298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0.72799999999999998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4.0934065934065931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191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9.9198009000000003</v>
      </c>
      <c r="D18" s="16">
        <f>$D32</f>
        <v>9.9198009000000003</v>
      </c>
      <c r="E18" s="16">
        <f>$D33</f>
        <v>9.9198009000000003</v>
      </c>
      <c r="F18" s="16">
        <f>$D34</f>
        <v>9.9198009000000003</v>
      </c>
      <c r="G18" s="16">
        <f>$D35</f>
        <v>9.9198009000000003</v>
      </c>
      <c r="H18" s="16">
        <f>$D36</f>
        <v>9.9198009000000003</v>
      </c>
      <c r="I18" s="16">
        <f>$D37</f>
        <v>9.9198009000000003</v>
      </c>
      <c r="J18" s="16">
        <f>$D38</f>
        <v>9.9198009000000003</v>
      </c>
      <c r="K18" s="16">
        <f>$D39</f>
        <v>9.9198009000000003</v>
      </c>
      <c r="L18" s="16">
        <f>$D40</f>
        <v>9.9198009000000003</v>
      </c>
      <c r="M18" s="16">
        <f>$D41</f>
        <v>9.9198009000000003</v>
      </c>
      <c r="N18" s="16">
        <f>$D42</f>
        <v>9.9198009000000003</v>
      </c>
      <c r="O18" s="16">
        <f>$D43</f>
        <v>9.9198009000000003</v>
      </c>
      <c r="P18" s="16">
        <f>$D44</f>
        <v>9.9198009000000003</v>
      </c>
      <c r="Q18" s="16">
        <f>$D45</f>
        <v>9.9198009000000003</v>
      </c>
      <c r="R18" s="16">
        <f>$D46</f>
        <v>9.9198009000000003</v>
      </c>
      <c r="S18" s="16">
        <f>$D47</f>
        <v>9.9198009000000003</v>
      </c>
      <c r="T18" s="16">
        <f>$D48</f>
        <v>9.9198009000000003</v>
      </c>
      <c r="U18" s="16">
        <f>$D49</f>
        <v>9.9198009000000003</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-69.980199099999993</v>
      </c>
      <c r="D19" s="16">
        <f t="shared" ref="D19:V19" si="1">D18-D17</f>
        <v>-69.980199099999993</v>
      </c>
      <c r="E19" s="16">
        <f t="shared" si="1"/>
        <v>-69.980199099999993</v>
      </c>
      <c r="F19" s="16">
        <f t="shared" si="1"/>
        <v>-69.980199099999993</v>
      </c>
      <c r="G19" s="16">
        <f t="shared" si="1"/>
        <v>-69.980199099999993</v>
      </c>
      <c r="H19" s="16">
        <f t="shared" si="1"/>
        <v>-69.980199099999993</v>
      </c>
      <c r="I19" s="16">
        <f t="shared" si="1"/>
        <v>-202.58019909999999</v>
      </c>
      <c r="J19" s="16">
        <f t="shared" si="1"/>
        <v>-69.980199099999993</v>
      </c>
      <c r="K19" s="16">
        <f t="shared" si="1"/>
        <v>-69.980199099999993</v>
      </c>
      <c r="L19" s="16">
        <f t="shared" si="1"/>
        <v>-69.980199099999993</v>
      </c>
      <c r="M19" s="16">
        <f t="shared" si="1"/>
        <v>-69.980199099999993</v>
      </c>
      <c r="N19" s="16">
        <f t="shared" si="1"/>
        <v>-69.980199099999993</v>
      </c>
      <c r="O19" s="16">
        <f t="shared" si="1"/>
        <v>-202.58019909999999</v>
      </c>
      <c r="P19" s="16">
        <f t="shared" si="1"/>
        <v>-69.980199099999993</v>
      </c>
      <c r="Q19" s="16">
        <f t="shared" si="1"/>
        <v>-69.980199099999993</v>
      </c>
      <c r="R19" s="16">
        <f t="shared" si="1"/>
        <v>-69.980199099999993</v>
      </c>
      <c r="S19" s="16">
        <f t="shared" si="1"/>
        <v>-69.980199099999993</v>
      </c>
      <c r="T19" s="16">
        <f t="shared" si="1"/>
        <v>-69.980199099999993</v>
      </c>
      <c r="U19" s="16">
        <f t="shared" si="1"/>
        <v>-69.980199099999993</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0.97713450000000013</v>
      </c>
      <c r="D22" s="16">
        <f>$E32</f>
        <v>0.97713450000000013</v>
      </c>
      <c r="E22" s="16">
        <f>$E33</f>
        <v>0.97713450000000013</v>
      </c>
      <c r="F22" s="16">
        <f>$E34</f>
        <v>0.97713450000000013</v>
      </c>
      <c r="G22" s="16">
        <f>$E35</f>
        <v>0.97713450000000013</v>
      </c>
      <c r="H22" s="16">
        <f>$E36</f>
        <v>0.97713450000000013</v>
      </c>
      <c r="I22" s="16">
        <f>$E37</f>
        <v>0.97713450000000013</v>
      </c>
      <c r="J22" s="16">
        <f>$E38</f>
        <v>0.97713450000000013</v>
      </c>
      <c r="K22" s="16">
        <f>$E39</f>
        <v>0.97713450000000013</v>
      </c>
      <c r="L22" s="16">
        <f>$E40</f>
        <v>0.97713450000000013</v>
      </c>
      <c r="M22" s="16">
        <f>$E41</f>
        <v>0.97713450000000013</v>
      </c>
      <c r="N22" s="16">
        <f>$E42</f>
        <v>0.97713450000000013</v>
      </c>
      <c r="O22" s="16">
        <f>$E43</f>
        <v>0.97713450000000013</v>
      </c>
      <c r="P22" s="16">
        <f>$E44</f>
        <v>0.97713450000000013</v>
      </c>
      <c r="Q22" s="16">
        <f>$E45</f>
        <v>0.97713450000000013</v>
      </c>
      <c r="R22" s="16">
        <f>$E46</f>
        <v>0.97713450000000013</v>
      </c>
      <c r="S22" s="16">
        <f>$E47</f>
        <v>0.97713450000000013</v>
      </c>
      <c r="T22" s="16">
        <f>$E48</f>
        <v>0.97713450000000013</v>
      </c>
      <c r="U22" s="16">
        <f>$E49</f>
        <v>0.97713450000000013</v>
      </c>
      <c r="V22" s="16">
        <f>$E50</f>
        <v>0</v>
      </c>
      <c r="AI22" s="63" t="s">
        <v>102</v>
      </c>
      <c r="AJ22" s="64">
        <v>1.2</v>
      </c>
      <c r="AK22" s="65">
        <v>5</v>
      </c>
      <c r="AL22" s="29">
        <v>20</v>
      </c>
      <c r="AM22" s="11">
        <v>6.7</v>
      </c>
      <c r="AN22" s="11" t="s">
        <v>135</v>
      </c>
    </row>
    <row r="23" spans="1:40" ht="13" x14ac:dyDescent="0.25">
      <c r="A23" s="124" t="s">
        <v>92</v>
      </c>
      <c r="B23" s="125"/>
      <c r="C23" s="16">
        <f>C22-C21</f>
        <v>-281.02286550000002</v>
      </c>
      <c r="D23" s="16">
        <f t="shared" ref="D23:V23" si="3">D22-D21</f>
        <v>-281.02286550000002</v>
      </c>
      <c r="E23" s="16">
        <f t="shared" si="3"/>
        <v>-281.02286550000002</v>
      </c>
      <c r="F23" s="16">
        <f t="shared" si="3"/>
        <v>-281.02286550000002</v>
      </c>
      <c r="G23" s="16">
        <f t="shared" si="3"/>
        <v>-281.02286550000002</v>
      </c>
      <c r="H23" s="16">
        <f t="shared" si="3"/>
        <v>-281.02286550000002</v>
      </c>
      <c r="I23" s="16">
        <f t="shared" si="3"/>
        <v>-299.02286550000002</v>
      </c>
      <c r="J23" s="16">
        <f t="shared" si="3"/>
        <v>-281.02286550000002</v>
      </c>
      <c r="K23" s="16">
        <f t="shared" si="3"/>
        <v>-281.02286550000002</v>
      </c>
      <c r="L23" s="16">
        <f t="shared" si="3"/>
        <v>-281.02286550000002</v>
      </c>
      <c r="M23" s="16">
        <f t="shared" si="3"/>
        <v>-281.02286550000002</v>
      </c>
      <c r="N23" s="16">
        <f t="shared" si="3"/>
        <v>-281.02286550000002</v>
      </c>
      <c r="O23" s="16">
        <f t="shared" si="3"/>
        <v>-299.02286550000002</v>
      </c>
      <c r="P23" s="16">
        <f t="shared" si="3"/>
        <v>-281.02286550000002</v>
      </c>
      <c r="Q23" s="16">
        <f t="shared" si="3"/>
        <v>-281.02286550000002</v>
      </c>
      <c r="R23" s="16">
        <f t="shared" si="3"/>
        <v>-281.02286550000002</v>
      </c>
      <c r="S23" s="16">
        <f t="shared" si="3"/>
        <v>-281.02286550000002</v>
      </c>
      <c r="T23" s="16">
        <f t="shared" si="3"/>
        <v>-281.02286550000002</v>
      </c>
      <c r="U23" s="16">
        <f t="shared" si="3"/>
        <v>-281.02286550000002</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2.04</v>
      </c>
      <c r="C28" s="15">
        <v>0.72799999999999998</v>
      </c>
      <c r="D28" s="15">
        <v>8.4900000000000003E-2</v>
      </c>
      <c r="E28" s="15">
        <v>1.5900000000000001E-2</v>
      </c>
      <c r="F28" s="15">
        <v>595</v>
      </c>
      <c r="G28" s="15">
        <v>28.1</v>
      </c>
      <c r="H28" s="15">
        <v>130</v>
      </c>
      <c r="I28" s="15">
        <v>8.6</v>
      </c>
      <c r="J28" s="15">
        <v>0.61</v>
      </c>
      <c r="K28" s="23">
        <v>0.99</v>
      </c>
      <c r="L28" s="15">
        <v>9.6</v>
      </c>
      <c r="M28" s="15">
        <v>15.1</v>
      </c>
      <c r="N28" s="15">
        <v>3050</v>
      </c>
      <c r="O28" s="15">
        <v>451000</v>
      </c>
      <c r="P28" s="15"/>
      <c r="Q28" s="15">
        <v>2630</v>
      </c>
      <c r="R28" s="15"/>
      <c r="S28" s="15">
        <v>38.700000000000003</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250</v>
      </c>
      <c r="C31" s="77">
        <f>IF(C$27="%w/w SAR",((C$28*10)*$B31),IF(C$27="%w/w DM",(((C$28*10)*($B$28/100))*$B31),IF(C$27="kg/t SAR",(C$28*$B31),IF(C$27="kg/t DM",((C$28*($B$28/100))*$B31),IF(C$27="mg/kg SAR",((C$28*0.001)*$B31),IF(C$27="mg/kg DM",(((C$28*0.001)*($B$28/100))*$B31),0))))))</f>
        <v>37.128</v>
      </c>
      <c r="D31" s="77">
        <f>(IF(D$27="%w/w SAR",((D$28*10)*$B31),IF(D$27="%w/w DM",(((D$28*10)*($B$28/100))*$B31),IF(D$27="kg/t SAR",(D$28*$B31),IF(D$27="kg/t DM",((D$28*($B$28/100))*$B31),IF(D$27="mg/kg SAR",((D$28*0.001)*$B31),IF(D$27="mg/kg DM",(((D$28*0.001)*($B$28/100))*$B31),"0")))))))*2.291</f>
        <v>9.9198009000000003</v>
      </c>
      <c r="E31" s="77">
        <f>(IF(E$27="%w/w SAR",((E$28*10)*$B31),IF(E$27="%w/w DM",(((E$28*10)*($B$28/100))*$B31),IF(E$27="kg/t SAR",(E$28*$B31),IF(E$27="kg/t DM",((E$28*($B$28/100))*$B31),IF(E$27="mg/kg SAR",((E$28*0.001)*$B31),IF(E$27="mg/kg DM",(((E$28*0.001)*($B$28/100))*$B31),"0")))))))*1.205</f>
        <v>0.97713450000000013</v>
      </c>
      <c r="F31" s="77">
        <f>(IF(F$27="%w/w SAR",((F$28*10)*$B31),IF(F$27="%w/w DM",(((F$28*10)*($B$28/100))*$B31),IF(F$27="kg/t SAR",(F$28*$B31),IF(F$27="kg/t DM",((F$28*($B$28/100))*$B31),IF(F$27="mg/kg SAR",((F$28*0.001)*$B31),IF(F$27="mg/kg DM",(((F$28*0.001)*($B$28/100))*$B31),"0")))))))*1.658</f>
        <v>5.0312009999999994</v>
      </c>
      <c r="G31" s="77">
        <f t="shared" ref="G31:P46" si="5">IF(G$27="%w/w SAR",((G$28*10)*$B31),IF(G$27="%w/w DM",(((G$28*10)*($B$28/100))*$B31),IF(G$27="kg/t SAR",(G$28*$B31),IF(G$27="kg/t DM",((G$28*($B$28/100))*$B31),IF(G$27="mg/kg SAR",((G$28*0.001)*$B31),IF(G$27="mg/kg DM",(((G$28*0.001)*($B$28/100))*$B31),0))))))</f>
        <v>0.14331000000000005</v>
      </c>
      <c r="H31" s="77">
        <f t="shared" si="5"/>
        <v>0.66300000000000003</v>
      </c>
      <c r="I31" s="77">
        <f t="shared" si="5"/>
        <v>4.3860000000000003E-2</v>
      </c>
      <c r="J31" s="77">
        <f t="shared" si="5"/>
        <v>3.1110000000000001E-3</v>
      </c>
      <c r="K31" s="77">
        <f t="shared" si="5"/>
        <v>5.0490000000000005E-3</v>
      </c>
      <c r="L31" s="77">
        <f t="shared" si="5"/>
        <v>4.8959999999999997E-2</v>
      </c>
      <c r="M31" s="77">
        <f t="shared" si="5"/>
        <v>7.7010000000000009E-2</v>
      </c>
      <c r="N31" s="77">
        <f t="shared" si="5"/>
        <v>15.555000000000003</v>
      </c>
      <c r="O31" s="77">
        <f t="shared" si="5"/>
        <v>2300.1</v>
      </c>
      <c r="P31" s="77">
        <f t="shared" si="5"/>
        <v>0</v>
      </c>
      <c r="Q31" s="77">
        <f>(IF(Q$27="%w/w SAR",((Q$28*10)*$B31),IF(Q$27="%w/w DM",(((Q$28*10)*($B$28/100))*$B31),IF(Q$27="kg/t SAR",(Q$28*$B31),IF(Q$27="kg/t DM",((Q$28*($B$28/100))*$B31),IF(Q$27="mg/kg SAR",((Q$28*0.001)*$B31),IF(Q$27="mg/kg DM",(((Q$28*0.001)*($B$28/100))*$B31),0)))))))*2.5</f>
        <v>33.532499999999999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0.19737000000000005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250</v>
      </c>
      <c r="C32" s="77">
        <f t="shared" ref="C32:C50" si="6">IF(C$27="%w/w SAR",((C$28*10)*$B32),IF(C$27="%w/w DM",(((C$28*10)*($B$28/100))*$B32),IF(C$27="kg/t SAR",(C$28*$B32),IF(C$27="kg/t DM",((C$28*($B$28/100))*$B32),IF(C$27="mg/kg SAR",((C$28*0.001)*$B32),IF(C$27="mg/kg DM",(((C$28*0.001)*($B$28/100))*$B32),0))))))</f>
        <v>37.128</v>
      </c>
      <c r="D32" s="77">
        <f t="shared" ref="D32:D50" si="7">(IF(D$27="%w/w SAR",((D$28*10)*$B32),IF(D$27="%w/w DM",(((D$28*10)*($B$28/100))*$B32),IF(D$27="kg/t SAR",(D$28*$B32),IF(D$27="kg/t DM",((D$28*($B$28/100))*$B32),IF(D$27="mg/kg SAR",((D$28*0.001)*$B32),IF(D$27="mg/kg DM",(((D$28*0.001)*($B$28/100))*$B32),"0")))))))*2.291</f>
        <v>9.9198009000000003</v>
      </c>
      <c r="E32" s="77">
        <f t="shared" ref="E32:E50" si="8">(IF(E$27="%w/w SAR",((E$28*10)*$B32),IF(E$27="%w/w DM",(((E$28*10)*($B$28/100))*$B32),IF(E$27="kg/t SAR",(E$28*$B32),IF(E$27="kg/t DM",((E$28*($B$28/100))*$B32),IF(E$27="mg/kg SAR",((E$28*0.001)*$B32),IF(E$27="mg/kg DM",(((E$28*0.001)*($B$28/100))*$B32),"0")))))))*1.205</f>
        <v>0.97713450000000013</v>
      </c>
      <c r="F32" s="77">
        <f t="shared" ref="F32:F50" si="9">(IF(F$27="%w/w SAR",((F$28*10)*$B32),IF(F$27="%w/w DM",(((F$28*10)*($B$28/100))*$B32),IF(F$27="kg/t SAR",(F$28*$B32),IF(F$27="kg/t DM",((F$28*($B$28/100))*$B32),IF(F$27="mg/kg SAR",((F$28*0.001)*$B32),IF(F$27="mg/kg DM",(((F$28*0.001)*($B$28/100))*$B32),"0")))))))*1.658</f>
        <v>5.0312009999999994</v>
      </c>
      <c r="G32" s="77">
        <f t="shared" si="5"/>
        <v>0.14331000000000005</v>
      </c>
      <c r="H32" s="77">
        <f t="shared" si="5"/>
        <v>0.66300000000000003</v>
      </c>
      <c r="I32" s="77">
        <f t="shared" si="5"/>
        <v>4.3860000000000003E-2</v>
      </c>
      <c r="J32" s="77">
        <f t="shared" si="5"/>
        <v>3.1110000000000001E-3</v>
      </c>
      <c r="K32" s="77">
        <f t="shared" si="5"/>
        <v>5.0490000000000005E-3</v>
      </c>
      <c r="L32" s="77">
        <f t="shared" si="5"/>
        <v>4.8959999999999997E-2</v>
      </c>
      <c r="M32" s="77">
        <f t="shared" si="5"/>
        <v>7.7010000000000009E-2</v>
      </c>
      <c r="N32" s="77">
        <f t="shared" si="5"/>
        <v>15.555000000000003</v>
      </c>
      <c r="O32" s="77">
        <f t="shared" si="5"/>
        <v>2300.1</v>
      </c>
      <c r="P32" s="77">
        <f t="shared" si="5"/>
        <v>0</v>
      </c>
      <c r="Q32" s="77">
        <f t="shared" ref="Q32:Q50" si="10">(IF(Q$27="%w/w SAR",((Q$28*10)*$B32),IF(Q$27="%w/w DM",(((Q$28*10)*($B$28/100))*$B32),IF(Q$27="kg/t SAR",(Q$28*$B32),IF(Q$27="kg/t DM",((Q$28*($B$28/100))*$B32),IF(Q$27="mg/kg SAR",((Q$28*0.001)*$B32),IF(Q$27="mg/kg DM",(((Q$28*0.001)*($B$28/100))*$B32),0)))))))*2.5</f>
        <v>33.532499999999999</v>
      </c>
      <c r="R32" s="77">
        <f t="shared" ref="R32:U50" si="11">IF(R$27="%w/w SAR",((R$28*10)*$B32),IF(R$27="%w/w DM",(((R$28*10)*($B$28/100))*$B32),IF(R$27="kg/t SAR",(R$28*$B32),IF(R$27="kg/t DM",((R$28*($B$28/100))*$B32),IF(R$27="mg/kg SAR",((R$28*0.001)*$B32),IF(R$27="mg/kg DM",(((R$28*0.001)*($B$28/100))*$B32),0))))))</f>
        <v>0</v>
      </c>
      <c r="S32" s="77">
        <f t="shared" si="11"/>
        <v>0.19737000000000005</v>
      </c>
      <c r="T32" s="77">
        <f t="shared" si="11"/>
        <v>0</v>
      </c>
      <c r="U32" s="77">
        <f t="shared" si="11"/>
        <v>0</v>
      </c>
      <c r="AB32" s="59"/>
      <c r="AC32" s="59"/>
      <c r="AD32" s="59"/>
      <c r="AE32" s="59"/>
      <c r="AF32" s="59"/>
      <c r="AG32" s="59"/>
      <c r="AH32" s="59"/>
      <c r="AI32" s="59"/>
    </row>
    <row r="33" spans="1:35" s="72" customFormat="1" ht="13" x14ac:dyDescent="0.35">
      <c r="A33" s="13" t="str">
        <f>E8</f>
        <v>Woodstock 3</v>
      </c>
      <c r="B33" s="15">
        <v>250</v>
      </c>
      <c r="C33" s="77">
        <f t="shared" si="6"/>
        <v>37.128</v>
      </c>
      <c r="D33" s="77">
        <f t="shared" si="7"/>
        <v>9.9198009000000003</v>
      </c>
      <c r="E33" s="77">
        <f t="shared" si="8"/>
        <v>0.97713450000000013</v>
      </c>
      <c r="F33" s="77">
        <f t="shared" si="9"/>
        <v>5.0312009999999994</v>
      </c>
      <c r="G33" s="77">
        <f t="shared" si="5"/>
        <v>0.14331000000000005</v>
      </c>
      <c r="H33" s="77">
        <f t="shared" si="5"/>
        <v>0.66300000000000003</v>
      </c>
      <c r="I33" s="77">
        <f t="shared" si="5"/>
        <v>4.3860000000000003E-2</v>
      </c>
      <c r="J33" s="77">
        <f t="shared" si="5"/>
        <v>3.1110000000000001E-3</v>
      </c>
      <c r="K33" s="77">
        <f t="shared" si="5"/>
        <v>5.0490000000000005E-3</v>
      </c>
      <c r="L33" s="77">
        <f t="shared" si="5"/>
        <v>4.8959999999999997E-2</v>
      </c>
      <c r="M33" s="77">
        <f t="shared" si="5"/>
        <v>7.7010000000000009E-2</v>
      </c>
      <c r="N33" s="77">
        <f t="shared" si="5"/>
        <v>15.555000000000003</v>
      </c>
      <c r="O33" s="77">
        <f t="shared" si="5"/>
        <v>2300.1</v>
      </c>
      <c r="P33" s="77">
        <f t="shared" si="5"/>
        <v>0</v>
      </c>
      <c r="Q33" s="77">
        <f t="shared" si="10"/>
        <v>33.532499999999999</v>
      </c>
      <c r="R33" s="77">
        <f t="shared" si="11"/>
        <v>0</v>
      </c>
      <c r="S33" s="77">
        <f t="shared" si="11"/>
        <v>0.19737000000000005</v>
      </c>
      <c r="T33" s="77">
        <f t="shared" si="11"/>
        <v>0</v>
      </c>
      <c r="U33" s="77">
        <f t="shared" si="11"/>
        <v>0</v>
      </c>
      <c r="AB33" s="59"/>
      <c r="AC33" s="59"/>
      <c r="AD33" s="59"/>
      <c r="AE33" s="59"/>
      <c r="AF33" s="59"/>
      <c r="AG33" s="59"/>
      <c r="AH33" s="59"/>
      <c r="AI33" s="59"/>
    </row>
    <row r="34" spans="1:35" s="72" customFormat="1" ht="13" x14ac:dyDescent="0.35">
      <c r="A34" s="13" t="str">
        <f>F8</f>
        <v>Woodstock 4</v>
      </c>
      <c r="B34" s="15">
        <v>250</v>
      </c>
      <c r="C34" s="77">
        <f t="shared" si="6"/>
        <v>37.128</v>
      </c>
      <c r="D34" s="77">
        <f t="shared" si="7"/>
        <v>9.9198009000000003</v>
      </c>
      <c r="E34" s="77">
        <f t="shared" si="8"/>
        <v>0.97713450000000013</v>
      </c>
      <c r="F34" s="77">
        <f t="shared" si="9"/>
        <v>5.0312009999999994</v>
      </c>
      <c r="G34" s="77">
        <f t="shared" si="5"/>
        <v>0.14331000000000005</v>
      </c>
      <c r="H34" s="77">
        <f t="shared" si="5"/>
        <v>0.66300000000000003</v>
      </c>
      <c r="I34" s="77">
        <f t="shared" si="5"/>
        <v>4.3860000000000003E-2</v>
      </c>
      <c r="J34" s="77">
        <f t="shared" si="5"/>
        <v>3.1110000000000001E-3</v>
      </c>
      <c r="K34" s="77">
        <f t="shared" si="5"/>
        <v>5.0490000000000005E-3</v>
      </c>
      <c r="L34" s="77">
        <f t="shared" si="5"/>
        <v>4.8959999999999997E-2</v>
      </c>
      <c r="M34" s="77">
        <f t="shared" si="5"/>
        <v>7.7010000000000009E-2</v>
      </c>
      <c r="N34" s="77">
        <f t="shared" si="5"/>
        <v>15.555000000000003</v>
      </c>
      <c r="O34" s="77">
        <f t="shared" si="5"/>
        <v>2300.1</v>
      </c>
      <c r="P34" s="77">
        <f t="shared" si="5"/>
        <v>0</v>
      </c>
      <c r="Q34" s="77">
        <f t="shared" si="10"/>
        <v>33.532499999999999</v>
      </c>
      <c r="R34" s="77">
        <f t="shared" si="11"/>
        <v>0</v>
      </c>
      <c r="S34" s="77">
        <f t="shared" si="11"/>
        <v>0.19737000000000005</v>
      </c>
      <c r="T34" s="77">
        <f t="shared" si="11"/>
        <v>0</v>
      </c>
      <c r="U34" s="77">
        <f t="shared" si="11"/>
        <v>0</v>
      </c>
      <c r="AB34" s="59"/>
      <c r="AC34" s="59"/>
      <c r="AD34" s="59"/>
      <c r="AE34" s="59"/>
      <c r="AF34" s="59"/>
      <c r="AG34" s="59"/>
      <c r="AH34" s="59"/>
      <c r="AI34" s="59"/>
    </row>
    <row r="35" spans="1:35" s="72" customFormat="1" ht="13" x14ac:dyDescent="0.35">
      <c r="A35" s="13" t="str">
        <f>G8</f>
        <v>Woodstock 5</v>
      </c>
      <c r="B35" s="15">
        <v>250</v>
      </c>
      <c r="C35" s="77">
        <f t="shared" si="6"/>
        <v>37.128</v>
      </c>
      <c r="D35" s="77">
        <f t="shared" si="7"/>
        <v>9.9198009000000003</v>
      </c>
      <c r="E35" s="77">
        <f t="shared" si="8"/>
        <v>0.97713450000000013</v>
      </c>
      <c r="F35" s="77">
        <f t="shared" si="9"/>
        <v>5.0312009999999994</v>
      </c>
      <c r="G35" s="77">
        <f t="shared" si="5"/>
        <v>0.14331000000000005</v>
      </c>
      <c r="H35" s="77">
        <f t="shared" si="5"/>
        <v>0.66300000000000003</v>
      </c>
      <c r="I35" s="77">
        <f t="shared" si="5"/>
        <v>4.3860000000000003E-2</v>
      </c>
      <c r="J35" s="77">
        <f t="shared" si="5"/>
        <v>3.1110000000000001E-3</v>
      </c>
      <c r="K35" s="77">
        <f t="shared" si="5"/>
        <v>5.0490000000000005E-3</v>
      </c>
      <c r="L35" s="77">
        <f t="shared" si="5"/>
        <v>4.8959999999999997E-2</v>
      </c>
      <c r="M35" s="77">
        <f t="shared" si="5"/>
        <v>7.7010000000000009E-2</v>
      </c>
      <c r="N35" s="77">
        <f t="shared" si="5"/>
        <v>15.555000000000003</v>
      </c>
      <c r="O35" s="77">
        <f t="shared" si="5"/>
        <v>2300.1</v>
      </c>
      <c r="P35" s="77">
        <f t="shared" si="5"/>
        <v>0</v>
      </c>
      <c r="Q35" s="77">
        <f t="shared" si="10"/>
        <v>33.532499999999999</v>
      </c>
      <c r="R35" s="77">
        <f t="shared" si="11"/>
        <v>0</v>
      </c>
      <c r="S35" s="77">
        <f t="shared" si="11"/>
        <v>0.19737000000000005</v>
      </c>
      <c r="T35" s="77">
        <f t="shared" si="11"/>
        <v>0</v>
      </c>
      <c r="U35" s="77">
        <f t="shared" si="11"/>
        <v>0</v>
      </c>
      <c r="AB35" s="59"/>
      <c r="AC35" s="59"/>
      <c r="AD35" s="59"/>
      <c r="AE35" s="59"/>
      <c r="AF35" s="59"/>
      <c r="AG35" s="59"/>
      <c r="AH35" s="59"/>
      <c r="AI35" s="59"/>
    </row>
    <row r="36" spans="1:35" s="72" customFormat="1" ht="13" x14ac:dyDescent="0.35">
      <c r="A36" s="13" t="str">
        <f>H8</f>
        <v>Woodstock 6</v>
      </c>
      <c r="B36" s="15">
        <v>250</v>
      </c>
      <c r="C36" s="77">
        <f t="shared" si="6"/>
        <v>37.128</v>
      </c>
      <c r="D36" s="77">
        <f t="shared" si="7"/>
        <v>9.9198009000000003</v>
      </c>
      <c r="E36" s="77">
        <f t="shared" si="8"/>
        <v>0.97713450000000013</v>
      </c>
      <c r="F36" s="77">
        <f t="shared" si="9"/>
        <v>5.0312009999999994</v>
      </c>
      <c r="G36" s="77">
        <f t="shared" si="5"/>
        <v>0.14331000000000005</v>
      </c>
      <c r="H36" s="77">
        <f t="shared" si="5"/>
        <v>0.66300000000000003</v>
      </c>
      <c r="I36" s="77">
        <f t="shared" si="5"/>
        <v>4.3860000000000003E-2</v>
      </c>
      <c r="J36" s="77">
        <f t="shared" si="5"/>
        <v>3.1110000000000001E-3</v>
      </c>
      <c r="K36" s="77">
        <f t="shared" si="5"/>
        <v>5.0490000000000005E-3</v>
      </c>
      <c r="L36" s="77">
        <f t="shared" si="5"/>
        <v>4.8959999999999997E-2</v>
      </c>
      <c r="M36" s="77">
        <f t="shared" si="5"/>
        <v>7.7010000000000009E-2</v>
      </c>
      <c r="N36" s="77">
        <f t="shared" si="5"/>
        <v>15.555000000000003</v>
      </c>
      <c r="O36" s="77">
        <f t="shared" si="5"/>
        <v>2300.1</v>
      </c>
      <c r="P36" s="77">
        <f t="shared" si="5"/>
        <v>0</v>
      </c>
      <c r="Q36" s="77">
        <f t="shared" si="10"/>
        <v>33.532499999999999</v>
      </c>
      <c r="R36" s="77">
        <f t="shared" si="11"/>
        <v>0</v>
      </c>
      <c r="S36" s="77">
        <f t="shared" si="11"/>
        <v>0.19737000000000005</v>
      </c>
      <c r="T36" s="77">
        <f t="shared" si="11"/>
        <v>0</v>
      </c>
      <c r="U36" s="77">
        <f t="shared" si="11"/>
        <v>0</v>
      </c>
      <c r="AB36" s="59"/>
      <c r="AC36" s="59"/>
      <c r="AD36" s="59"/>
      <c r="AE36" s="59"/>
      <c r="AF36" s="59"/>
      <c r="AG36" s="59"/>
      <c r="AH36" s="59"/>
      <c r="AI36" s="59"/>
    </row>
    <row r="37" spans="1:35" s="72" customFormat="1" ht="13" x14ac:dyDescent="0.35">
      <c r="A37" s="13" t="str">
        <f>I8</f>
        <v>Woodstock 7</v>
      </c>
      <c r="B37" s="15">
        <v>250</v>
      </c>
      <c r="C37" s="77">
        <f t="shared" si="6"/>
        <v>37.128</v>
      </c>
      <c r="D37" s="77">
        <f t="shared" si="7"/>
        <v>9.9198009000000003</v>
      </c>
      <c r="E37" s="77">
        <f t="shared" si="8"/>
        <v>0.97713450000000013</v>
      </c>
      <c r="F37" s="77">
        <f t="shared" si="9"/>
        <v>5.0312009999999994</v>
      </c>
      <c r="G37" s="77">
        <f t="shared" si="5"/>
        <v>0.14331000000000005</v>
      </c>
      <c r="H37" s="77">
        <f t="shared" si="5"/>
        <v>0.66300000000000003</v>
      </c>
      <c r="I37" s="77">
        <f t="shared" si="5"/>
        <v>4.3860000000000003E-2</v>
      </c>
      <c r="J37" s="77">
        <f t="shared" si="5"/>
        <v>3.1110000000000001E-3</v>
      </c>
      <c r="K37" s="77">
        <f t="shared" si="5"/>
        <v>5.0490000000000005E-3</v>
      </c>
      <c r="L37" s="77">
        <f t="shared" si="5"/>
        <v>4.8959999999999997E-2</v>
      </c>
      <c r="M37" s="77">
        <f t="shared" si="5"/>
        <v>7.7010000000000009E-2</v>
      </c>
      <c r="N37" s="77">
        <f t="shared" si="5"/>
        <v>15.555000000000003</v>
      </c>
      <c r="O37" s="77">
        <f t="shared" si="5"/>
        <v>2300.1</v>
      </c>
      <c r="P37" s="77">
        <f t="shared" si="5"/>
        <v>0</v>
      </c>
      <c r="Q37" s="77">
        <f t="shared" si="10"/>
        <v>33.532499999999999</v>
      </c>
      <c r="R37" s="77">
        <f t="shared" si="11"/>
        <v>0</v>
      </c>
      <c r="S37" s="77">
        <f t="shared" si="11"/>
        <v>0.19737000000000005</v>
      </c>
      <c r="T37" s="77">
        <f t="shared" si="11"/>
        <v>0</v>
      </c>
      <c r="U37" s="77">
        <f t="shared" si="11"/>
        <v>0</v>
      </c>
      <c r="AB37" s="59"/>
      <c r="AC37" s="59"/>
      <c r="AD37" s="59"/>
      <c r="AE37" s="59"/>
      <c r="AF37" s="59"/>
      <c r="AG37" s="59"/>
      <c r="AH37" s="59"/>
      <c r="AI37" s="59"/>
    </row>
    <row r="38" spans="1:35" s="72" customFormat="1" ht="13" x14ac:dyDescent="0.35">
      <c r="A38" s="13" t="str">
        <f>J8</f>
        <v>Woodstock 8</v>
      </c>
      <c r="B38" s="15">
        <v>250</v>
      </c>
      <c r="C38" s="77">
        <f t="shared" si="6"/>
        <v>37.128</v>
      </c>
      <c r="D38" s="77">
        <f t="shared" si="7"/>
        <v>9.9198009000000003</v>
      </c>
      <c r="E38" s="77">
        <f t="shared" si="8"/>
        <v>0.97713450000000013</v>
      </c>
      <c r="F38" s="77">
        <f t="shared" si="9"/>
        <v>5.0312009999999994</v>
      </c>
      <c r="G38" s="77">
        <f t="shared" si="5"/>
        <v>0.14331000000000005</v>
      </c>
      <c r="H38" s="77">
        <f t="shared" si="5"/>
        <v>0.66300000000000003</v>
      </c>
      <c r="I38" s="77">
        <f t="shared" si="5"/>
        <v>4.3860000000000003E-2</v>
      </c>
      <c r="J38" s="77">
        <f t="shared" si="5"/>
        <v>3.1110000000000001E-3</v>
      </c>
      <c r="K38" s="77">
        <f t="shared" si="5"/>
        <v>5.0490000000000005E-3</v>
      </c>
      <c r="L38" s="77">
        <f t="shared" si="5"/>
        <v>4.8959999999999997E-2</v>
      </c>
      <c r="M38" s="77">
        <f t="shared" si="5"/>
        <v>7.7010000000000009E-2</v>
      </c>
      <c r="N38" s="77">
        <f t="shared" si="5"/>
        <v>15.555000000000003</v>
      </c>
      <c r="O38" s="77">
        <f t="shared" si="5"/>
        <v>2300.1</v>
      </c>
      <c r="P38" s="77">
        <f t="shared" si="5"/>
        <v>0</v>
      </c>
      <c r="Q38" s="77">
        <f t="shared" si="10"/>
        <v>33.532499999999999</v>
      </c>
      <c r="R38" s="77">
        <f t="shared" si="11"/>
        <v>0</v>
      </c>
      <c r="S38" s="77">
        <f t="shared" si="11"/>
        <v>0.19737000000000005</v>
      </c>
      <c r="T38" s="77">
        <f t="shared" si="11"/>
        <v>0</v>
      </c>
      <c r="U38" s="77">
        <f t="shared" si="11"/>
        <v>0</v>
      </c>
      <c r="AB38" s="59"/>
      <c r="AC38" s="59"/>
      <c r="AD38" s="59"/>
      <c r="AE38" s="59"/>
      <c r="AF38" s="59"/>
      <c r="AG38" s="59"/>
      <c r="AH38" s="59"/>
      <c r="AI38" s="59"/>
    </row>
    <row r="39" spans="1:35" s="72" customFormat="1" ht="13" x14ac:dyDescent="0.35">
      <c r="A39" s="13" t="str">
        <f>K8</f>
        <v>Woodstock 9</v>
      </c>
      <c r="B39" s="15">
        <v>250</v>
      </c>
      <c r="C39" s="77">
        <f t="shared" si="6"/>
        <v>37.128</v>
      </c>
      <c r="D39" s="77">
        <f t="shared" si="7"/>
        <v>9.9198009000000003</v>
      </c>
      <c r="E39" s="77">
        <f t="shared" si="8"/>
        <v>0.97713450000000013</v>
      </c>
      <c r="F39" s="77">
        <f t="shared" si="9"/>
        <v>5.0312009999999994</v>
      </c>
      <c r="G39" s="77">
        <f t="shared" si="5"/>
        <v>0.14331000000000005</v>
      </c>
      <c r="H39" s="77">
        <f t="shared" si="5"/>
        <v>0.66300000000000003</v>
      </c>
      <c r="I39" s="77">
        <f t="shared" si="5"/>
        <v>4.3860000000000003E-2</v>
      </c>
      <c r="J39" s="77">
        <f t="shared" si="5"/>
        <v>3.1110000000000001E-3</v>
      </c>
      <c r="K39" s="77">
        <f t="shared" si="5"/>
        <v>5.0490000000000005E-3</v>
      </c>
      <c r="L39" s="77">
        <f t="shared" si="5"/>
        <v>4.8959999999999997E-2</v>
      </c>
      <c r="M39" s="77">
        <f t="shared" si="5"/>
        <v>7.7010000000000009E-2</v>
      </c>
      <c r="N39" s="77">
        <f t="shared" si="5"/>
        <v>15.555000000000003</v>
      </c>
      <c r="O39" s="77">
        <f t="shared" si="5"/>
        <v>2300.1</v>
      </c>
      <c r="P39" s="77">
        <f t="shared" si="5"/>
        <v>0</v>
      </c>
      <c r="Q39" s="77">
        <f t="shared" si="10"/>
        <v>33.532499999999999</v>
      </c>
      <c r="R39" s="77">
        <f t="shared" si="11"/>
        <v>0</v>
      </c>
      <c r="S39" s="77">
        <f t="shared" si="11"/>
        <v>0.19737000000000005</v>
      </c>
      <c r="T39" s="77">
        <f t="shared" si="11"/>
        <v>0</v>
      </c>
      <c r="U39" s="77">
        <f t="shared" si="11"/>
        <v>0</v>
      </c>
      <c r="AB39" s="59"/>
      <c r="AC39" s="59"/>
      <c r="AD39" s="59"/>
      <c r="AE39" s="59"/>
      <c r="AF39" s="59"/>
      <c r="AG39" s="59"/>
      <c r="AH39" s="59"/>
      <c r="AI39" s="59"/>
    </row>
    <row r="40" spans="1:35" s="72" customFormat="1" ht="13" x14ac:dyDescent="0.35">
      <c r="A40" s="13" t="str">
        <f>L8</f>
        <v>Woodstock 10</v>
      </c>
      <c r="B40" s="15">
        <v>250</v>
      </c>
      <c r="C40" s="77">
        <f t="shared" si="6"/>
        <v>37.128</v>
      </c>
      <c r="D40" s="77">
        <f t="shared" si="7"/>
        <v>9.9198009000000003</v>
      </c>
      <c r="E40" s="77">
        <f t="shared" si="8"/>
        <v>0.97713450000000013</v>
      </c>
      <c r="F40" s="77">
        <f t="shared" si="9"/>
        <v>5.0312009999999994</v>
      </c>
      <c r="G40" s="77">
        <f t="shared" si="5"/>
        <v>0.14331000000000005</v>
      </c>
      <c r="H40" s="77">
        <f t="shared" si="5"/>
        <v>0.66300000000000003</v>
      </c>
      <c r="I40" s="77">
        <f t="shared" si="5"/>
        <v>4.3860000000000003E-2</v>
      </c>
      <c r="J40" s="77">
        <f t="shared" si="5"/>
        <v>3.1110000000000001E-3</v>
      </c>
      <c r="K40" s="77">
        <f t="shared" si="5"/>
        <v>5.0490000000000005E-3</v>
      </c>
      <c r="L40" s="77">
        <f t="shared" si="5"/>
        <v>4.8959999999999997E-2</v>
      </c>
      <c r="M40" s="77">
        <f t="shared" si="5"/>
        <v>7.7010000000000009E-2</v>
      </c>
      <c r="N40" s="77">
        <f t="shared" si="5"/>
        <v>15.555000000000003</v>
      </c>
      <c r="O40" s="77">
        <f t="shared" si="5"/>
        <v>2300.1</v>
      </c>
      <c r="P40" s="77">
        <f t="shared" si="5"/>
        <v>0</v>
      </c>
      <c r="Q40" s="77">
        <f t="shared" si="10"/>
        <v>33.532499999999999</v>
      </c>
      <c r="R40" s="77">
        <f t="shared" si="11"/>
        <v>0</v>
      </c>
      <c r="S40" s="77">
        <f t="shared" si="11"/>
        <v>0.19737000000000005</v>
      </c>
      <c r="T40" s="77">
        <f t="shared" si="11"/>
        <v>0</v>
      </c>
      <c r="U40" s="77">
        <f t="shared" si="11"/>
        <v>0</v>
      </c>
      <c r="AB40" s="59"/>
      <c r="AC40" s="59"/>
      <c r="AD40" s="59"/>
      <c r="AE40" s="59"/>
      <c r="AF40" s="59"/>
      <c r="AG40" s="59"/>
      <c r="AH40" s="59"/>
      <c r="AI40" s="59"/>
    </row>
    <row r="41" spans="1:35" s="72" customFormat="1" ht="13" x14ac:dyDescent="0.35">
      <c r="A41" s="13" t="str">
        <f>M8</f>
        <v>Woodstock 11</v>
      </c>
      <c r="B41" s="15">
        <v>250</v>
      </c>
      <c r="C41" s="77">
        <f t="shared" si="6"/>
        <v>37.128</v>
      </c>
      <c r="D41" s="77">
        <f t="shared" si="7"/>
        <v>9.9198009000000003</v>
      </c>
      <c r="E41" s="77">
        <f t="shared" si="8"/>
        <v>0.97713450000000013</v>
      </c>
      <c r="F41" s="77">
        <f t="shared" si="9"/>
        <v>5.0312009999999994</v>
      </c>
      <c r="G41" s="77">
        <f t="shared" si="5"/>
        <v>0.14331000000000005</v>
      </c>
      <c r="H41" s="77">
        <f t="shared" si="5"/>
        <v>0.66300000000000003</v>
      </c>
      <c r="I41" s="77">
        <f t="shared" si="5"/>
        <v>4.3860000000000003E-2</v>
      </c>
      <c r="J41" s="77">
        <f t="shared" si="5"/>
        <v>3.1110000000000001E-3</v>
      </c>
      <c r="K41" s="77">
        <f t="shared" si="5"/>
        <v>5.0490000000000005E-3</v>
      </c>
      <c r="L41" s="77">
        <f t="shared" si="5"/>
        <v>4.8959999999999997E-2</v>
      </c>
      <c r="M41" s="77">
        <f t="shared" si="5"/>
        <v>7.7010000000000009E-2</v>
      </c>
      <c r="N41" s="77">
        <f t="shared" si="5"/>
        <v>15.555000000000003</v>
      </c>
      <c r="O41" s="77">
        <f t="shared" si="5"/>
        <v>2300.1</v>
      </c>
      <c r="P41" s="77">
        <f t="shared" si="5"/>
        <v>0</v>
      </c>
      <c r="Q41" s="77">
        <f t="shared" si="10"/>
        <v>33.532499999999999</v>
      </c>
      <c r="R41" s="77">
        <f t="shared" si="11"/>
        <v>0</v>
      </c>
      <c r="S41" s="77">
        <f t="shared" si="11"/>
        <v>0.19737000000000005</v>
      </c>
      <c r="T41" s="77">
        <f t="shared" si="11"/>
        <v>0</v>
      </c>
      <c r="U41" s="77">
        <f t="shared" si="11"/>
        <v>0</v>
      </c>
      <c r="AB41" s="59"/>
      <c r="AC41" s="59"/>
      <c r="AD41" s="59"/>
      <c r="AE41" s="59"/>
      <c r="AF41" s="59"/>
      <c r="AG41" s="59"/>
      <c r="AH41" s="59"/>
      <c r="AI41" s="59"/>
    </row>
    <row r="42" spans="1:35" s="72" customFormat="1" ht="13" x14ac:dyDescent="0.35">
      <c r="A42" s="13" t="str">
        <f>N8</f>
        <v>Woodstock 12</v>
      </c>
      <c r="B42" s="15">
        <v>250</v>
      </c>
      <c r="C42" s="77">
        <f t="shared" si="6"/>
        <v>37.128</v>
      </c>
      <c r="D42" s="77">
        <f t="shared" si="7"/>
        <v>9.9198009000000003</v>
      </c>
      <c r="E42" s="77">
        <f t="shared" si="8"/>
        <v>0.97713450000000013</v>
      </c>
      <c r="F42" s="77">
        <f t="shared" si="9"/>
        <v>5.0312009999999994</v>
      </c>
      <c r="G42" s="77">
        <f t="shared" si="5"/>
        <v>0.14331000000000005</v>
      </c>
      <c r="H42" s="77">
        <f t="shared" si="5"/>
        <v>0.66300000000000003</v>
      </c>
      <c r="I42" s="77">
        <f t="shared" si="5"/>
        <v>4.3860000000000003E-2</v>
      </c>
      <c r="J42" s="77">
        <f t="shared" si="5"/>
        <v>3.1110000000000001E-3</v>
      </c>
      <c r="K42" s="77">
        <f t="shared" si="5"/>
        <v>5.0490000000000005E-3</v>
      </c>
      <c r="L42" s="77">
        <f t="shared" si="5"/>
        <v>4.8959999999999997E-2</v>
      </c>
      <c r="M42" s="77">
        <f t="shared" si="5"/>
        <v>7.7010000000000009E-2</v>
      </c>
      <c r="N42" s="77">
        <f t="shared" si="5"/>
        <v>15.555000000000003</v>
      </c>
      <c r="O42" s="77">
        <f t="shared" si="5"/>
        <v>2300.1</v>
      </c>
      <c r="P42" s="77">
        <f t="shared" si="5"/>
        <v>0</v>
      </c>
      <c r="Q42" s="77">
        <f t="shared" si="10"/>
        <v>33.532499999999999</v>
      </c>
      <c r="R42" s="77">
        <f t="shared" si="11"/>
        <v>0</v>
      </c>
      <c r="S42" s="77">
        <f t="shared" si="11"/>
        <v>0.19737000000000005</v>
      </c>
      <c r="T42" s="77">
        <f t="shared" si="11"/>
        <v>0</v>
      </c>
      <c r="U42" s="77">
        <f t="shared" si="11"/>
        <v>0</v>
      </c>
      <c r="AB42" s="59"/>
      <c r="AC42" s="59"/>
      <c r="AD42" s="59"/>
      <c r="AE42" s="59"/>
      <c r="AF42" s="59"/>
      <c r="AG42" s="59"/>
      <c r="AH42" s="59"/>
      <c r="AI42" s="59"/>
    </row>
    <row r="43" spans="1:35" s="72" customFormat="1" ht="13" x14ac:dyDescent="0.35">
      <c r="A43" s="13" t="str">
        <f>O8</f>
        <v>Woodstock 13/14</v>
      </c>
      <c r="B43" s="15">
        <v>250</v>
      </c>
      <c r="C43" s="77">
        <f t="shared" si="6"/>
        <v>37.128</v>
      </c>
      <c r="D43" s="77">
        <f t="shared" si="7"/>
        <v>9.9198009000000003</v>
      </c>
      <c r="E43" s="77">
        <f t="shared" si="8"/>
        <v>0.97713450000000013</v>
      </c>
      <c r="F43" s="77">
        <f t="shared" si="9"/>
        <v>5.0312009999999994</v>
      </c>
      <c r="G43" s="77">
        <f t="shared" si="5"/>
        <v>0.14331000000000005</v>
      </c>
      <c r="H43" s="77">
        <f t="shared" si="5"/>
        <v>0.66300000000000003</v>
      </c>
      <c r="I43" s="77">
        <f t="shared" si="5"/>
        <v>4.3860000000000003E-2</v>
      </c>
      <c r="J43" s="77">
        <f t="shared" si="5"/>
        <v>3.1110000000000001E-3</v>
      </c>
      <c r="K43" s="77">
        <f t="shared" si="5"/>
        <v>5.0490000000000005E-3</v>
      </c>
      <c r="L43" s="77">
        <f t="shared" si="5"/>
        <v>4.8959999999999997E-2</v>
      </c>
      <c r="M43" s="77">
        <f t="shared" si="5"/>
        <v>7.7010000000000009E-2</v>
      </c>
      <c r="N43" s="77">
        <f t="shared" si="5"/>
        <v>15.555000000000003</v>
      </c>
      <c r="O43" s="77">
        <f t="shared" si="5"/>
        <v>2300.1</v>
      </c>
      <c r="P43" s="77">
        <f t="shared" si="5"/>
        <v>0</v>
      </c>
      <c r="Q43" s="77">
        <f t="shared" si="10"/>
        <v>33.532499999999999</v>
      </c>
      <c r="R43" s="77">
        <f t="shared" si="11"/>
        <v>0</v>
      </c>
      <c r="S43" s="77">
        <f t="shared" si="11"/>
        <v>0.19737000000000005</v>
      </c>
      <c r="T43" s="77">
        <f t="shared" si="11"/>
        <v>0</v>
      </c>
      <c r="U43" s="77">
        <f t="shared" si="11"/>
        <v>0</v>
      </c>
      <c r="AB43" s="59"/>
      <c r="AC43" s="59"/>
      <c r="AD43" s="59"/>
      <c r="AE43" s="59"/>
      <c r="AF43" s="59"/>
      <c r="AG43" s="59"/>
      <c r="AH43" s="59"/>
      <c r="AI43" s="59"/>
    </row>
    <row r="44" spans="1:35" s="72" customFormat="1" ht="13" x14ac:dyDescent="0.35">
      <c r="A44" s="13" t="str">
        <f>P8</f>
        <v>Gwarcoed 16</v>
      </c>
      <c r="B44" s="15">
        <v>250</v>
      </c>
      <c r="C44" s="77">
        <f t="shared" si="6"/>
        <v>37.128</v>
      </c>
      <c r="D44" s="77">
        <f t="shared" si="7"/>
        <v>9.9198009000000003</v>
      </c>
      <c r="E44" s="77">
        <f t="shared" si="8"/>
        <v>0.97713450000000013</v>
      </c>
      <c r="F44" s="77">
        <f t="shared" si="9"/>
        <v>5.0312009999999994</v>
      </c>
      <c r="G44" s="77">
        <f t="shared" si="5"/>
        <v>0.14331000000000005</v>
      </c>
      <c r="H44" s="77">
        <f t="shared" si="5"/>
        <v>0.66300000000000003</v>
      </c>
      <c r="I44" s="77">
        <f t="shared" si="5"/>
        <v>4.3860000000000003E-2</v>
      </c>
      <c r="J44" s="77">
        <f t="shared" si="5"/>
        <v>3.1110000000000001E-3</v>
      </c>
      <c r="K44" s="77">
        <f t="shared" si="5"/>
        <v>5.0490000000000005E-3</v>
      </c>
      <c r="L44" s="77">
        <f t="shared" si="5"/>
        <v>4.8959999999999997E-2</v>
      </c>
      <c r="M44" s="77">
        <f t="shared" si="5"/>
        <v>7.7010000000000009E-2</v>
      </c>
      <c r="N44" s="77">
        <f t="shared" si="5"/>
        <v>15.555000000000003</v>
      </c>
      <c r="O44" s="77">
        <f t="shared" si="5"/>
        <v>2300.1</v>
      </c>
      <c r="P44" s="77">
        <f t="shared" si="5"/>
        <v>0</v>
      </c>
      <c r="Q44" s="77">
        <f t="shared" si="10"/>
        <v>33.532499999999999</v>
      </c>
      <c r="R44" s="77">
        <f t="shared" si="11"/>
        <v>0</v>
      </c>
      <c r="S44" s="77">
        <f t="shared" si="11"/>
        <v>0.19737000000000005</v>
      </c>
      <c r="T44" s="77">
        <f t="shared" si="11"/>
        <v>0</v>
      </c>
      <c r="U44" s="77">
        <f t="shared" si="11"/>
        <v>0</v>
      </c>
      <c r="AB44" s="59"/>
      <c r="AC44" s="59"/>
      <c r="AD44" s="59"/>
      <c r="AE44" s="59"/>
      <c r="AF44" s="59"/>
      <c r="AG44" s="59"/>
      <c r="AH44" s="59"/>
      <c r="AI44" s="59"/>
    </row>
    <row r="45" spans="1:35" s="72" customFormat="1" ht="13" x14ac:dyDescent="0.35">
      <c r="A45" s="13" t="str">
        <f>Q8</f>
        <v>Gwarcoed 17</v>
      </c>
      <c r="B45" s="15">
        <v>250</v>
      </c>
      <c r="C45" s="77">
        <f t="shared" si="6"/>
        <v>37.128</v>
      </c>
      <c r="D45" s="77">
        <f t="shared" si="7"/>
        <v>9.9198009000000003</v>
      </c>
      <c r="E45" s="77">
        <f t="shared" si="8"/>
        <v>0.97713450000000013</v>
      </c>
      <c r="F45" s="77">
        <f t="shared" si="9"/>
        <v>5.0312009999999994</v>
      </c>
      <c r="G45" s="77">
        <f t="shared" si="5"/>
        <v>0.14331000000000005</v>
      </c>
      <c r="H45" s="77">
        <f t="shared" si="5"/>
        <v>0.66300000000000003</v>
      </c>
      <c r="I45" s="77">
        <f t="shared" si="5"/>
        <v>4.3860000000000003E-2</v>
      </c>
      <c r="J45" s="77">
        <f t="shared" si="5"/>
        <v>3.1110000000000001E-3</v>
      </c>
      <c r="K45" s="77">
        <f t="shared" si="5"/>
        <v>5.0490000000000005E-3</v>
      </c>
      <c r="L45" s="77">
        <f t="shared" si="5"/>
        <v>4.8959999999999997E-2</v>
      </c>
      <c r="M45" s="77">
        <f t="shared" si="5"/>
        <v>7.7010000000000009E-2</v>
      </c>
      <c r="N45" s="77">
        <f t="shared" si="5"/>
        <v>15.555000000000003</v>
      </c>
      <c r="O45" s="77">
        <f t="shared" si="5"/>
        <v>2300.1</v>
      </c>
      <c r="P45" s="77">
        <f t="shared" si="5"/>
        <v>0</v>
      </c>
      <c r="Q45" s="77">
        <f t="shared" si="10"/>
        <v>33.532499999999999</v>
      </c>
      <c r="R45" s="77">
        <f t="shared" si="11"/>
        <v>0</v>
      </c>
      <c r="S45" s="77">
        <f t="shared" si="11"/>
        <v>0.19737000000000005</v>
      </c>
      <c r="T45" s="77">
        <f t="shared" si="11"/>
        <v>0</v>
      </c>
      <c r="U45" s="77">
        <f t="shared" si="11"/>
        <v>0</v>
      </c>
      <c r="AB45" s="59"/>
      <c r="AC45" s="59"/>
      <c r="AD45" s="59"/>
      <c r="AE45" s="59"/>
      <c r="AF45" s="59"/>
      <c r="AG45" s="59"/>
      <c r="AH45" s="59"/>
      <c r="AI45" s="59"/>
    </row>
    <row r="46" spans="1:35" s="72" customFormat="1" ht="13" x14ac:dyDescent="0.35">
      <c r="A46" s="13" t="str">
        <f>R8</f>
        <v>Gwarcoed 19</v>
      </c>
      <c r="B46" s="15">
        <v>250</v>
      </c>
      <c r="C46" s="77">
        <f t="shared" si="6"/>
        <v>37.128</v>
      </c>
      <c r="D46" s="77">
        <f t="shared" si="7"/>
        <v>9.9198009000000003</v>
      </c>
      <c r="E46" s="77">
        <f t="shared" si="8"/>
        <v>0.97713450000000013</v>
      </c>
      <c r="F46" s="77">
        <f t="shared" si="9"/>
        <v>5.0312009999999994</v>
      </c>
      <c r="G46" s="77">
        <f t="shared" si="5"/>
        <v>0.14331000000000005</v>
      </c>
      <c r="H46" s="77">
        <f t="shared" si="5"/>
        <v>0.66300000000000003</v>
      </c>
      <c r="I46" s="77">
        <f t="shared" si="5"/>
        <v>4.3860000000000003E-2</v>
      </c>
      <c r="J46" s="77">
        <f t="shared" si="5"/>
        <v>3.1110000000000001E-3</v>
      </c>
      <c r="K46" s="77">
        <f t="shared" si="5"/>
        <v>5.0490000000000005E-3</v>
      </c>
      <c r="L46" s="77">
        <f t="shared" si="5"/>
        <v>4.8959999999999997E-2</v>
      </c>
      <c r="M46" s="77">
        <f t="shared" si="5"/>
        <v>7.7010000000000009E-2</v>
      </c>
      <c r="N46" s="77">
        <f t="shared" si="5"/>
        <v>15.555000000000003</v>
      </c>
      <c r="O46" s="77">
        <f t="shared" si="5"/>
        <v>2300.1</v>
      </c>
      <c r="P46" s="77">
        <f t="shared" si="5"/>
        <v>0</v>
      </c>
      <c r="Q46" s="77">
        <f t="shared" si="10"/>
        <v>33.532499999999999</v>
      </c>
      <c r="R46" s="77">
        <f t="shared" si="11"/>
        <v>0</v>
      </c>
      <c r="S46" s="77">
        <f t="shared" si="11"/>
        <v>0.19737000000000005</v>
      </c>
      <c r="T46" s="77">
        <f t="shared" si="11"/>
        <v>0</v>
      </c>
      <c r="U46" s="77">
        <f t="shared" si="11"/>
        <v>0</v>
      </c>
      <c r="AB46" s="59"/>
      <c r="AC46" s="59"/>
      <c r="AD46" s="59"/>
      <c r="AE46" s="59"/>
      <c r="AF46" s="59"/>
      <c r="AG46" s="59"/>
      <c r="AH46" s="59"/>
      <c r="AI46" s="59"/>
    </row>
    <row r="47" spans="1:35" s="72" customFormat="1" ht="13" x14ac:dyDescent="0.35">
      <c r="A47" s="13" t="str">
        <f>S8</f>
        <v>Gwarcoed 22</v>
      </c>
      <c r="B47" s="15">
        <v>250</v>
      </c>
      <c r="C47" s="77">
        <f t="shared" si="6"/>
        <v>37.128</v>
      </c>
      <c r="D47" s="77">
        <f t="shared" si="7"/>
        <v>9.9198009000000003</v>
      </c>
      <c r="E47" s="77">
        <f t="shared" si="8"/>
        <v>0.97713450000000013</v>
      </c>
      <c r="F47" s="77">
        <f t="shared" si="9"/>
        <v>5.0312009999999994</v>
      </c>
      <c r="G47" s="77">
        <f t="shared" ref="G47:P50" si="12">IF(G$27="%w/w SAR",((G$28*10)*$B47),IF(G$27="%w/w DM",(((G$28*10)*($B$28/100))*$B47),IF(G$27="kg/t SAR",(G$28*$B47),IF(G$27="kg/t DM",((G$28*($B$28/100))*$B47),IF(G$27="mg/kg SAR",((G$28*0.001)*$B47),IF(G$27="mg/kg DM",(((G$28*0.001)*($B$28/100))*$B47),0))))))</f>
        <v>0.14331000000000005</v>
      </c>
      <c r="H47" s="77">
        <f t="shared" si="12"/>
        <v>0.66300000000000003</v>
      </c>
      <c r="I47" s="77">
        <f t="shared" si="12"/>
        <v>4.3860000000000003E-2</v>
      </c>
      <c r="J47" s="77">
        <f t="shared" si="12"/>
        <v>3.1110000000000001E-3</v>
      </c>
      <c r="K47" s="77">
        <f t="shared" si="12"/>
        <v>5.0490000000000005E-3</v>
      </c>
      <c r="L47" s="77">
        <f t="shared" si="12"/>
        <v>4.8959999999999997E-2</v>
      </c>
      <c r="M47" s="77">
        <f t="shared" si="12"/>
        <v>7.7010000000000009E-2</v>
      </c>
      <c r="N47" s="77">
        <f t="shared" si="12"/>
        <v>15.555000000000003</v>
      </c>
      <c r="O47" s="77">
        <f t="shared" si="12"/>
        <v>2300.1</v>
      </c>
      <c r="P47" s="77">
        <f t="shared" si="12"/>
        <v>0</v>
      </c>
      <c r="Q47" s="77">
        <f t="shared" si="10"/>
        <v>33.532499999999999</v>
      </c>
      <c r="R47" s="77">
        <f t="shared" si="11"/>
        <v>0</v>
      </c>
      <c r="S47" s="77">
        <f t="shared" si="11"/>
        <v>0.19737000000000005</v>
      </c>
      <c r="T47" s="77">
        <f t="shared" si="11"/>
        <v>0</v>
      </c>
      <c r="U47" s="77">
        <f t="shared" si="11"/>
        <v>0</v>
      </c>
      <c r="AB47" s="59"/>
      <c r="AC47" s="59"/>
      <c r="AD47" s="59"/>
      <c r="AE47" s="59"/>
      <c r="AF47" s="59"/>
      <c r="AG47" s="59"/>
      <c r="AH47" s="59"/>
      <c r="AI47" s="59"/>
    </row>
    <row r="48" spans="1:35" s="72" customFormat="1" ht="13" x14ac:dyDescent="0.35">
      <c r="A48" s="13" t="str">
        <f>T8</f>
        <v>Gwarcoed 23</v>
      </c>
      <c r="B48" s="15">
        <v>250</v>
      </c>
      <c r="C48" s="77">
        <f t="shared" si="6"/>
        <v>37.128</v>
      </c>
      <c r="D48" s="77">
        <f t="shared" si="7"/>
        <v>9.9198009000000003</v>
      </c>
      <c r="E48" s="77">
        <f t="shared" si="8"/>
        <v>0.97713450000000013</v>
      </c>
      <c r="F48" s="77">
        <f t="shared" si="9"/>
        <v>5.0312009999999994</v>
      </c>
      <c r="G48" s="77">
        <f t="shared" si="12"/>
        <v>0.14331000000000005</v>
      </c>
      <c r="H48" s="77">
        <f t="shared" si="12"/>
        <v>0.66300000000000003</v>
      </c>
      <c r="I48" s="77">
        <f t="shared" si="12"/>
        <v>4.3860000000000003E-2</v>
      </c>
      <c r="J48" s="77">
        <f t="shared" si="12"/>
        <v>3.1110000000000001E-3</v>
      </c>
      <c r="K48" s="77">
        <f t="shared" si="12"/>
        <v>5.0490000000000005E-3</v>
      </c>
      <c r="L48" s="77">
        <f t="shared" si="12"/>
        <v>4.8959999999999997E-2</v>
      </c>
      <c r="M48" s="77">
        <f t="shared" si="12"/>
        <v>7.7010000000000009E-2</v>
      </c>
      <c r="N48" s="77">
        <f t="shared" si="12"/>
        <v>15.555000000000003</v>
      </c>
      <c r="O48" s="77">
        <f t="shared" si="12"/>
        <v>2300.1</v>
      </c>
      <c r="P48" s="77">
        <f t="shared" si="12"/>
        <v>0</v>
      </c>
      <c r="Q48" s="77">
        <f t="shared" si="10"/>
        <v>33.532499999999999</v>
      </c>
      <c r="R48" s="77">
        <f t="shared" si="11"/>
        <v>0</v>
      </c>
      <c r="S48" s="77">
        <f t="shared" si="11"/>
        <v>0.19737000000000005</v>
      </c>
      <c r="T48" s="77">
        <f t="shared" si="11"/>
        <v>0</v>
      </c>
      <c r="U48" s="77">
        <f t="shared" si="11"/>
        <v>0</v>
      </c>
      <c r="AB48" s="59"/>
      <c r="AC48" s="59"/>
      <c r="AD48" s="59"/>
      <c r="AE48" s="59"/>
      <c r="AF48" s="59"/>
      <c r="AG48" s="59"/>
      <c r="AH48" s="59"/>
      <c r="AI48" s="59"/>
    </row>
    <row r="49" spans="1:35" s="72" customFormat="1" ht="13" x14ac:dyDescent="0.35">
      <c r="A49" s="13" t="str">
        <f>U8</f>
        <v>Gwarcoed 24</v>
      </c>
      <c r="B49" s="15">
        <v>250</v>
      </c>
      <c r="C49" s="77">
        <f t="shared" si="6"/>
        <v>37.128</v>
      </c>
      <c r="D49" s="77">
        <f t="shared" si="7"/>
        <v>9.9198009000000003</v>
      </c>
      <c r="E49" s="77">
        <f t="shared" si="8"/>
        <v>0.97713450000000013</v>
      </c>
      <c r="F49" s="77">
        <f t="shared" si="9"/>
        <v>5.0312009999999994</v>
      </c>
      <c r="G49" s="77">
        <f t="shared" si="12"/>
        <v>0.14331000000000005</v>
      </c>
      <c r="H49" s="77">
        <f t="shared" si="12"/>
        <v>0.66300000000000003</v>
      </c>
      <c r="I49" s="77">
        <f t="shared" si="12"/>
        <v>4.3860000000000003E-2</v>
      </c>
      <c r="J49" s="77">
        <f t="shared" si="12"/>
        <v>3.1110000000000001E-3</v>
      </c>
      <c r="K49" s="77">
        <f t="shared" si="12"/>
        <v>5.0490000000000005E-3</v>
      </c>
      <c r="L49" s="77">
        <f t="shared" si="12"/>
        <v>4.8959999999999997E-2</v>
      </c>
      <c r="M49" s="77">
        <f t="shared" si="12"/>
        <v>7.7010000000000009E-2</v>
      </c>
      <c r="N49" s="77">
        <f t="shared" si="12"/>
        <v>15.555000000000003</v>
      </c>
      <c r="O49" s="77">
        <f t="shared" si="12"/>
        <v>2300.1</v>
      </c>
      <c r="P49" s="77">
        <f t="shared" si="12"/>
        <v>0</v>
      </c>
      <c r="Q49" s="77">
        <f t="shared" si="10"/>
        <v>33.532499999999999</v>
      </c>
      <c r="R49" s="77">
        <f t="shared" si="11"/>
        <v>0</v>
      </c>
      <c r="S49" s="77">
        <f t="shared" si="11"/>
        <v>0.19737000000000005</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"&amp;(VLOOKUP(C14,Table24581114[],6,FALSE))</f>
        <v>0 I Grass</v>
      </c>
      <c r="C58" s="13" t="str">
        <f>D16&amp;" I "&amp;(VLOOKUP(D14,Table24581114[],6,FALSE))</f>
        <v>0 I Grass</v>
      </c>
      <c r="D58" s="13" t="str">
        <f>E16&amp;" I "&amp;(VLOOKUP(E14,Table24581114[],6,FALSE))</f>
        <v>0 I Grass</v>
      </c>
      <c r="E58" s="13" t="str">
        <f>F16&amp;" I "&amp;(VLOOKUP(F14,Table24581114[],6,FALSE))</f>
        <v>0 I Grass</v>
      </c>
      <c r="F58" s="13" t="str">
        <f>G16&amp;" I "&amp;(VLOOKUP(G14,Table24581114[],6,FALSE))</f>
        <v>0 I Grass</v>
      </c>
      <c r="G58" s="13" t="str">
        <f>H16&amp;" I "&amp;(VLOOKUP(H14,Table24581114[],6,FALSE))</f>
        <v>0 I Grass</v>
      </c>
      <c r="H58" s="13" t="str">
        <f>I16&amp;" I "&amp;(VLOOKUP(I14,Table24581114[],6,FALSE))</f>
        <v>0 I Arable</v>
      </c>
      <c r="I58" s="13" t="str">
        <f>J16&amp;" I "&amp;(VLOOKUP(J14,Table24581114[],6,FALSE))</f>
        <v>0 I Grass</v>
      </c>
      <c r="J58" s="13" t="str">
        <f>K16&amp;" I "&amp;(VLOOKUP(K14,Table24581114[],6,FALSE))</f>
        <v>0 I Grass</v>
      </c>
      <c r="K58" s="13" t="str">
        <f>L16&amp;" I "&amp;(VLOOKUP(L14,Table24581114[],6,FALSE))</f>
        <v>0 I Grass</v>
      </c>
      <c r="L58" s="13" t="str">
        <f>M16&amp;" I "&amp;(VLOOKUP(M14,Table24581114[],6,FALSE))</f>
        <v>0 I Grass</v>
      </c>
      <c r="M58" s="13" t="str">
        <f>N16&amp;" I "&amp;(VLOOKUP(N14,Table24581114[],6,FALSE))</f>
        <v>0 I Grass</v>
      </c>
      <c r="N58" s="13" t="str">
        <f>O16&amp;" I "&amp;(VLOOKUP(O14,Table24581114[],6,FALSE))</f>
        <v>0 I Arable</v>
      </c>
      <c r="O58" s="13" t="str">
        <f>P16&amp;" I "&amp;(VLOOKUP(P14,Table24581114[],6,FALSE))</f>
        <v>0 I Grass</v>
      </c>
      <c r="P58" s="13" t="str">
        <f>Q16&amp;" I "&amp;(VLOOKUP(Q14,Table24581114[],6,FALSE))</f>
        <v>0 I Grass</v>
      </c>
      <c r="Q58" s="13" t="str">
        <f>R16&amp;" I "&amp;(VLOOKUP(R14,Table24581114[],6,FALSE))</f>
        <v>0 I Grass</v>
      </c>
      <c r="R58" s="13" t="str">
        <f>S16&amp;" I "&amp;(VLOOKUP(S14,Table24581114[],6,FALSE))</f>
        <v>0 I Grass</v>
      </c>
      <c r="S58" s="13" t="str">
        <f>T16&amp;" I "&amp;(VLOOKUP(T14,Table24581114[],6,FALSE))</f>
        <v>0 I Grass</v>
      </c>
      <c r="T58" s="13" t="str">
        <f>U16&amp;" I "&amp;(VLOOKUP(U14,Table24581114[],6,FALSE))</f>
        <v>0 I Grass</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6.7</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6.7</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t="e">
        <f>VLOOKUP(V$14,Table24581114[],5,FALSE)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P22" zoomScale="90" zoomScaleNormal="90" workbookViewId="0">
      <selection activeCell="S30" sqref="S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6.5</v>
      </c>
      <c r="J1" s="119" t="s">
        <v>153</v>
      </c>
      <c r="K1" s="119"/>
      <c r="L1" s="97">
        <v>305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0.79300000000000004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3.8461538461538463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192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3.8691553499999998</v>
      </c>
      <c r="D18" s="16">
        <f>$D32</f>
        <v>3.8691553499999998</v>
      </c>
      <c r="E18" s="16">
        <f>$D33</f>
        <v>3.8691553499999998</v>
      </c>
      <c r="F18" s="16">
        <f>$D34</f>
        <v>3.8691553499999998</v>
      </c>
      <c r="G18" s="16">
        <f>$D35</f>
        <v>3.8691553499999998</v>
      </c>
      <c r="H18" s="16">
        <f>$D36</f>
        <v>3.8691553499999998</v>
      </c>
      <c r="I18" s="16">
        <f>$D37</f>
        <v>3.8691553499999998</v>
      </c>
      <c r="J18" s="16">
        <f>$D38</f>
        <v>3.8691553499999998</v>
      </c>
      <c r="K18" s="16">
        <f>$D39</f>
        <v>3.8691553499999998</v>
      </c>
      <c r="L18" s="16">
        <f>$D40</f>
        <v>3.8691553499999998</v>
      </c>
      <c r="M18" s="16">
        <f>$D41</f>
        <v>3.8691553499999998</v>
      </c>
      <c r="N18" s="16">
        <f>$D42</f>
        <v>3.8691553499999998</v>
      </c>
      <c r="O18" s="16">
        <f>$D43</f>
        <v>3.8691553499999998</v>
      </c>
      <c r="P18" s="16">
        <f>$D44</f>
        <v>3.8691553499999998</v>
      </c>
      <c r="Q18" s="16">
        <f>$D45</f>
        <v>3.8691553499999998</v>
      </c>
      <c r="R18" s="16">
        <f>$D46</f>
        <v>3.8691553499999998</v>
      </c>
      <c r="S18" s="16">
        <f>$D47</f>
        <v>3.8691553499999998</v>
      </c>
      <c r="T18" s="16">
        <f>$D48</f>
        <v>3.8691553499999998</v>
      </c>
      <c r="U18" s="16">
        <f>$D49</f>
        <v>3.8691553499999998</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-76.030844649999992</v>
      </c>
      <c r="D19" s="16">
        <f t="shared" ref="D19:V19" si="1">D18-D17</f>
        <v>-76.030844649999992</v>
      </c>
      <c r="E19" s="16">
        <f t="shared" si="1"/>
        <v>-76.030844649999992</v>
      </c>
      <c r="F19" s="16">
        <f t="shared" si="1"/>
        <v>-76.030844649999992</v>
      </c>
      <c r="G19" s="16">
        <f t="shared" si="1"/>
        <v>-76.030844649999992</v>
      </c>
      <c r="H19" s="16">
        <f t="shared" si="1"/>
        <v>-76.030844649999992</v>
      </c>
      <c r="I19" s="16">
        <f t="shared" si="1"/>
        <v>-208.63084465</v>
      </c>
      <c r="J19" s="16">
        <f t="shared" si="1"/>
        <v>-76.030844649999992</v>
      </c>
      <c r="K19" s="16">
        <f t="shared" si="1"/>
        <v>-76.030844649999992</v>
      </c>
      <c r="L19" s="16">
        <f t="shared" si="1"/>
        <v>-76.030844649999992</v>
      </c>
      <c r="M19" s="16">
        <f t="shared" si="1"/>
        <v>-76.030844649999992</v>
      </c>
      <c r="N19" s="16">
        <f t="shared" si="1"/>
        <v>-76.030844649999992</v>
      </c>
      <c r="O19" s="16">
        <f t="shared" si="1"/>
        <v>-208.63084465</v>
      </c>
      <c r="P19" s="16">
        <f t="shared" si="1"/>
        <v>-76.030844649999992</v>
      </c>
      <c r="Q19" s="16">
        <f t="shared" si="1"/>
        <v>-76.030844649999992</v>
      </c>
      <c r="R19" s="16">
        <f t="shared" si="1"/>
        <v>-76.030844649999992</v>
      </c>
      <c r="S19" s="16">
        <f t="shared" si="1"/>
        <v>-76.030844649999992</v>
      </c>
      <c r="T19" s="16">
        <f t="shared" si="1"/>
        <v>-76.030844649999992</v>
      </c>
      <c r="U19" s="16">
        <f t="shared" si="1"/>
        <v>-76.030844649999992</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2.8915481250000008</v>
      </c>
      <c r="D22" s="16">
        <f>$E32</f>
        <v>2.8915481250000008</v>
      </c>
      <c r="E22" s="16">
        <f>$E33</f>
        <v>2.8915481250000008</v>
      </c>
      <c r="F22" s="16">
        <f>$E34</f>
        <v>2.8915481250000008</v>
      </c>
      <c r="G22" s="16">
        <f>$E35</f>
        <v>2.8915481250000008</v>
      </c>
      <c r="H22" s="16">
        <f>$E36</f>
        <v>2.8915481250000008</v>
      </c>
      <c r="I22" s="16">
        <f>$E37</f>
        <v>2.8915481250000008</v>
      </c>
      <c r="J22" s="16">
        <f>$E38</f>
        <v>2.8915481250000008</v>
      </c>
      <c r="K22" s="16">
        <f>$E39</f>
        <v>2.8915481250000008</v>
      </c>
      <c r="L22" s="16">
        <f>$E40</f>
        <v>2.8915481250000008</v>
      </c>
      <c r="M22" s="16">
        <f>$E41</f>
        <v>2.8915481250000008</v>
      </c>
      <c r="N22" s="16">
        <f>$E42</f>
        <v>2.8915481250000008</v>
      </c>
      <c r="O22" s="16">
        <f>$E43</f>
        <v>2.8915481250000008</v>
      </c>
      <c r="P22" s="16">
        <f>$E44</f>
        <v>2.8915481250000008</v>
      </c>
      <c r="Q22" s="16">
        <f>$E45</f>
        <v>2.8915481250000008</v>
      </c>
      <c r="R22" s="16">
        <f>$E46</f>
        <v>2.8915481250000008</v>
      </c>
      <c r="S22" s="16">
        <f>$E47</f>
        <v>2.8915481250000008</v>
      </c>
      <c r="T22" s="16">
        <f>$E48</f>
        <v>2.8915481250000008</v>
      </c>
      <c r="U22" s="16">
        <f>$E49</f>
        <v>2.8915481250000008</v>
      </c>
      <c r="V22" s="16">
        <f>$E50</f>
        <v>0</v>
      </c>
      <c r="AI22" s="63" t="s">
        <v>102</v>
      </c>
      <c r="AJ22" s="64">
        <v>1.2</v>
      </c>
      <c r="AK22" s="65">
        <v>5</v>
      </c>
      <c r="AL22" s="29">
        <v>20</v>
      </c>
      <c r="AM22" s="11">
        <v>6.7</v>
      </c>
      <c r="AN22" s="11" t="s">
        <v>135</v>
      </c>
    </row>
    <row r="23" spans="1:40" ht="13" x14ac:dyDescent="0.25">
      <c r="A23" s="124" t="s">
        <v>92</v>
      </c>
      <c r="B23" s="125"/>
      <c r="C23" s="16">
        <f>C22-C21</f>
        <v>-279.10845187500001</v>
      </c>
      <c r="D23" s="16">
        <f t="shared" ref="D23:V23" si="3">D22-D21</f>
        <v>-279.10845187500001</v>
      </c>
      <c r="E23" s="16">
        <f t="shared" si="3"/>
        <v>-279.10845187500001</v>
      </c>
      <c r="F23" s="16">
        <f t="shared" si="3"/>
        <v>-279.10845187500001</v>
      </c>
      <c r="G23" s="16">
        <f t="shared" si="3"/>
        <v>-279.10845187500001</v>
      </c>
      <c r="H23" s="16">
        <f t="shared" si="3"/>
        <v>-279.10845187500001</v>
      </c>
      <c r="I23" s="16">
        <f t="shared" si="3"/>
        <v>-297.10845187500001</v>
      </c>
      <c r="J23" s="16">
        <f t="shared" si="3"/>
        <v>-279.10845187500001</v>
      </c>
      <c r="K23" s="16">
        <f t="shared" si="3"/>
        <v>-279.10845187500001</v>
      </c>
      <c r="L23" s="16">
        <f t="shared" si="3"/>
        <v>-279.10845187500001</v>
      </c>
      <c r="M23" s="16">
        <f t="shared" si="3"/>
        <v>-279.10845187500001</v>
      </c>
      <c r="N23" s="16">
        <f t="shared" si="3"/>
        <v>-279.10845187500001</v>
      </c>
      <c r="O23" s="16">
        <f t="shared" si="3"/>
        <v>-297.10845187500001</v>
      </c>
      <c r="P23" s="16">
        <f t="shared" si="3"/>
        <v>-279.10845187500001</v>
      </c>
      <c r="Q23" s="16">
        <f t="shared" si="3"/>
        <v>-279.10845187500001</v>
      </c>
      <c r="R23" s="16">
        <f t="shared" si="3"/>
        <v>-279.10845187500001</v>
      </c>
      <c r="S23" s="16">
        <f t="shared" si="3"/>
        <v>-279.10845187500001</v>
      </c>
      <c r="T23" s="16">
        <f t="shared" si="3"/>
        <v>-279.10845187500001</v>
      </c>
      <c r="U23" s="16">
        <f t="shared" si="3"/>
        <v>-279.10845187500001</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2.4300000000000002</v>
      </c>
      <c r="C28" s="15">
        <v>0.79300000000000004</v>
      </c>
      <c r="D28" s="15">
        <v>2.7799999999999998E-2</v>
      </c>
      <c r="E28" s="15">
        <v>3.95E-2</v>
      </c>
      <c r="F28" s="15">
        <v>1120</v>
      </c>
      <c r="G28" s="15">
        <v>23.9</v>
      </c>
      <c r="H28" s="15">
        <v>183</v>
      </c>
      <c r="I28" s="15">
        <v>20.7</v>
      </c>
      <c r="J28" s="15">
        <v>0.53</v>
      </c>
      <c r="K28" s="23">
        <v>0.82</v>
      </c>
      <c r="L28" s="15">
        <v>15.1</v>
      </c>
      <c r="M28" s="15">
        <v>17.7</v>
      </c>
      <c r="N28" s="15">
        <v>2040</v>
      </c>
      <c r="O28" s="15">
        <v>434000</v>
      </c>
      <c r="P28" s="15"/>
      <c r="Q28" s="15">
        <v>4320</v>
      </c>
      <c r="R28" s="15"/>
      <c r="S28" s="15">
        <v>65.8</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250</v>
      </c>
      <c r="C31" s="77">
        <f>IF(C$27="%w/w SAR",((C$28*10)*$B31),IF(C$27="%w/w DM",(((C$28*10)*($B$28/100))*$B31),IF(C$27="kg/t SAR",(C$28*$B31),IF(C$27="kg/t DM",((C$28*($B$28/100))*$B31),IF(C$27="mg/kg SAR",((C$28*0.001)*$B31),IF(C$27="mg/kg DM",(((C$28*0.001)*($B$28/100))*$B31),0))))))</f>
        <v>48.17475000000001</v>
      </c>
      <c r="D31" s="77">
        <f>(IF(D$27="%w/w SAR",((D$28*10)*$B31),IF(D$27="%w/w DM",(((D$28*10)*($B$28/100))*$B31),IF(D$27="kg/t SAR",(D$28*$B31),IF(D$27="kg/t DM",((D$28*($B$28/100))*$B31),IF(D$27="mg/kg SAR",((D$28*0.001)*$B31),IF(D$27="mg/kg DM",(((D$28*0.001)*($B$28/100))*$B31),"0")))))))*2.291</f>
        <v>3.8691553499999998</v>
      </c>
      <c r="E31" s="77">
        <f>(IF(E$27="%w/w SAR",((E$28*10)*$B31),IF(E$27="%w/w DM",(((E$28*10)*($B$28/100))*$B31),IF(E$27="kg/t SAR",(E$28*$B31),IF(E$27="kg/t DM",((E$28*($B$28/100))*$B31),IF(E$27="mg/kg SAR",((E$28*0.001)*$B31),IF(E$27="mg/kg DM",(((E$28*0.001)*($B$28/100))*$B31),"0")))))))*1.205</f>
        <v>2.8915481250000008</v>
      </c>
      <c r="F31" s="77">
        <f>(IF(F$27="%w/w SAR",((F$28*10)*$B31),IF(F$27="%w/w DM",(((F$28*10)*($B$28/100))*$B31),IF(F$27="kg/t SAR",(F$28*$B31),IF(F$27="kg/t DM",((F$28*($B$28/100))*$B31),IF(F$27="mg/kg SAR",((F$28*0.001)*$B31),IF(F$27="mg/kg DM",(((F$28*0.001)*($B$28/100))*$B31),"0")))))))*1.658</f>
        <v>11.281032000000002</v>
      </c>
      <c r="G31" s="77">
        <f t="shared" ref="G31:P46" si="5">IF(G$27="%w/w SAR",((G$28*10)*$B31),IF(G$27="%w/w DM",(((G$28*10)*($B$28/100))*$B31),IF(G$27="kg/t SAR",(G$28*$B31),IF(G$27="kg/t DM",((G$28*($B$28/100))*$B31),IF(G$27="mg/kg SAR",((G$28*0.001)*$B31),IF(G$27="mg/kg DM",(((G$28*0.001)*($B$28/100))*$B31),0))))))</f>
        <v>0.1451925</v>
      </c>
      <c r="H31" s="77">
        <f t="shared" si="5"/>
        <v>1.1117250000000001</v>
      </c>
      <c r="I31" s="77">
        <f t="shared" si="5"/>
        <v>0.12575250000000002</v>
      </c>
      <c r="J31" s="77">
        <f t="shared" si="5"/>
        <v>3.2197500000000008E-3</v>
      </c>
      <c r="K31" s="77">
        <f t="shared" si="5"/>
        <v>4.9815000000000007E-3</v>
      </c>
      <c r="L31" s="77">
        <f t="shared" si="5"/>
        <v>9.1732500000000022E-2</v>
      </c>
      <c r="M31" s="77">
        <f t="shared" si="5"/>
        <v>0.10752750000000001</v>
      </c>
      <c r="N31" s="77">
        <f t="shared" si="5"/>
        <v>12.393000000000001</v>
      </c>
      <c r="O31" s="77">
        <f t="shared" si="5"/>
        <v>2636.55</v>
      </c>
      <c r="P31" s="77">
        <f t="shared" si="5"/>
        <v>0</v>
      </c>
      <c r="Q31" s="77">
        <f>(IF(Q$27="%w/w SAR",((Q$28*10)*$B31),IF(Q$27="%w/w DM",(((Q$28*10)*($B$28/100))*$B31),IF(Q$27="kg/t SAR",(Q$28*$B31),IF(Q$27="kg/t DM",((Q$28*($B$28/100))*$B31),IF(Q$27="mg/kg SAR",((Q$28*0.001)*$B31),IF(Q$27="mg/kg DM",(((Q$28*0.001)*($B$28/100))*$B31),0)))))))*2.5</f>
        <v>65.610000000000014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0.39973500000000001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250</v>
      </c>
      <c r="C32" s="77">
        <f t="shared" ref="C32:C50" si="6">IF(C$27="%w/w SAR",((C$28*10)*$B32),IF(C$27="%w/w DM",(((C$28*10)*($B$28/100))*$B32),IF(C$27="kg/t SAR",(C$28*$B32),IF(C$27="kg/t DM",((C$28*($B$28/100))*$B32),IF(C$27="mg/kg SAR",((C$28*0.001)*$B32),IF(C$27="mg/kg DM",(((C$28*0.001)*($B$28/100))*$B32),0))))))</f>
        <v>48.17475000000001</v>
      </c>
      <c r="D32" s="77">
        <f t="shared" ref="D32:D50" si="7">(IF(D$27="%w/w SAR",((D$28*10)*$B32),IF(D$27="%w/w DM",(((D$28*10)*($B$28/100))*$B32),IF(D$27="kg/t SAR",(D$28*$B32),IF(D$27="kg/t DM",((D$28*($B$28/100))*$B32),IF(D$27="mg/kg SAR",((D$28*0.001)*$B32),IF(D$27="mg/kg DM",(((D$28*0.001)*($B$28/100))*$B32),"0")))))))*2.291</f>
        <v>3.8691553499999998</v>
      </c>
      <c r="E32" s="77">
        <f t="shared" ref="E32:E50" si="8">(IF(E$27="%w/w SAR",((E$28*10)*$B32),IF(E$27="%w/w DM",(((E$28*10)*($B$28/100))*$B32),IF(E$27="kg/t SAR",(E$28*$B32),IF(E$27="kg/t DM",((E$28*($B$28/100))*$B32),IF(E$27="mg/kg SAR",((E$28*0.001)*$B32),IF(E$27="mg/kg DM",(((E$28*0.001)*($B$28/100))*$B32),"0")))))))*1.205</f>
        <v>2.8915481250000008</v>
      </c>
      <c r="F32" s="77">
        <f t="shared" ref="F32:F50" si="9">(IF(F$27="%w/w SAR",((F$28*10)*$B32),IF(F$27="%w/w DM",(((F$28*10)*($B$28/100))*$B32),IF(F$27="kg/t SAR",(F$28*$B32),IF(F$27="kg/t DM",((F$28*($B$28/100))*$B32),IF(F$27="mg/kg SAR",((F$28*0.001)*$B32),IF(F$27="mg/kg DM",(((F$28*0.001)*($B$28/100))*$B32),"0")))))))*1.658</f>
        <v>11.281032000000002</v>
      </c>
      <c r="G32" s="77">
        <f t="shared" si="5"/>
        <v>0.1451925</v>
      </c>
      <c r="H32" s="77">
        <f t="shared" si="5"/>
        <v>1.1117250000000001</v>
      </c>
      <c r="I32" s="77">
        <f t="shared" si="5"/>
        <v>0.12575250000000002</v>
      </c>
      <c r="J32" s="77">
        <f t="shared" si="5"/>
        <v>3.2197500000000008E-3</v>
      </c>
      <c r="K32" s="77">
        <f t="shared" si="5"/>
        <v>4.9815000000000007E-3</v>
      </c>
      <c r="L32" s="77">
        <f t="shared" si="5"/>
        <v>9.1732500000000022E-2</v>
      </c>
      <c r="M32" s="77">
        <f t="shared" si="5"/>
        <v>0.10752750000000001</v>
      </c>
      <c r="N32" s="77">
        <f t="shared" si="5"/>
        <v>12.393000000000001</v>
      </c>
      <c r="O32" s="77">
        <f t="shared" si="5"/>
        <v>2636.55</v>
      </c>
      <c r="P32" s="77">
        <f t="shared" si="5"/>
        <v>0</v>
      </c>
      <c r="Q32" s="77">
        <f t="shared" ref="Q32:Q50" si="10">(IF(Q$27="%w/w SAR",((Q$28*10)*$B32),IF(Q$27="%w/w DM",(((Q$28*10)*($B$28/100))*$B32),IF(Q$27="kg/t SAR",(Q$28*$B32),IF(Q$27="kg/t DM",((Q$28*($B$28/100))*$B32),IF(Q$27="mg/kg SAR",((Q$28*0.001)*$B32),IF(Q$27="mg/kg DM",(((Q$28*0.001)*($B$28/100))*$B32),0)))))))*2.5</f>
        <v>65.610000000000014</v>
      </c>
      <c r="R32" s="77">
        <f t="shared" ref="R32:U50" si="11">IF(R$27="%w/w SAR",((R$28*10)*$B32),IF(R$27="%w/w DM",(((R$28*10)*($B$28/100))*$B32),IF(R$27="kg/t SAR",(R$28*$B32),IF(R$27="kg/t DM",((R$28*($B$28/100))*$B32),IF(R$27="mg/kg SAR",((R$28*0.001)*$B32),IF(R$27="mg/kg DM",(((R$28*0.001)*($B$28/100))*$B32),0))))))</f>
        <v>0</v>
      </c>
      <c r="S32" s="77">
        <f t="shared" si="11"/>
        <v>0.39973500000000001</v>
      </c>
      <c r="T32" s="77">
        <f t="shared" si="11"/>
        <v>0</v>
      </c>
      <c r="U32" s="77">
        <f t="shared" si="11"/>
        <v>0</v>
      </c>
      <c r="AB32" s="59"/>
      <c r="AC32" s="59"/>
      <c r="AD32" s="59"/>
      <c r="AE32" s="59"/>
      <c r="AF32" s="59"/>
      <c r="AG32" s="59"/>
      <c r="AH32" s="59"/>
      <c r="AI32" s="59"/>
    </row>
    <row r="33" spans="1:35" s="72" customFormat="1" ht="13" x14ac:dyDescent="0.35">
      <c r="A33" s="13" t="str">
        <f>E8</f>
        <v>Woodstock 3</v>
      </c>
      <c r="B33" s="15">
        <v>250</v>
      </c>
      <c r="C33" s="77">
        <f t="shared" si="6"/>
        <v>48.17475000000001</v>
      </c>
      <c r="D33" s="77">
        <f t="shared" si="7"/>
        <v>3.8691553499999998</v>
      </c>
      <c r="E33" s="77">
        <f t="shared" si="8"/>
        <v>2.8915481250000008</v>
      </c>
      <c r="F33" s="77">
        <f t="shared" si="9"/>
        <v>11.281032000000002</v>
      </c>
      <c r="G33" s="77">
        <f t="shared" si="5"/>
        <v>0.1451925</v>
      </c>
      <c r="H33" s="77">
        <f t="shared" si="5"/>
        <v>1.1117250000000001</v>
      </c>
      <c r="I33" s="77">
        <f t="shared" si="5"/>
        <v>0.12575250000000002</v>
      </c>
      <c r="J33" s="77">
        <f t="shared" si="5"/>
        <v>3.2197500000000008E-3</v>
      </c>
      <c r="K33" s="77">
        <f t="shared" si="5"/>
        <v>4.9815000000000007E-3</v>
      </c>
      <c r="L33" s="77">
        <f t="shared" si="5"/>
        <v>9.1732500000000022E-2</v>
      </c>
      <c r="M33" s="77">
        <f t="shared" si="5"/>
        <v>0.10752750000000001</v>
      </c>
      <c r="N33" s="77">
        <f t="shared" si="5"/>
        <v>12.393000000000001</v>
      </c>
      <c r="O33" s="77">
        <f t="shared" si="5"/>
        <v>2636.55</v>
      </c>
      <c r="P33" s="77">
        <f t="shared" si="5"/>
        <v>0</v>
      </c>
      <c r="Q33" s="77">
        <f t="shared" si="10"/>
        <v>65.610000000000014</v>
      </c>
      <c r="R33" s="77">
        <f t="shared" si="11"/>
        <v>0</v>
      </c>
      <c r="S33" s="77">
        <f t="shared" si="11"/>
        <v>0.39973500000000001</v>
      </c>
      <c r="T33" s="77">
        <f t="shared" si="11"/>
        <v>0</v>
      </c>
      <c r="U33" s="77">
        <f t="shared" si="11"/>
        <v>0</v>
      </c>
      <c r="AB33" s="59"/>
      <c r="AC33" s="59"/>
      <c r="AD33" s="59"/>
      <c r="AE33" s="59"/>
      <c r="AF33" s="59"/>
      <c r="AG33" s="59"/>
      <c r="AH33" s="59"/>
      <c r="AI33" s="59"/>
    </row>
    <row r="34" spans="1:35" s="72" customFormat="1" ht="13" x14ac:dyDescent="0.35">
      <c r="A34" s="13" t="str">
        <f>F8</f>
        <v>Woodstock 4</v>
      </c>
      <c r="B34" s="15">
        <v>250</v>
      </c>
      <c r="C34" s="77">
        <f t="shared" si="6"/>
        <v>48.17475000000001</v>
      </c>
      <c r="D34" s="77">
        <f t="shared" si="7"/>
        <v>3.8691553499999998</v>
      </c>
      <c r="E34" s="77">
        <f t="shared" si="8"/>
        <v>2.8915481250000008</v>
      </c>
      <c r="F34" s="77">
        <f t="shared" si="9"/>
        <v>11.281032000000002</v>
      </c>
      <c r="G34" s="77">
        <f t="shared" si="5"/>
        <v>0.1451925</v>
      </c>
      <c r="H34" s="77">
        <f t="shared" si="5"/>
        <v>1.1117250000000001</v>
      </c>
      <c r="I34" s="77">
        <f t="shared" si="5"/>
        <v>0.12575250000000002</v>
      </c>
      <c r="J34" s="77">
        <f t="shared" si="5"/>
        <v>3.2197500000000008E-3</v>
      </c>
      <c r="K34" s="77">
        <f t="shared" si="5"/>
        <v>4.9815000000000007E-3</v>
      </c>
      <c r="L34" s="77">
        <f t="shared" si="5"/>
        <v>9.1732500000000022E-2</v>
      </c>
      <c r="M34" s="77">
        <f t="shared" si="5"/>
        <v>0.10752750000000001</v>
      </c>
      <c r="N34" s="77">
        <f t="shared" si="5"/>
        <v>12.393000000000001</v>
      </c>
      <c r="O34" s="77">
        <f t="shared" si="5"/>
        <v>2636.55</v>
      </c>
      <c r="P34" s="77">
        <f t="shared" si="5"/>
        <v>0</v>
      </c>
      <c r="Q34" s="77">
        <f t="shared" si="10"/>
        <v>65.610000000000014</v>
      </c>
      <c r="R34" s="77">
        <f t="shared" si="11"/>
        <v>0</v>
      </c>
      <c r="S34" s="77">
        <f t="shared" si="11"/>
        <v>0.39973500000000001</v>
      </c>
      <c r="T34" s="77">
        <f t="shared" si="11"/>
        <v>0</v>
      </c>
      <c r="U34" s="77">
        <f t="shared" si="11"/>
        <v>0</v>
      </c>
      <c r="AB34" s="59"/>
      <c r="AC34" s="59"/>
      <c r="AD34" s="59"/>
      <c r="AE34" s="59"/>
      <c r="AF34" s="59"/>
      <c r="AG34" s="59"/>
      <c r="AH34" s="59"/>
      <c r="AI34" s="59"/>
    </row>
    <row r="35" spans="1:35" s="72" customFormat="1" ht="13" x14ac:dyDescent="0.35">
      <c r="A35" s="13" t="str">
        <f>G8</f>
        <v>Woodstock 5</v>
      </c>
      <c r="B35" s="15">
        <v>250</v>
      </c>
      <c r="C35" s="77">
        <f t="shared" si="6"/>
        <v>48.17475000000001</v>
      </c>
      <c r="D35" s="77">
        <f t="shared" si="7"/>
        <v>3.8691553499999998</v>
      </c>
      <c r="E35" s="77">
        <f t="shared" si="8"/>
        <v>2.8915481250000008</v>
      </c>
      <c r="F35" s="77">
        <f t="shared" si="9"/>
        <v>11.281032000000002</v>
      </c>
      <c r="G35" s="77">
        <f t="shared" si="5"/>
        <v>0.1451925</v>
      </c>
      <c r="H35" s="77">
        <f t="shared" si="5"/>
        <v>1.1117250000000001</v>
      </c>
      <c r="I35" s="77">
        <f t="shared" si="5"/>
        <v>0.12575250000000002</v>
      </c>
      <c r="J35" s="77">
        <f t="shared" si="5"/>
        <v>3.2197500000000008E-3</v>
      </c>
      <c r="K35" s="77">
        <f t="shared" si="5"/>
        <v>4.9815000000000007E-3</v>
      </c>
      <c r="L35" s="77">
        <f t="shared" si="5"/>
        <v>9.1732500000000022E-2</v>
      </c>
      <c r="M35" s="77">
        <f t="shared" si="5"/>
        <v>0.10752750000000001</v>
      </c>
      <c r="N35" s="77">
        <f t="shared" si="5"/>
        <v>12.393000000000001</v>
      </c>
      <c r="O35" s="77">
        <f t="shared" si="5"/>
        <v>2636.55</v>
      </c>
      <c r="P35" s="77">
        <f t="shared" si="5"/>
        <v>0</v>
      </c>
      <c r="Q35" s="77">
        <f t="shared" si="10"/>
        <v>65.610000000000014</v>
      </c>
      <c r="R35" s="77">
        <f t="shared" si="11"/>
        <v>0</v>
      </c>
      <c r="S35" s="77">
        <f t="shared" si="11"/>
        <v>0.39973500000000001</v>
      </c>
      <c r="T35" s="77">
        <f t="shared" si="11"/>
        <v>0</v>
      </c>
      <c r="U35" s="77">
        <f t="shared" si="11"/>
        <v>0</v>
      </c>
      <c r="AB35" s="59"/>
      <c r="AC35" s="59"/>
      <c r="AD35" s="59"/>
      <c r="AE35" s="59"/>
      <c r="AF35" s="59"/>
      <c r="AG35" s="59"/>
      <c r="AH35" s="59"/>
      <c r="AI35" s="59"/>
    </row>
    <row r="36" spans="1:35" s="72" customFormat="1" ht="13" x14ac:dyDescent="0.35">
      <c r="A36" s="13" t="str">
        <f>H8</f>
        <v>Woodstock 6</v>
      </c>
      <c r="B36" s="15">
        <v>250</v>
      </c>
      <c r="C36" s="77">
        <f t="shared" si="6"/>
        <v>48.17475000000001</v>
      </c>
      <c r="D36" s="77">
        <f t="shared" si="7"/>
        <v>3.8691553499999998</v>
      </c>
      <c r="E36" s="77">
        <f t="shared" si="8"/>
        <v>2.8915481250000008</v>
      </c>
      <c r="F36" s="77">
        <f t="shared" si="9"/>
        <v>11.281032000000002</v>
      </c>
      <c r="G36" s="77">
        <f t="shared" si="5"/>
        <v>0.1451925</v>
      </c>
      <c r="H36" s="77">
        <f t="shared" si="5"/>
        <v>1.1117250000000001</v>
      </c>
      <c r="I36" s="77">
        <f t="shared" si="5"/>
        <v>0.12575250000000002</v>
      </c>
      <c r="J36" s="77">
        <f t="shared" si="5"/>
        <v>3.2197500000000008E-3</v>
      </c>
      <c r="K36" s="77">
        <f t="shared" si="5"/>
        <v>4.9815000000000007E-3</v>
      </c>
      <c r="L36" s="77">
        <f t="shared" si="5"/>
        <v>9.1732500000000022E-2</v>
      </c>
      <c r="M36" s="77">
        <f t="shared" si="5"/>
        <v>0.10752750000000001</v>
      </c>
      <c r="N36" s="77">
        <f t="shared" si="5"/>
        <v>12.393000000000001</v>
      </c>
      <c r="O36" s="77">
        <f t="shared" si="5"/>
        <v>2636.55</v>
      </c>
      <c r="P36" s="77">
        <f t="shared" si="5"/>
        <v>0</v>
      </c>
      <c r="Q36" s="77">
        <f t="shared" si="10"/>
        <v>65.610000000000014</v>
      </c>
      <c r="R36" s="77">
        <f t="shared" si="11"/>
        <v>0</v>
      </c>
      <c r="S36" s="77">
        <f t="shared" si="11"/>
        <v>0.39973500000000001</v>
      </c>
      <c r="T36" s="77">
        <f t="shared" si="11"/>
        <v>0</v>
      </c>
      <c r="U36" s="77">
        <f t="shared" si="11"/>
        <v>0</v>
      </c>
      <c r="AB36" s="59"/>
      <c r="AC36" s="59"/>
      <c r="AD36" s="59"/>
      <c r="AE36" s="59"/>
      <c r="AF36" s="59"/>
      <c r="AG36" s="59"/>
      <c r="AH36" s="59"/>
      <c r="AI36" s="59"/>
    </row>
    <row r="37" spans="1:35" s="72" customFormat="1" ht="13" x14ac:dyDescent="0.35">
      <c r="A37" s="13" t="str">
        <f>I8</f>
        <v>Woodstock 7</v>
      </c>
      <c r="B37" s="15">
        <v>250</v>
      </c>
      <c r="C37" s="77">
        <f t="shared" si="6"/>
        <v>48.17475000000001</v>
      </c>
      <c r="D37" s="77">
        <f t="shared" si="7"/>
        <v>3.8691553499999998</v>
      </c>
      <c r="E37" s="77">
        <f t="shared" si="8"/>
        <v>2.8915481250000008</v>
      </c>
      <c r="F37" s="77">
        <f t="shared" si="9"/>
        <v>11.281032000000002</v>
      </c>
      <c r="G37" s="77">
        <f t="shared" si="5"/>
        <v>0.1451925</v>
      </c>
      <c r="H37" s="77">
        <f t="shared" si="5"/>
        <v>1.1117250000000001</v>
      </c>
      <c r="I37" s="77">
        <f t="shared" si="5"/>
        <v>0.12575250000000002</v>
      </c>
      <c r="J37" s="77">
        <f t="shared" si="5"/>
        <v>3.2197500000000008E-3</v>
      </c>
      <c r="K37" s="77">
        <f t="shared" si="5"/>
        <v>4.9815000000000007E-3</v>
      </c>
      <c r="L37" s="77">
        <f t="shared" si="5"/>
        <v>9.1732500000000022E-2</v>
      </c>
      <c r="M37" s="77">
        <f t="shared" si="5"/>
        <v>0.10752750000000001</v>
      </c>
      <c r="N37" s="77">
        <f t="shared" si="5"/>
        <v>12.393000000000001</v>
      </c>
      <c r="O37" s="77">
        <f t="shared" si="5"/>
        <v>2636.55</v>
      </c>
      <c r="P37" s="77">
        <f t="shared" si="5"/>
        <v>0</v>
      </c>
      <c r="Q37" s="77">
        <f t="shared" si="10"/>
        <v>65.610000000000014</v>
      </c>
      <c r="R37" s="77">
        <f t="shared" si="11"/>
        <v>0</v>
      </c>
      <c r="S37" s="77">
        <f t="shared" si="11"/>
        <v>0.39973500000000001</v>
      </c>
      <c r="T37" s="77">
        <f t="shared" si="11"/>
        <v>0</v>
      </c>
      <c r="U37" s="77">
        <f t="shared" si="11"/>
        <v>0</v>
      </c>
      <c r="AB37" s="59"/>
      <c r="AC37" s="59"/>
      <c r="AD37" s="59"/>
      <c r="AE37" s="59"/>
      <c r="AF37" s="59"/>
      <c r="AG37" s="59"/>
      <c r="AH37" s="59"/>
      <c r="AI37" s="59"/>
    </row>
    <row r="38" spans="1:35" s="72" customFormat="1" ht="13" x14ac:dyDescent="0.35">
      <c r="A38" s="13" t="str">
        <f>J8</f>
        <v>Woodstock 8</v>
      </c>
      <c r="B38" s="15">
        <v>250</v>
      </c>
      <c r="C38" s="77">
        <f t="shared" si="6"/>
        <v>48.17475000000001</v>
      </c>
      <c r="D38" s="77">
        <f t="shared" si="7"/>
        <v>3.8691553499999998</v>
      </c>
      <c r="E38" s="77">
        <f t="shared" si="8"/>
        <v>2.8915481250000008</v>
      </c>
      <c r="F38" s="77">
        <f t="shared" si="9"/>
        <v>11.281032000000002</v>
      </c>
      <c r="G38" s="77">
        <f t="shared" si="5"/>
        <v>0.1451925</v>
      </c>
      <c r="H38" s="77">
        <f t="shared" si="5"/>
        <v>1.1117250000000001</v>
      </c>
      <c r="I38" s="77">
        <f t="shared" si="5"/>
        <v>0.12575250000000002</v>
      </c>
      <c r="J38" s="77">
        <f t="shared" si="5"/>
        <v>3.2197500000000008E-3</v>
      </c>
      <c r="K38" s="77">
        <f t="shared" si="5"/>
        <v>4.9815000000000007E-3</v>
      </c>
      <c r="L38" s="77">
        <f t="shared" si="5"/>
        <v>9.1732500000000022E-2</v>
      </c>
      <c r="M38" s="77">
        <f t="shared" si="5"/>
        <v>0.10752750000000001</v>
      </c>
      <c r="N38" s="77">
        <f t="shared" si="5"/>
        <v>12.393000000000001</v>
      </c>
      <c r="O38" s="77">
        <f t="shared" si="5"/>
        <v>2636.55</v>
      </c>
      <c r="P38" s="77">
        <f t="shared" si="5"/>
        <v>0</v>
      </c>
      <c r="Q38" s="77">
        <f t="shared" si="10"/>
        <v>65.610000000000014</v>
      </c>
      <c r="R38" s="77">
        <f t="shared" si="11"/>
        <v>0</v>
      </c>
      <c r="S38" s="77">
        <f t="shared" si="11"/>
        <v>0.39973500000000001</v>
      </c>
      <c r="T38" s="77">
        <f t="shared" si="11"/>
        <v>0</v>
      </c>
      <c r="U38" s="77">
        <f t="shared" si="11"/>
        <v>0</v>
      </c>
      <c r="AB38" s="59"/>
      <c r="AC38" s="59"/>
      <c r="AD38" s="59"/>
      <c r="AE38" s="59"/>
      <c r="AF38" s="59"/>
      <c r="AG38" s="59"/>
      <c r="AH38" s="59"/>
      <c r="AI38" s="59"/>
    </row>
    <row r="39" spans="1:35" s="72" customFormat="1" ht="13" x14ac:dyDescent="0.35">
      <c r="A39" s="13" t="str">
        <f>K8</f>
        <v>Woodstock 9</v>
      </c>
      <c r="B39" s="15">
        <v>250</v>
      </c>
      <c r="C39" s="77">
        <f t="shared" si="6"/>
        <v>48.17475000000001</v>
      </c>
      <c r="D39" s="77">
        <f t="shared" si="7"/>
        <v>3.8691553499999998</v>
      </c>
      <c r="E39" s="77">
        <f t="shared" si="8"/>
        <v>2.8915481250000008</v>
      </c>
      <c r="F39" s="77">
        <f t="shared" si="9"/>
        <v>11.281032000000002</v>
      </c>
      <c r="G39" s="77">
        <f t="shared" si="5"/>
        <v>0.1451925</v>
      </c>
      <c r="H39" s="77">
        <f t="shared" si="5"/>
        <v>1.1117250000000001</v>
      </c>
      <c r="I39" s="77">
        <f t="shared" si="5"/>
        <v>0.12575250000000002</v>
      </c>
      <c r="J39" s="77">
        <f t="shared" si="5"/>
        <v>3.2197500000000008E-3</v>
      </c>
      <c r="K39" s="77">
        <f t="shared" si="5"/>
        <v>4.9815000000000007E-3</v>
      </c>
      <c r="L39" s="77">
        <f t="shared" si="5"/>
        <v>9.1732500000000022E-2</v>
      </c>
      <c r="M39" s="77">
        <f t="shared" si="5"/>
        <v>0.10752750000000001</v>
      </c>
      <c r="N39" s="77">
        <f t="shared" si="5"/>
        <v>12.393000000000001</v>
      </c>
      <c r="O39" s="77">
        <f t="shared" si="5"/>
        <v>2636.55</v>
      </c>
      <c r="P39" s="77">
        <f t="shared" si="5"/>
        <v>0</v>
      </c>
      <c r="Q39" s="77">
        <f t="shared" si="10"/>
        <v>65.610000000000014</v>
      </c>
      <c r="R39" s="77">
        <f t="shared" si="11"/>
        <v>0</v>
      </c>
      <c r="S39" s="77">
        <f t="shared" si="11"/>
        <v>0.39973500000000001</v>
      </c>
      <c r="T39" s="77">
        <f t="shared" si="11"/>
        <v>0</v>
      </c>
      <c r="U39" s="77">
        <f t="shared" si="11"/>
        <v>0</v>
      </c>
      <c r="AB39" s="59"/>
      <c r="AC39" s="59"/>
      <c r="AD39" s="59"/>
      <c r="AE39" s="59"/>
      <c r="AF39" s="59"/>
      <c r="AG39" s="59"/>
      <c r="AH39" s="59"/>
      <c r="AI39" s="59"/>
    </row>
    <row r="40" spans="1:35" s="72" customFormat="1" ht="13" x14ac:dyDescent="0.35">
      <c r="A40" s="13" t="str">
        <f>L8</f>
        <v>Woodstock 10</v>
      </c>
      <c r="B40" s="15">
        <v>250</v>
      </c>
      <c r="C40" s="77">
        <f t="shared" si="6"/>
        <v>48.17475000000001</v>
      </c>
      <c r="D40" s="77">
        <f t="shared" si="7"/>
        <v>3.8691553499999998</v>
      </c>
      <c r="E40" s="77">
        <f t="shared" si="8"/>
        <v>2.8915481250000008</v>
      </c>
      <c r="F40" s="77">
        <f t="shared" si="9"/>
        <v>11.281032000000002</v>
      </c>
      <c r="G40" s="77">
        <f t="shared" si="5"/>
        <v>0.1451925</v>
      </c>
      <c r="H40" s="77">
        <f t="shared" si="5"/>
        <v>1.1117250000000001</v>
      </c>
      <c r="I40" s="77">
        <f t="shared" si="5"/>
        <v>0.12575250000000002</v>
      </c>
      <c r="J40" s="77">
        <f t="shared" si="5"/>
        <v>3.2197500000000008E-3</v>
      </c>
      <c r="K40" s="77">
        <f t="shared" si="5"/>
        <v>4.9815000000000007E-3</v>
      </c>
      <c r="L40" s="77">
        <f t="shared" si="5"/>
        <v>9.1732500000000022E-2</v>
      </c>
      <c r="M40" s="77">
        <f t="shared" si="5"/>
        <v>0.10752750000000001</v>
      </c>
      <c r="N40" s="77">
        <f t="shared" si="5"/>
        <v>12.393000000000001</v>
      </c>
      <c r="O40" s="77">
        <f t="shared" si="5"/>
        <v>2636.55</v>
      </c>
      <c r="P40" s="77">
        <f t="shared" si="5"/>
        <v>0</v>
      </c>
      <c r="Q40" s="77">
        <f t="shared" si="10"/>
        <v>65.610000000000014</v>
      </c>
      <c r="R40" s="77">
        <f t="shared" si="11"/>
        <v>0</v>
      </c>
      <c r="S40" s="77">
        <f t="shared" si="11"/>
        <v>0.39973500000000001</v>
      </c>
      <c r="T40" s="77">
        <f t="shared" si="11"/>
        <v>0</v>
      </c>
      <c r="U40" s="77">
        <f t="shared" si="11"/>
        <v>0</v>
      </c>
      <c r="AB40" s="59"/>
      <c r="AC40" s="59"/>
      <c r="AD40" s="59"/>
      <c r="AE40" s="59"/>
      <c r="AF40" s="59"/>
      <c r="AG40" s="59"/>
      <c r="AH40" s="59"/>
      <c r="AI40" s="59"/>
    </row>
    <row r="41" spans="1:35" s="72" customFormat="1" ht="13" x14ac:dyDescent="0.35">
      <c r="A41" s="13" t="str">
        <f>M8</f>
        <v>Woodstock 11</v>
      </c>
      <c r="B41" s="15">
        <v>250</v>
      </c>
      <c r="C41" s="77">
        <f t="shared" si="6"/>
        <v>48.17475000000001</v>
      </c>
      <c r="D41" s="77">
        <f t="shared" si="7"/>
        <v>3.8691553499999998</v>
      </c>
      <c r="E41" s="77">
        <f t="shared" si="8"/>
        <v>2.8915481250000008</v>
      </c>
      <c r="F41" s="77">
        <f t="shared" si="9"/>
        <v>11.281032000000002</v>
      </c>
      <c r="G41" s="77">
        <f t="shared" si="5"/>
        <v>0.1451925</v>
      </c>
      <c r="H41" s="77">
        <f t="shared" si="5"/>
        <v>1.1117250000000001</v>
      </c>
      <c r="I41" s="77">
        <f t="shared" si="5"/>
        <v>0.12575250000000002</v>
      </c>
      <c r="J41" s="77">
        <f t="shared" si="5"/>
        <v>3.2197500000000008E-3</v>
      </c>
      <c r="K41" s="77">
        <f t="shared" si="5"/>
        <v>4.9815000000000007E-3</v>
      </c>
      <c r="L41" s="77">
        <f t="shared" si="5"/>
        <v>9.1732500000000022E-2</v>
      </c>
      <c r="M41" s="77">
        <f t="shared" si="5"/>
        <v>0.10752750000000001</v>
      </c>
      <c r="N41" s="77">
        <f t="shared" si="5"/>
        <v>12.393000000000001</v>
      </c>
      <c r="O41" s="77">
        <f t="shared" si="5"/>
        <v>2636.55</v>
      </c>
      <c r="P41" s="77">
        <f t="shared" si="5"/>
        <v>0</v>
      </c>
      <c r="Q41" s="77">
        <f t="shared" si="10"/>
        <v>65.610000000000014</v>
      </c>
      <c r="R41" s="77">
        <f t="shared" si="11"/>
        <v>0</v>
      </c>
      <c r="S41" s="77">
        <f t="shared" si="11"/>
        <v>0.39973500000000001</v>
      </c>
      <c r="T41" s="77">
        <f t="shared" si="11"/>
        <v>0</v>
      </c>
      <c r="U41" s="77">
        <f t="shared" si="11"/>
        <v>0</v>
      </c>
      <c r="AB41" s="59"/>
      <c r="AC41" s="59"/>
      <c r="AD41" s="59"/>
      <c r="AE41" s="59"/>
      <c r="AF41" s="59"/>
      <c r="AG41" s="59"/>
      <c r="AH41" s="59"/>
      <c r="AI41" s="59"/>
    </row>
    <row r="42" spans="1:35" s="72" customFormat="1" ht="13" x14ac:dyDescent="0.35">
      <c r="A42" s="13" t="str">
        <f>N8</f>
        <v>Woodstock 12</v>
      </c>
      <c r="B42" s="15">
        <v>250</v>
      </c>
      <c r="C42" s="77">
        <f t="shared" si="6"/>
        <v>48.17475000000001</v>
      </c>
      <c r="D42" s="77">
        <f t="shared" si="7"/>
        <v>3.8691553499999998</v>
      </c>
      <c r="E42" s="77">
        <f t="shared" si="8"/>
        <v>2.8915481250000008</v>
      </c>
      <c r="F42" s="77">
        <f t="shared" si="9"/>
        <v>11.281032000000002</v>
      </c>
      <c r="G42" s="77">
        <f t="shared" si="5"/>
        <v>0.1451925</v>
      </c>
      <c r="H42" s="77">
        <f t="shared" si="5"/>
        <v>1.1117250000000001</v>
      </c>
      <c r="I42" s="77">
        <f t="shared" si="5"/>
        <v>0.12575250000000002</v>
      </c>
      <c r="J42" s="77">
        <f t="shared" si="5"/>
        <v>3.2197500000000008E-3</v>
      </c>
      <c r="K42" s="77">
        <f t="shared" si="5"/>
        <v>4.9815000000000007E-3</v>
      </c>
      <c r="L42" s="77">
        <f t="shared" si="5"/>
        <v>9.1732500000000022E-2</v>
      </c>
      <c r="M42" s="77">
        <f t="shared" si="5"/>
        <v>0.10752750000000001</v>
      </c>
      <c r="N42" s="77">
        <f t="shared" si="5"/>
        <v>12.393000000000001</v>
      </c>
      <c r="O42" s="77">
        <f t="shared" si="5"/>
        <v>2636.55</v>
      </c>
      <c r="P42" s="77">
        <f t="shared" si="5"/>
        <v>0</v>
      </c>
      <c r="Q42" s="77">
        <f t="shared" si="10"/>
        <v>65.610000000000014</v>
      </c>
      <c r="R42" s="77">
        <f t="shared" si="11"/>
        <v>0</v>
      </c>
      <c r="S42" s="77">
        <f t="shared" si="11"/>
        <v>0.39973500000000001</v>
      </c>
      <c r="T42" s="77">
        <f t="shared" si="11"/>
        <v>0</v>
      </c>
      <c r="U42" s="77">
        <f t="shared" si="11"/>
        <v>0</v>
      </c>
      <c r="AB42" s="59"/>
      <c r="AC42" s="59"/>
      <c r="AD42" s="59"/>
      <c r="AE42" s="59"/>
      <c r="AF42" s="59"/>
      <c r="AG42" s="59"/>
      <c r="AH42" s="59"/>
      <c r="AI42" s="59"/>
    </row>
    <row r="43" spans="1:35" s="72" customFormat="1" ht="13" x14ac:dyDescent="0.35">
      <c r="A43" s="13" t="str">
        <f>O8</f>
        <v>Woodstock 13/14</v>
      </c>
      <c r="B43" s="15">
        <v>250</v>
      </c>
      <c r="C43" s="77">
        <f t="shared" si="6"/>
        <v>48.17475000000001</v>
      </c>
      <c r="D43" s="77">
        <f t="shared" si="7"/>
        <v>3.8691553499999998</v>
      </c>
      <c r="E43" s="77">
        <f t="shared" si="8"/>
        <v>2.8915481250000008</v>
      </c>
      <c r="F43" s="77">
        <f t="shared" si="9"/>
        <v>11.281032000000002</v>
      </c>
      <c r="G43" s="77">
        <f t="shared" si="5"/>
        <v>0.1451925</v>
      </c>
      <c r="H43" s="77">
        <f t="shared" si="5"/>
        <v>1.1117250000000001</v>
      </c>
      <c r="I43" s="77">
        <f t="shared" si="5"/>
        <v>0.12575250000000002</v>
      </c>
      <c r="J43" s="77">
        <f t="shared" si="5"/>
        <v>3.2197500000000008E-3</v>
      </c>
      <c r="K43" s="77">
        <f t="shared" si="5"/>
        <v>4.9815000000000007E-3</v>
      </c>
      <c r="L43" s="77">
        <f t="shared" si="5"/>
        <v>9.1732500000000022E-2</v>
      </c>
      <c r="M43" s="77">
        <f t="shared" si="5"/>
        <v>0.10752750000000001</v>
      </c>
      <c r="N43" s="77">
        <f t="shared" si="5"/>
        <v>12.393000000000001</v>
      </c>
      <c r="O43" s="77">
        <f t="shared" si="5"/>
        <v>2636.55</v>
      </c>
      <c r="P43" s="77">
        <f t="shared" si="5"/>
        <v>0</v>
      </c>
      <c r="Q43" s="77">
        <f t="shared" si="10"/>
        <v>65.610000000000014</v>
      </c>
      <c r="R43" s="77">
        <f t="shared" si="11"/>
        <v>0</v>
      </c>
      <c r="S43" s="77">
        <f t="shared" si="11"/>
        <v>0.39973500000000001</v>
      </c>
      <c r="T43" s="77">
        <f t="shared" si="11"/>
        <v>0</v>
      </c>
      <c r="U43" s="77">
        <f t="shared" si="11"/>
        <v>0</v>
      </c>
      <c r="AB43" s="59"/>
      <c r="AC43" s="59"/>
      <c r="AD43" s="59"/>
      <c r="AE43" s="59"/>
      <c r="AF43" s="59"/>
      <c r="AG43" s="59"/>
      <c r="AH43" s="59"/>
      <c r="AI43" s="59"/>
    </row>
    <row r="44" spans="1:35" s="72" customFormat="1" ht="13" x14ac:dyDescent="0.35">
      <c r="A44" s="13" t="str">
        <f>P8</f>
        <v>Gwarcoed 16</v>
      </c>
      <c r="B44" s="15">
        <v>250</v>
      </c>
      <c r="C44" s="77">
        <f t="shared" si="6"/>
        <v>48.17475000000001</v>
      </c>
      <c r="D44" s="77">
        <f t="shared" si="7"/>
        <v>3.8691553499999998</v>
      </c>
      <c r="E44" s="77">
        <f t="shared" si="8"/>
        <v>2.8915481250000008</v>
      </c>
      <c r="F44" s="77">
        <f t="shared" si="9"/>
        <v>11.281032000000002</v>
      </c>
      <c r="G44" s="77">
        <f t="shared" si="5"/>
        <v>0.1451925</v>
      </c>
      <c r="H44" s="77">
        <f t="shared" si="5"/>
        <v>1.1117250000000001</v>
      </c>
      <c r="I44" s="77">
        <f t="shared" si="5"/>
        <v>0.12575250000000002</v>
      </c>
      <c r="J44" s="77">
        <f t="shared" si="5"/>
        <v>3.2197500000000008E-3</v>
      </c>
      <c r="K44" s="77">
        <f t="shared" si="5"/>
        <v>4.9815000000000007E-3</v>
      </c>
      <c r="L44" s="77">
        <f t="shared" si="5"/>
        <v>9.1732500000000022E-2</v>
      </c>
      <c r="M44" s="77">
        <f t="shared" si="5"/>
        <v>0.10752750000000001</v>
      </c>
      <c r="N44" s="77">
        <f t="shared" si="5"/>
        <v>12.393000000000001</v>
      </c>
      <c r="O44" s="77">
        <f t="shared" si="5"/>
        <v>2636.55</v>
      </c>
      <c r="P44" s="77">
        <f t="shared" si="5"/>
        <v>0</v>
      </c>
      <c r="Q44" s="77">
        <f t="shared" si="10"/>
        <v>65.610000000000014</v>
      </c>
      <c r="R44" s="77">
        <f t="shared" si="11"/>
        <v>0</v>
      </c>
      <c r="S44" s="77">
        <f t="shared" si="11"/>
        <v>0.39973500000000001</v>
      </c>
      <c r="T44" s="77">
        <f t="shared" si="11"/>
        <v>0</v>
      </c>
      <c r="U44" s="77">
        <f t="shared" si="11"/>
        <v>0</v>
      </c>
      <c r="AB44" s="59"/>
      <c r="AC44" s="59"/>
      <c r="AD44" s="59"/>
      <c r="AE44" s="59"/>
      <c r="AF44" s="59"/>
      <c r="AG44" s="59"/>
      <c r="AH44" s="59"/>
      <c r="AI44" s="59"/>
    </row>
    <row r="45" spans="1:35" s="72" customFormat="1" ht="13" x14ac:dyDescent="0.35">
      <c r="A45" s="13" t="str">
        <f>Q8</f>
        <v>Gwarcoed 17</v>
      </c>
      <c r="B45" s="15">
        <v>250</v>
      </c>
      <c r="C45" s="77">
        <f t="shared" si="6"/>
        <v>48.17475000000001</v>
      </c>
      <c r="D45" s="77">
        <f t="shared" si="7"/>
        <v>3.8691553499999998</v>
      </c>
      <c r="E45" s="77">
        <f t="shared" si="8"/>
        <v>2.8915481250000008</v>
      </c>
      <c r="F45" s="77">
        <f t="shared" si="9"/>
        <v>11.281032000000002</v>
      </c>
      <c r="G45" s="77">
        <f t="shared" si="5"/>
        <v>0.1451925</v>
      </c>
      <c r="H45" s="77">
        <f t="shared" si="5"/>
        <v>1.1117250000000001</v>
      </c>
      <c r="I45" s="77">
        <f t="shared" si="5"/>
        <v>0.12575250000000002</v>
      </c>
      <c r="J45" s="77">
        <f t="shared" si="5"/>
        <v>3.2197500000000008E-3</v>
      </c>
      <c r="K45" s="77">
        <f t="shared" si="5"/>
        <v>4.9815000000000007E-3</v>
      </c>
      <c r="L45" s="77">
        <f t="shared" si="5"/>
        <v>9.1732500000000022E-2</v>
      </c>
      <c r="M45" s="77">
        <f t="shared" si="5"/>
        <v>0.10752750000000001</v>
      </c>
      <c r="N45" s="77">
        <f t="shared" si="5"/>
        <v>12.393000000000001</v>
      </c>
      <c r="O45" s="77">
        <f t="shared" si="5"/>
        <v>2636.55</v>
      </c>
      <c r="P45" s="77">
        <f t="shared" si="5"/>
        <v>0</v>
      </c>
      <c r="Q45" s="77">
        <f t="shared" si="10"/>
        <v>65.610000000000014</v>
      </c>
      <c r="R45" s="77">
        <f t="shared" si="11"/>
        <v>0</v>
      </c>
      <c r="S45" s="77">
        <f t="shared" si="11"/>
        <v>0.39973500000000001</v>
      </c>
      <c r="T45" s="77">
        <f t="shared" si="11"/>
        <v>0</v>
      </c>
      <c r="U45" s="77">
        <f t="shared" si="11"/>
        <v>0</v>
      </c>
      <c r="AB45" s="59"/>
      <c r="AC45" s="59"/>
      <c r="AD45" s="59"/>
      <c r="AE45" s="59"/>
      <c r="AF45" s="59"/>
      <c r="AG45" s="59"/>
      <c r="AH45" s="59"/>
      <c r="AI45" s="59"/>
    </row>
    <row r="46" spans="1:35" s="72" customFormat="1" ht="13" x14ac:dyDescent="0.35">
      <c r="A46" s="13" t="str">
        <f>R8</f>
        <v>Gwarcoed 19</v>
      </c>
      <c r="B46" s="15">
        <v>250</v>
      </c>
      <c r="C46" s="77">
        <f t="shared" si="6"/>
        <v>48.17475000000001</v>
      </c>
      <c r="D46" s="77">
        <f t="shared" si="7"/>
        <v>3.8691553499999998</v>
      </c>
      <c r="E46" s="77">
        <f t="shared" si="8"/>
        <v>2.8915481250000008</v>
      </c>
      <c r="F46" s="77">
        <f t="shared" si="9"/>
        <v>11.281032000000002</v>
      </c>
      <c r="G46" s="77">
        <f t="shared" si="5"/>
        <v>0.1451925</v>
      </c>
      <c r="H46" s="77">
        <f t="shared" si="5"/>
        <v>1.1117250000000001</v>
      </c>
      <c r="I46" s="77">
        <f t="shared" si="5"/>
        <v>0.12575250000000002</v>
      </c>
      <c r="J46" s="77">
        <f t="shared" si="5"/>
        <v>3.2197500000000008E-3</v>
      </c>
      <c r="K46" s="77">
        <f t="shared" si="5"/>
        <v>4.9815000000000007E-3</v>
      </c>
      <c r="L46" s="77">
        <f t="shared" si="5"/>
        <v>9.1732500000000022E-2</v>
      </c>
      <c r="M46" s="77">
        <f t="shared" si="5"/>
        <v>0.10752750000000001</v>
      </c>
      <c r="N46" s="77">
        <f t="shared" si="5"/>
        <v>12.393000000000001</v>
      </c>
      <c r="O46" s="77">
        <f t="shared" si="5"/>
        <v>2636.55</v>
      </c>
      <c r="P46" s="77">
        <f t="shared" si="5"/>
        <v>0</v>
      </c>
      <c r="Q46" s="77">
        <f t="shared" si="10"/>
        <v>65.610000000000014</v>
      </c>
      <c r="R46" s="77">
        <f t="shared" si="11"/>
        <v>0</v>
      </c>
      <c r="S46" s="77">
        <f t="shared" si="11"/>
        <v>0.39973500000000001</v>
      </c>
      <c r="T46" s="77">
        <f t="shared" si="11"/>
        <v>0</v>
      </c>
      <c r="U46" s="77">
        <f t="shared" si="11"/>
        <v>0</v>
      </c>
      <c r="AB46" s="59"/>
      <c r="AC46" s="59"/>
      <c r="AD46" s="59"/>
      <c r="AE46" s="59"/>
      <c r="AF46" s="59"/>
      <c r="AG46" s="59"/>
      <c r="AH46" s="59"/>
      <c r="AI46" s="59"/>
    </row>
    <row r="47" spans="1:35" s="72" customFormat="1" ht="13" x14ac:dyDescent="0.35">
      <c r="A47" s="13" t="str">
        <f>S8</f>
        <v>Gwarcoed 22</v>
      </c>
      <c r="B47" s="15">
        <v>250</v>
      </c>
      <c r="C47" s="77">
        <f t="shared" si="6"/>
        <v>48.17475000000001</v>
      </c>
      <c r="D47" s="77">
        <f t="shared" si="7"/>
        <v>3.8691553499999998</v>
      </c>
      <c r="E47" s="77">
        <f t="shared" si="8"/>
        <v>2.8915481250000008</v>
      </c>
      <c r="F47" s="77">
        <f t="shared" si="9"/>
        <v>11.281032000000002</v>
      </c>
      <c r="G47" s="77">
        <f t="shared" ref="G47:P50" si="12">IF(G$27="%w/w SAR",((G$28*10)*$B47),IF(G$27="%w/w DM",(((G$28*10)*($B$28/100))*$B47),IF(G$27="kg/t SAR",(G$28*$B47),IF(G$27="kg/t DM",((G$28*($B$28/100))*$B47),IF(G$27="mg/kg SAR",((G$28*0.001)*$B47),IF(G$27="mg/kg DM",(((G$28*0.001)*($B$28/100))*$B47),0))))))</f>
        <v>0.1451925</v>
      </c>
      <c r="H47" s="77">
        <f t="shared" si="12"/>
        <v>1.1117250000000001</v>
      </c>
      <c r="I47" s="77">
        <f t="shared" si="12"/>
        <v>0.12575250000000002</v>
      </c>
      <c r="J47" s="77">
        <f t="shared" si="12"/>
        <v>3.2197500000000008E-3</v>
      </c>
      <c r="K47" s="77">
        <f t="shared" si="12"/>
        <v>4.9815000000000007E-3</v>
      </c>
      <c r="L47" s="77">
        <f t="shared" si="12"/>
        <v>9.1732500000000022E-2</v>
      </c>
      <c r="M47" s="77">
        <f t="shared" si="12"/>
        <v>0.10752750000000001</v>
      </c>
      <c r="N47" s="77">
        <f t="shared" si="12"/>
        <v>12.393000000000001</v>
      </c>
      <c r="O47" s="77">
        <f t="shared" si="12"/>
        <v>2636.55</v>
      </c>
      <c r="P47" s="77">
        <f t="shared" si="12"/>
        <v>0</v>
      </c>
      <c r="Q47" s="77">
        <f t="shared" si="10"/>
        <v>65.610000000000014</v>
      </c>
      <c r="R47" s="77">
        <f t="shared" si="11"/>
        <v>0</v>
      </c>
      <c r="S47" s="77">
        <f t="shared" si="11"/>
        <v>0.39973500000000001</v>
      </c>
      <c r="T47" s="77">
        <f t="shared" si="11"/>
        <v>0</v>
      </c>
      <c r="U47" s="77">
        <f t="shared" si="11"/>
        <v>0</v>
      </c>
      <c r="AB47" s="59"/>
      <c r="AC47" s="59"/>
      <c r="AD47" s="59"/>
      <c r="AE47" s="59"/>
      <c r="AF47" s="59"/>
      <c r="AG47" s="59"/>
      <c r="AH47" s="59"/>
      <c r="AI47" s="59"/>
    </row>
    <row r="48" spans="1:35" s="72" customFormat="1" ht="13" x14ac:dyDescent="0.35">
      <c r="A48" s="13" t="str">
        <f>T8</f>
        <v>Gwarcoed 23</v>
      </c>
      <c r="B48" s="15">
        <v>250</v>
      </c>
      <c r="C48" s="77">
        <f t="shared" si="6"/>
        <v>48.17475000000001</v>
      </c>
      <c r="D48" s="77">
        <f t="shared" si="7"/>
        <v>3.8691553499999998</v>
      </c>
      <c r="E48" s="77">
        <f t="shared" si="8"/>
        <v>2.8915481250000008</v>
      </c>
      <c r="F48" s="77">
        <f t="shared" si="9"/>
        <v>11.281032000000002</v>
      </c>
      <c r="G48" s="77">
        <f t="shared" si="12"/>
        <v>0.1451925</v>
      </c>
      <c r="H48" s="77">
        <f t="shared" si="12"/>
        <v>1.1117250000000001</v>
      </c>
      <c r="I48" s="77">
        <f t="shared" si="12"/>
        <v>0.12575250000000002</v>
      </c>
      <c r="J48" s="77">
        <f t="shared" si="12"/>
        <v>3.2197500000000008E-3</v>
      </c>
      <c r="K48" s="77">
        <f t="shared" si="12"/>
        <v>4.9815000000000007E-3</v>
      </c>
      <c r="L48" s="77">
        <f t="shared" si="12"/>
        <v>9.1732500000000022E-2</v>
      </c>
      <c r="M48" s="77">
        <f t="shared" si="12"/>
        <v>0.10752750000000001</v>
      </c>
      <c r="N48" s="77">
        <f t="shared" si="12"/>
        <v>12.393000000000001</v>
      </c>
      <c r="O48" s="77">
        <f t="shared" si="12"/>
        <v>2636.55</v>
      </c>
      <c r="P48" s="77">
        <f t="shared" si="12"/>
        <v>0</v>
      </c>
      <c r="Q48" s="77">
        <f t="shared" si="10"/>
        <v>65.610000000000014</v>
      </c>
      <c r="R48" s="77">
        <f t="shared" si="11"/>
        <v>0</v>
      </c>
      <c r="S48" s="77">
        <f t="shared" si="11"/>
        <v>0.39973500000000001</v>
      </c>
      <c r="T48" s="77">
        <f t="shared" si="11"/>
        <v>0</v>
      </c>
      <c r="U48" s="77">
        <f t="shared" si="11"/>
        <v>0</v>
      </c>
      <c r="AB48" s="59"/>
      <c r="AC48" s="59"/>
      <c r="AD48" s="59"/>
      <c r="AE48" s="59"/>
      <c r="AF48" s="59"/>
      <c r="AG48" s="59"/>
      <c r="AH48" s="59"/>
      <c r="AI48" s="59"/>
    </row>
    <row r="49" spans="1:35" s="72" customFormat="1" ht="13" x14ac:dyDescent="0.35">
      <c r="A49" s="13" t="str">
        <f>U8</f>
        <v>Gwarcoed 24</v>
      </c>
      <c r="B49" s="15">
        <v>250</v>
      </c>
      <c r="C49" s="77">
        <f t="shared" si="6"/>
        <v>48.17475000000001</v>
      </c>
      <c r="D49" s="77">
        <f t="shared" si="7"/>
        <v>3.8691553499999998</v>
      </c>
      <c r="E49" s="77">
        <f t="shared" si="8"/>
        <v>2.8915481250000008</v>
      </c>
      <c r="F49" s="77">
        <f t="shared" si="9"/>
        <v>11.281032000000002</v>
      </c>
      <c r="G49" s="77">
        <f t="shared" si="12"/>
        <v>0.1451925</v>
      </c>
      <c r="H49" s="77">
        <f t="shared" si="12"/>
        <v>1.1117250000000001</v>
      </c>
      <c r="I49" s="77">
        <f t="shared" si="12"/>
        <v>0.12575250000000002</v>
      </c>
      <c r="J49" s="77">
        <f t="shared" si="12"/>
        <v>3.2197500000000008E-3</v>
      </c>
      <c r="K49" s="77">
        <f t="shared" si="12"/>
        <v>4.9815000000000007E-3</v>
      </c>
      <c r="L49" s="77">
        <f t="shared" si="12"/>
        <v>9.1732500000000022E-2</v>
      </c>
      <c r="M49" s="77">
        <f t="shared" si="12"/>
        <v>0.10752750000000001</v>
      </c>
      <c r="N49" s="77">
        <f t="shared" si="12"/>
        <v>12.393000000000001</v>
      </c>
      <c r="O49" s="77">
        <f t="shared" si="12"/>
        <v>2636.55</v>
      </c>
      <c r="P49" s="77">
        <f t="shared" si="12"/>
        <v>0</v>
      </c>
      <c r="Q49" s="77">
        <f t="shared" si="10"/>
        <v>65.610000000000014</v>
      </c>
      <c r="R49" s="77">
        <f t="shared" si="11"/>
        <v>0</v>
      </c>
      <c r="S49" s="77">
        <f t="shared" si="11"/>
        <v>0.39973500000000001</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"&amp;(VLOOKUP(C14,Table245810[],6,FALSE))</f>
        <v>0 I Grass</v>
      </c>
      <c r="C58" s="13" t="str">
        <f>D16&amp;" I "&amp;(VLOOKUP(D14,Table245810[],6,FALSE))</f>
        <v>0 I Grass</v>
      </c>
      <c r="D58" s="13" t="str">
        <f>E16&amp;" I "&amp;(VLOOKUP(E14,Table245810[],6,FALSE))</f>
        <v>0 I Grass</v>
      </c>
      <c r="E58" s="13" t="str">
        <f>F16&amp;" I "&amp;(VLOOKUP(F14,Table245810[],6,FALSE))</f>
        <v>0 I Grass</v>
      </c>
      <c r="F58" s="13" t="str">
        <f>G16&amp;" I "&amp;(VLOOKUP(G14,Table245810[],6,FALSE))</f>
        <v>0 I Grass</v>
      </c>
      <c r="G58" s="13" t="str">
        <f>H16&amp;" I "&amp;(VLOOKUP(H14,Table245810[],6,FALSE))</f>
        <v>0 I Grass</v>
      </c>
      <c r="H58" s="13" t="str">
        <f>I16&amp;" I "&amp;(VLOOKUP(I14,Table245810[],6,FALSE))</f>
        <v>0 I Arable</v>
      </c>
      <c r="I58" s="13" t="str">
        <f>J16&amp;" I "&amp;(VLOOKUP(J14,Table245810[],6,FALSE))</f>
        <v>0 I Grass</v>
      </c>
      <c r="J58" s="13" t="str">
        <f>K16&amp;" I "&amp;(VLOOKUP(K14,Table245810[],6,FALSE))</f>
        <v>0 I Grass</v>
      </c>
      <c r="K58" s="13" t="str">
        <f>L16&amp;" I "&amp;(VLOOKUP(L14,Table245810[],6,FALSE))</f>
        <v>0 I Grass</v>
      </c>
      <c r="L58" s="13" t="str">
        <f>M16&amp;" I "&amp;(VLOOKUP(M14,Table245810[],6,FALSE))</f>
        <v>0 I Grass</v>
      </c>
      <c r="M58" s="13" t="str">
        <f>N16&amp;" I "&amp;(VLOOKUP(N14,Table245810[],6,FALSE))</f>
        <v>0 I Grass</v>
      </c>
      <c r="N58" s="13" t="str">
        <f>O16&amp;" I "&amp;(VLOOKUP(O14,Table245810[],6,FALSE))</f>
        <v>0 I Arable</v>
      </c>
      <c r="O58" s="13" t="str">
        <f>P16&amp;" I "&amp;(VLOOKUP(P14,Table245810[],6,FALSE))</f>
        <v>0 I Grass</v>
      </c>
      <c r="P58" s="13" t="str">
        <f>Q16&amp;" I "&amp;(VLOOKUP(Q14,Table245810[],6,FALSE))</f>
        <v>0 I Grass</v>
      </c>
      <c r="Q58" s="13" t="str">
        <f>R16&amp;" I "&amp;(VLOOKUP(R14,Table245810[],6,FALSE))</f>
        <v>0 I Grass</v>
      </c>
      <c r="R58" s="13" t="str">
        <f>S16&amp;" I "&amp;(VLOOKUP(S14,Table245810[],6,FALSE))</f>
        <v>0 I Grass</v>
      </c>
      <c r="S58" s="13" t="str">
        <f>T16&amp;" I "&amp;(VLOOKUP(T14,Table245810[],6,FALSE))</f>
        <v>0 I Grass</v>
      </c>
      <c r="T58" s="13" t="str">
        <f>U16&amp;" I "&amp;(VLOOKUP(U14,Table245810[],6,FALSE))</f>
        <v>0 I Grass</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6.7</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6.7</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t="e">
        <f>VLOOKUP(V$14,Table245810[],5,FALSE)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P21" zoomScale="90" zoomScaleNormal="90" workbookViewId="0">
      <selection activeCell="T30" sqref="T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6.3</v>
      </c>
      <c r="J1" s="119" t="s">
        <v>153</v>
      </c>
      <c r="K1" s="119"/>
      <c r="L1" s="97">
        <v>364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0.96099999999999997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78</v>
      </c>
      <c r="G3" s="119" t="s">
        <v>159</v>
      </c>
      <c r="H3" s="119"/>
      <c r="I3" s="118"/>
      <c r="J3" s="120" t="s">
        <v>154</v>
      </c>
      <c r="K3" s="121"/>
      <c r="L3" s="97">
        <f>(L1/(L2*10000))*100</f>
        <v>3.787721123829344</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193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4.2818789999999991</v>
      </c>
      <c r="D18" s="16">
        <f>$D32</f>
        <v>4.2818789999999991</v>
      </c>
      <c r="E18" s="16">
        <f>$D33</f>
        <v>4.2818789999999991</v>
      </c>
      <c r="F18" s="16">
        <f>$D34</f>
        <v>4.2818789999999991</v>
      </c>
      <c r="G18" s="16">
        <f>$D35</f>
        <v>4.2818789999999991</v>
      </c>
      <c r="H18" s="16">
        <f>$D36</f>
        <v>4.2818789999999991</v>
      </c>
      <c r="I18" s="16">
        <f>$D37</f>
        <v>4.2818789999999991</v>
      </c>
      <c r="J18" s="16">
        <f>$D38</f>
        <v>4.2818789999999991</v>
      </c>
      <c r="K18" s="16">
        <f>$D39</f>
        <v>4.2818789999999991</v>
      </c>
      <c r="L18" s="16">
        <f>$D40</f>
        <v>0</v>
      </c>
      <c r="M18" s="16">
        <f>$D41</f>
        <v>4.2818789999999991</v>
      </c>
      <c r="N18" s="16">
        <f>$D42</f>
        <v>4.2818789999999991</v>
      </c>
      <c r="O18" s="16">
        <f>$D43</f>
        <v>4.2818789999999991</v>
      </c>
      <c r="P18" s="16">
        <f>$D44</f>
        <v>4.2818789999999991</v>
      </c>
      <c r="Q18" s="16">
        <f>$D45</f>
        <v>4.2818789999999991</v>
      </c>
      <c r="R18" s="16">
        <f>$D46</f>
        <v>4.2818789999999991</v>
      </c>
      <c r="S18" s="16">
        <f>$D47</f>
        <v>4.2818789999999991</v>
      </c>
      <c r="T18" s="16">
        <f>$D48</f>
        <v>4.2818789999999991</v>
      </c>
      <c r="U18" s="16">
        <f>$D49</f>
        <v>4.2818789999999991</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-75.618120999999988</v>
      </c>
      <c r="D19" s="16">
        <f t="shared" ref="D19:V19" si="1">D18-D17</f>
        <v>-75.618120999999988</v>
      </c>
      <c r="E19" s="16">
        <f t="shared" si="1"/>
        <v>-75.618120999999988</v>
      </c>
      <c r="F19" s="16">
        <f t="shared" si="1"/>
        <v>-75.618120999999988</v>
      </c>
      <c r="G19" s="16">
        <f t="shared" si="1"/>
        <v>-75.618120999999988</v>
      </c>
      <c r="H19" s="16">
        <f t="shared" si="1"/>
        <v>-75.618120999999988</v>
      </c>
      <c r="I19" s="16">
        <f t="shared" si="1"/>
        <v>-208.218121</v>
      </c>
      <c r="J19" s="16">
        <f t="shared" si="1"/>
        <v>-75.618120999999988</v>
      </c>
      <c r="K19" s="16">
        <f t="shared" si="1"/>
        <v>-75.618120999999988</v>
      </c>
      <c r="L19" s="16">
        <f t="shared" si="1"/>
        <v>-79.899999999999991</v>
      </c>
      <c r="M19" s="16">
        <f t="shared" si="1"/>
        <v>-75.618120999999988</v>
      </c>
      <c r="N19" s="16">
        <f t="shared" si="1"/>
        <v>-75.618120999999988</v>
      </c>
      <c r="O19" s="16">
        <f t="shared" si="1"/>
        <v>-208.218121</v>
      </c>
      <c r="P19" s="16">
        <f t="shared" si="1"/>
        <v>-75.618120999999988</v>
      </c>
      <c r="Q19" s="16">
        <f t="shared" si="1"/>
        <v>-75.618120999999988</v>
      </c>
      <c r="R19" s="16">
        <f t="shared" si="1"/>
        <v>-75.618120999999988</v>
      </c>
      <c r="S19" s="16">
        <f t="shared" si="1"/>
        <v>-75.618120999999988</v>
      </c>
      <c r="T19" s="16">
        <f t="shared" si="1"/>
        <v>-75.618120999999988</v>
      </c>
      <c r="U19" s="16">
        <f t="shared" si="1"/>
        <v>-75.618120999999988</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0.44030699999999995</v>
      </c>
      <c r="D22" s="16">
        <f>$E32</f>
        <v>0.44030699999999995</v>
      </c>
      <c r="E22" s="16">
        <f>$E33</f>
        <v>0.44030699999999995</v>
      </c>
      <c r="F22" s="16">
        <f>$E34</f>
        <v>0.44030699999999995</v>
      </c>
      <c r="G22" s="16">
        <f>$E35</f>
        <v>0.44030699999999995</v>
      </c>
      <c r="H22" s="16">
        <f>$E36</f>
        <v>0.44030699999999995</v>
      </c>
      <c r="I22" s="16">
        <f>$E37</f>
        <v>0.44030699999999995</v>
      </c>
      <c r="J22" s="16">
        <f>$E38</f>
        <v>0.44030699999999995</v>
      </c>
      <c r="K22" s="16">
        <f>$E39</f>
        <v>0.44030699999999995</v>
      </c>
      <c r="L22" s="16">
        <f>$E40</f>
        <v>0</v>
      </c>
      <c r="M22" s="16">
        <f>$E41</f>
        <v>0.44030699999999995</v>
      </c>
      <c r="N22" s="16">
        <f>$E42</f>
        <v>0.44030699999999995</v>
      </c>
      <c r="O22" s="16">
        <f>$E43</f>
        <v>0.44030699999999995</v>
      </c>
      <c r="P22" s="16">
        <f>$E44</f>
        <v>0.44030699999999995</v>
      </c>
      <c r="Q22" s="16">
        <f>$E45</f>
        <v>0.44030699999999995</v>
      </c>
      <c r="R22" s="16">
        <f>$E46</f>
        <v>0.44030699999999995</v>
      </c>
      <c r="S22" s="16">
        <f>$E47</f>
        <v>0.44030699999999995</v>
      </c>
      <c r="T22" s="16">
        <f>$E48</f>
        <v>0.44030699999999995</v>
      </c>
      <c r="U22" s="16">
        <f>$E49</f>
        <v>0.44030699999999995</v>
      </c>
      <c r="V22" s="16">
        <f>$E50</f>
        <v>0</v>
      </c>
      <c r="AI22" s="63" t="s">
        <v>102</v>
      </c>
      <c r="AJ22" s="64">
        <v>1.2</v>
      </c>
      <c r="AK22" s="65">
        <v>5</v>
      </c>
      <c r="AL22" s="29">
        <v>20</v>
      </c>
      <c r="AM22" s="11">
        <v>6.7</v>
      </c>
      <c r="AN22" s="11" t="s">
        <v>135</v>
      </c>
    </row>
    <row r="23" spans="1:40" ht="13" x14ac:dyDescent="0.25">
      <c r="A23" s="124" t="s">
        <v>92</v>
      </c>
      <c r="B23" s="125"/>
      <c r="C23" s="16">
        <f>C22-C21</f>
        <v>-281.55969299999998</v>
      </c>
      <c r="D23" s="16">
        <f t="shared" ref="D23:V23" si="3">D22-D21</f>
        <v>-281.55969299999998</v>
      </c>
      <c r="E23" s="16">
        <f t="shared" si="3"/>
        <v>-281.55969299999998</v>
      </c>
      <c r="F23" s="16">
        <f t="shared" si="3"/>
        <v>-281.55969299999998</v>
      </c>
      <c r="G23" s="16">
        <f t="shared" si="3"/>
        <v>-281.55969299999998</v>
      </c>
      <c r="H23" s="16">
        <f t="shared" si="3"/>
        <v>-281.55969299999998</v>
      </c>
      <c r="I23" s="16">
        <f t="shared" si="3"/>
        <v>-299.55969299999998</v>
      </c>
      <c r="J23" s="16">
        <f t="shared" si="3"/>
        <v>-281.55969299999998</v>
      </c>
      <c r="K23" s="16">
        <f t="shared" si="3"/>
        <v>-281.55969299999998</v>
      </c>
      <c r="L23" s="16">
        <f t="shared" si="3"/>
        <v>-282</v>
      </c>
      <c r="M23" s="16">
        <f t="shared" si="3"/>
        <v>-281.55969299999998</v>
      </c>
      <c r="N23" s="16">
        <f t="shared" si="3"/>
        <v>-281.55969299999998</v>
      </c>
      <c r="O23" s="16">
        <f t="shared" si="3"/>
        <v>-299.55969299999998</v>
      </c>
      <c r="P23" s="16">
        <f t="shared" si="3"/>
        <v>-281.55969299999998</v>
      </c>
      <c r="Q23" s="16">
        <f t="shared" si="3"/>
        <v>-281.55969299999998</v>
      </c>
      <c r="R23" s="16">
        <f t="shared" si="3"/>
        <v>-281.55969299999998</v>
      </c>
      <c r="S23" s="16">
        <f t="shared" si="3"/>
        <v>-281.55969299999998</v>
      </c>
      <c r="T23" s="16">
        <f t="shared" si="3"/>
        <v>-281.55969299999998</v>
      </c>
      <c r="U23" s="16">
        <f t="shared" si="3"/>
        <v>-281.55969299999998</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1.68</v>
      </c>
      <c r="C28" s="15">
        <v>0.96099999999999997</v>
      </c>
      <c r="D28" s="15">
        <v>4.4499999999999998E-2</v>
      </c>
      <c r="E28" s="15">
        <v>8.6999999999999994E-3</v>
      </c>
      <c r="F28" s="15">
        <v>220</v>
      </c>
      <c r="G28" s="15">
        <v>45.2</v>
      </c>
      <c r="H28" s="15">
        <v>106</v>
      </c>
      <c r="I28" s="15">
        <v>7.67</v>
      </c>
      <c r="J28" s="15">
        <v>0.67</v>
      </c>
      <c r="K28" s="23">
        <v>1.18</v>
      </c>
      <c r="L28" s="15">
        <v>5.07</v>
      </c>
      <c r="M28" s="15">
        <v>4.01</v>
      </c>
      <c r="N28" s="15">
        <v>183000</v>
      </c>
      <c r="O28" s="15">
        <v>5020</v>
      </c>
      <c r="P28" s="15"/>
      <c r="Q28" s="15">
        <v>8990</v>
      </c>
      <c r="R28" s="15"/>
      <c r="S28" s="15">
        <v>40.4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250</v>
      </c>
      <c r="C31" s="77">
        <f>IF(C$27="%w/w SAR",((C$28*10)*$B31),IF(C$27="%w/w DM",(((C$28*10)*($B$28/100))*$B31),IF(C$27="kg/t SAR",(C$28*$B31),IF(C$27="kg/t DM",((C$28*($B$28/100))*$B31),IF(C$27="mg/kg SAR",((C$28*0.001)*$B31),IF(C$27="mg/kg DM",(((C$28*0.001)*($B$28/100))*$B31),0))))))</f>
        <v>40.361999999999995</v>
      </c>
      <c r="D31" s="77">
        <f>(IF(D$27="%w/w SAR",((D$28*10)*$B31),IF(D$27="%w/w DM",(((D$28*10)*($B$28/100))*$B31),IF(D$27="kg/t SAR",(D$28*$B31),IF(D$27="kg/t DM",((D$28*($B$28/100))*$B31),IF(D$27="mg/kg SAR",((D$28*0.001)*$B31),IF(D$27="mg/kg DM",(((D$28*0.001)*($B$28/100))*$B31),"0")))))))*2.291</f>
        <v>4.2818789999999991</v>
      </c>
      <c r="E31" s="77">
        <f>(IF(E$27="%w/w SAR",((E$28*10)*$B31),IF(E$27="%w/w DM",(((E$28*10)*($B$28/100))*$B31),IF(E$27="kg/t SAR",(E$28*$B31),IF(E$27="kg/t DM",((E$28*($B$28/100))*$B31),IF(E$27="mg/kg SAR",((E$28*0.001)*$B31),IF(E$27="mg/kg DM",(((E$28*0.001)*($B$28/100))*$B31),"0")))))))*1.205</f>
        <v>0.44030699999999995</v>
      </c>
      <c r="F31" s="77">
        <f>(IF(F$27="%w/w SAR",((F$28*10)*$B31),IF(F$27="%w/w DM",(((F$28*10)*($B$28/100))*$B31),IF(F$27="kg/t SAR",(F$28*$B31),IF(F$27="kg/t DM",((F$28*($B$28/100))*$B31),IF(F$27="mg/kg SAR",((F$28*0.001)*$B31),IF(F$27="mg/kg DM",(((F$28*0.001)*($B$28/100))*$B31),"0")))))))*1.658</f>
        <v>1.5319919999999998</v>
      </c>
      <c r="G31" s="77">
        <f t="shared" ref="G31:P46" si="5">IF(G$27="%w/w SAR",((G$28*10)*$B31),IF(G$27="%w/w DM",(((G$28*10)*($B$28/100))*$B31),IF(G$27="kg/t SAR",(G$28*$B31),IF(G$27="kg/t DM",((G$28*($B$28/100))*$B31),IF(G$27="mg/kg SAR",((G$28*0.001)*$B31),IF(G$27="mg/kg DM",(((G$28*0.001)*($B$28/100))*$B31),0))))))</f>
        <v>0.18984000000000001</v>
      </c>
      <c r="H31" s="77">
        <f t="shared" si="5"/>
        <v>0.44519999999999998</v>
      </c>
      <c r="I31" s="77">
        <f t="shared" si="5"/>
        <v>3.2214E-2</v>
      </c>
      <c r="J31" s="77">
        <f t="shared" si="5"/>
        <v>2.8140000000000001E-3</v>
      </c>
      <c r="K31" s="77">
        <f t="shared" si="5"/>
        <v>4.9559999999999995E-3</v>
      </c>
      <c r="L31" s="77">
        <f t="shared" si="5"/>
        <v>2.1294000000000004E-2</v>
      </c>
      <c r="M31" s="77">
        <f t="shared" si="5"/>
        <v>1.6841999999999999E-2</v>
      </c>
      <c r="N31" s="77">
        <f t="shared" si="5"/>
        <v>768.59999999999991</v>
      </c>
      <c r="O31" s="77">
        <f t="shared" si="5"/>
        <v>21.084000000000003</v>
      </c>
      <c r="P31" s="77">
        <f t="shared" si="5"/>
        <v>0</v>
      </c>
      <c r="Q31" s="77">
        <f>(IF(Q$27="%w/w SAR",((Q$28*10)*$B31),IF(Q$27="%w/w DM",(((Q$28*10)*($B$28/100))*$B31),IF(Q$27="kg/t SAR",(Q$28*$B31),IF(Q$27="kg/t DM",((Q$28*($B$28/100))*$B31),IF(Q$27="mg/kg SAR",((Q$28*0.001)*$B31),IF(Q$27="mg/kg DM",(((Q$28*0.001)*($B$28/100))*$B31),0)))))))*2.5</f>
        <v>94.39500000000001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0.16968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250</v>
      </c>
      <c r="C32" s="77">
        <f t="shared" ref="C32:C50" si="6">IF(C$27="%w/w SAR",((C$28*10)*$B32),IF(C$27="%w/w DM",(((C$28*10)*($B$28/100))*$B32),IF(C$27="kg/t SAR",(C$28*$B32),IF(C$27="kg/t DM",((C$28*($B$28/100))*$B32),IF(C$27="mg/kg SAR",((C$28*0.001)*$B32),IF(C$27="mg/kg DM",(((C$28*0.001)*($B$28/100))*$B32),0))))))</f>
        <v>40.361999999999995</v>
      </c>
      <c r="D32" s="77">
        <f t="shared" ref="D32:D50" si="7">(IF(D$27="%w/w SAR",((D$28*10)*$B32),IF(D$27="%w/w DM",(((D$28*10)*($B$28/100))*$B32),IF(D$27="kg/t SAR",(D$28*$B32),IF(D$27="kg/t DM",((D$28*($B$28/100))*$B32),IF(D$27="mg/kg SAR",((D$28*0.001)*$B32),IF(D$27="mg/kg DM",(((D$28*0.001)*($B$28/100))*$B32),"0")))))))*2.291</f>
        <v>4.2818789999999991</v>
      </c>
      <c r="E32" s="77">
        <f t="shared" ref="E32:E50" si="8">(IF(E$27="%w/w SAR",((E$28*10)*$B32),IF(E$27="%w/w DM",(((E$28*10)*($B$28/100))*$B32),IF(E$27="kg/t SAR",(E$28*$B32),IF(E$27="kg/t DM",((E$28*($B$28/100))*$B32),IF(E$27="mg/kg SAR",((E$28*0.001)*$B32),IF(E$27="mg/kg DM",(((E$28*0.001)*($B$28/100))*$B32),"0")))))))*1.205</f>
        <v>0.44030699999999995</v>
      </c>
      <c r="F32" s="77">
        <f t="shared" ref="F32:F50" si="9">(IF(F$27="%w/w SAR",((F$28*10)*$B32),IF(F$27="%w/w DM",(((F$28*10)*($B$28/100))*$B32),IF(F$27="kg/t SAR",(F$28*$B32),IF(F$27="kg/t DM",((F$28*($B$28/100))*$B32),IF(F$27="mg/kg SAR",((F$28*0.001)*$B32),IF(F$27="mg/kg DM",(((F$28*0.001)*($B$28/100))*$B32),"0")))))))*1.658</f>
        <v>1.5319919999999998</v>
      </c>
      <c r="G32" s="77">
        <f t="shared" si="5"/>
        <v>0.18984000000000001</v>
      </c>
      <c r="H32" s="77">
        <f t="shared" si="5"/>
        <v>0.44519999999999998</v>
      </c>
      <c r="I32" s="77">
        <f t="shared" si="5"/>
        <v>3.2214E-2</v>
      </c>
      <c r="J32" s="77">
        <f t="shared" si="5"/>
        <v>2.8140000000000001E-3</v>
      </c>
      <c r="K32" s="77">
        <f t="shared" si="5"/>
        <v>4.9559999999999995E-3</v>
      </c>
      <c r="L32" s="77">
        <f t="shared" si="5"/>
        <v>2.1294000000000004E-2</v>
      </c>
      <c r="M32" s="77">
        <f t="shared" si="5"/>
        <v>1.6841999999999999E-2</v>
      </c>
      <c r="N32" s="77">
        <f t="shared" si="5"/>
        <v>768.59999999999991</v>
      </c>
      <c r="O32" s="77">
        <f t="shared" si="5"/>
        <v>21.084000000000003</v>
      </c>
      <c r="P32" s="77">
        <f t="shared" si="5"/>
        <v>0</v>
      </c>
      <c r="Q32" s="77">
        <f t="shared" ref="Q32:Q50" si="10">(IF(Q$27="%w/w SAR",((Q$28*10)*$B32),IF(Q$27="%w/w DM",(((Q$28*10)*($B$28/100))*$B32),IF(Q$27="kg/t SAR",(Q$28*$B32),IF(Q$27="kg/t DM",((Q$28*($B$28/100))*$B32),IF(Q$27="mg/kg SAR",((Q$28*0.001)*$B32),IF(Q$27="mg/kg DM",(((Q$28*0.001)*($B$28/100))*$B32),0)))))))*2.5</f>
        <v>94.39500000000001</v>
      </c>
      <c r="R32" s="77">
        <f t="shared" ref="R32:U50" si="11">IF(R$27="%w/w SAR",((R$28*10)*$B32),IF(R$27="%w/w DM",(((R$28*10)*($B$28/100))*$B32),IF(R$27="kg/t SAR",(R$28*$B32),IF(R$27="kg/t DM",((R$28*($B$28/100))*$B32),IF(R$27="mg/kg SAR",((R$28*0.001)*$B32),IF(R$27="mg/kg DM",(((R$28*0.001)*($B$28/100))*$B32),0))))))</f>
        <v>0</v>
      </c>
      <c r="S32" s="77">
        <f t="shared" si="11"/>
        <v>0.16968</v>
      </c>
      <c r="T32" s="77">
        <f t="shared" si="11"/>
        <v>0</v>
      </c>
      <c r="U32" s="77">
        <f t="shared" si="11"/>
        <v>0</v>
      </c>
      <c r="AB32" s="59"/>
      <c r="AC32" s="59"/>
      <c r="AD32" s="59"/>
      <c r="AE32" s="59"/>
      <c r="AF32" s="59"/>
      <c r="AG32" s="59"/>
      <c r="AH32" s="59"/>
      <c r="AI32" s="59"/>
    </row>
    <row r="33" spans="1:35" s="72" customFormat="1" ht="13" x14ac:dyDescent="0.35">
      <c r="A33" s="13" t="str">
        <f>E8</f>
        <v>Woodstock 3</v>
      </c>
      <c r="B33" s="15">
        <v>250</v>
      </c>
      <c r="C33" s="77">
        <f t="shared" si="6"/>
        <v>40.361999999999995</v>
      </c>
      <c r="D33" s="77">
        <f t="shared" si="7"/>
        <v>4.2818789999999991</v>
      </c>
      <c r="E33" s="77">
        <f t="shared" si="8"/>
        <v>0.44030699999999995</v>
      </c>
      <c r="F33" s="77">
        <f t="shared" si="9"/>
        <v>1.5319919999999998</v>
      </c>
      <c r="G33" s="77">
        <f t="shared" si="5"/>
        <v>0.18984000000000001</v>
      </c>
      <c r="H33" s="77">
        <f t="shared" si="5"/>
        <v>0.44519999999999998</v>
      </c>
      <c r="I33" s="77">
        <f t="shared" si="5"/>
        <v>3.2214E-2</v>
      </c>
      <c r="J33" s="77">
        <f t="shared" si="5"/>
        <v>2.8140000000000001E-3</v>
      </c>
      <c r="K33" s="77">
        <f t="shared" si="5"/>
        <v>4.9559999999999995E-3</v>
      </c>
      <c r="L33" s="77">
        <f t="shared" si="5"/>
        <v>2.1294000000000004E-2</v>
      </c>
      <c r="M33" s="77">
        <f t="shared" si="5"/>
        <v>1.6841999999999999E-2</v>
      </c>
      <c r="N33" s="77">
        <f t="shared" si="5"/>
        <v>768.59999999999991</v>
      </c>
      <c r="O33" s="77">
        <f t="shared" si="5"/>
        <v>21.084000000000003</v>
      </c>
      <c r="P33" s="77">
        <f t="shared" si="5"/>
        <v>0</v>
      </c>
      <c r="Q33" s="77">
        <f t="shared" si="10"/>
        <v>94.39500000000001</v>
      </c>
      <c r="R33" s="77">
        <f t="shared" si="11"/>
        <v>0</v>
      </c>
      <c r="S33" s="77">
        <f t="shared" si="11"/>
        <v>0.16968</v>
      </c>
      <c r="T33" s="77">
        <f t="shared" si="11"/>
        <v>0</v>
      </c>
      <c r="U33" s="77">
        <f t="shared" si="11"/>
        <v>0</v>
      </c>
      <c r="AB33" s="59"/>
      <c r="AC33" s="59"/>
      <c r="AD33" s="59"/>
      <c r="AE33" s="59"/>
      <c r="AF33" s="59"/>
      <c r="AG33" s="59"/>
      <c r="AH33" s="59"/>
      <c r="AI33" s="59"/>
    </row>
    <row r="34" spans="1:35" s="72" customFormat="1" ht="13" x14ac:dyDescent="0.35">
      <c r="A34" s="13" t="str">
        <f>F8</f>
        <v>Woodstock 4</v>
      </c>
      <c r="B34" s="15">
        <v>250</v>
      </c>
      <c r="C34" s="77">
        <f t="shared" si="6"/>
        <v>40.361999999999995</v>
      </c>
      <c r="D34" s="77">
        <f t="shared" si="7"/>
        <v>4.2818789999999991</v>
      </c>
      <c r="E34" s="77">
        <f t="shared" si="8"/>
        <v>0.44030699999999995</v>
      </c>
      <c r="F34" s="77">
        <f t="shared" si="9"/>
        <v>1.5319919999999998</v>
      </c>
      <c r="G34" s="77">
        <f t="shared" si="5"/>
        <v>0.18984000000000001</v>
      </c>
      <c r="H34" s="77">
        <f t="shared" si="5"/>
        <v>0.44519999999999998</v>
      </c>
      <c r="I34" s="77">
        <f t="shared" si="5"/>
        <v>3.2214E-2</v>
      </c>
      <c r="J34" s="77">
        <f t="shared" si="5"/>
        <v>2.8140000000000001E-3</v>
      </c>
      <c r="K34" s="77">
        <f t="shared" si="5"/>
        <v>4.9559999999999995E-3</v>
      </c>
      <c r="L34" s="77">
        <f t="shared" si="5"/>
        <v>2.1294000000000004E-2</v>
      </c>
      <c r="M34" s="77">
        <f t="shared" si="5"/>
        <v>1.6841999999999999E-2</v>
      </c>
      <c r="N34" s="77">
        <f t="shared" si="5"/>
        <v>768.59999999999991</v>
      </c>
      <c r="O34" s="77">
        <f t="shared" si="5"/>
        <v>21.084000000000003</v>
      </c>
      <c r="P34" s="77">
        <f t="shared" si="5"/>
        <v>0</v>
      </c>
      <c r="Q34" s="77">
        <f t="shared" si="10"/>
        <v>94.39500000000001</v>
      </c>
      <c r="R34" s="77">
        <f t="shared" si="11"/>
        <v>0</v>
      </c>
      <c r="S34" s="77">
        <f t="shared" si="11"/>
        <v>0.16968</v>
      </c>
      <c r="T34" s="77">
        <f t="shared" si="11"/>
        <v>0</v>
      </c>
      <c r="U34" s="77">
        <f t="shared" si="11"/>
        <v>0</v>
      </c>
      <c r="AB34" s="59"/>
      <c r="AC34" s="59"/>
      <c r="AD34" s="59"/>
      <c r="AE34" s="59"/>
      <c r="AF34" s="59"/>
      <c r="AG34" s="59"/>
      <c r="AH34" s="59"/>
      <c r="AI34" s="59"/>
    </row>
    <row r="35" spans="1:35" s="72" customFormat="1" ht="13" x14ac:dyDescent="0.35">
      <c r="A35" s="13" t="str">
        <f>G8</f>
        <v>Woodstock 5</v>
      </c>
      <c r="B35" s="15">
        <v>250</v>
      </c>
      <c r="C35" s="77">
        <f t="shared" si="6"/>
        <v>40.361999999999995</v>
      </c>
      <c r="D35" s="77">
        <f t="shared" si="7"/>
        <v>4.2818789999999991</v>
      </c>
      <c r="E35" s="77">
        <f t="shared" si="8"/>
        <v>0.44030699999999995</v>
      </c>
      <c r="F35" s="77">
        <f t="shared" si="9"/>
        <v>1.5319919999999998</v>
      </c>
      <c r="G35" s="77">
        <f t="shared" si="5"/>
        <v>0.18984000000000001</v>
      </c>
      <c r="H35" s="77">
        <f t="shared" si="5"/>
        <v>0.44519999999999998</v>
      </c>
      <c r="I35" s="77">
        <f t="shared" si="5"/>
        <v>3.2214E-2</v>
      </c>
      <c r="J35" s="77">
        <f t="shared" si="5"/>
        <v>2.8140000000000001E-3</v>
      </c>
      <c r="K35" s="77">
        <f t="shared" si="5"/>
        <v>4.9559999999999995E-3</v>
      </c>
      <c r="L35" s="77">
        <f t="shared" si="5"/>
        <v>2.1294000000000004E-2</v>
      </c>
      <c r="M35" s="77">
        <f t="shared" si="5"/>
        <v>1.6841999999999999E-2</v>
      </c>
      <c r="N35" s="77">
        <f t="shared" si="5"/>
        <v>768.59999999999991</v>
      </c>
      <c r="O35" s="77">
        <f t="shared" si="5"/>
        <v>21.084000000000003</v>
      </c>
      <c r="P35" s="77">
        <f t="shared" si="5"/>
        <v>0</v>
      </c>
      <c r="Q35" s="77">
        <f t="shared" si="10"/>
        <v>94.39500000000001</v>
      </c>
      <c r="R35" s="77">
        <f t="shared" si="11"/>
        <v>0</v>
      </c>
      <c r="S35" s="77">
        <f t="shared" si="11"/>
        <v>0.16968</v>
      </c>
      <c r="T35" s="77">
        <f t="shared" si="11"/>
        <v>0</v>
      </c>
      <c r="U35" s="77">
        <f t="shared" si="11"/>
        <v>0</v>
      </c>
      <c r="AB35" s="59"/>
      <c r="AC35" s="59"/>
      <c r="AD35" s="59"/>
      <c r="AE35" s="59"/>
      <c r="AF35" s="59"/>
      <c r="AG35" s="59"/>
      <c r="AH35" s="59"/>
      <c r="AI35" s="59"/>
    </row>
    <row r="36" spans="1:35" s="72" customFormat="1" ht="13" x14ac:dyDescent="0.35">
      <c r="A36" s="13" t="str">
        <f>H8</f>
        <v>Woodstock 6</v>
      </c>
      <c r="B36" s="15">
        <v>250</v>
      </c>
      <c r="C36" s="77">
        <f t="shared" si="6"/>
        <v>40.361999999999995</v>
      </c>
      <c r="D36" s="77">
        <f t="shared" si="7"/>
        <v>4.2818789999999991</v>
      </c>
      <c r="E36" s="77">
        <f t="shared" si="8"/>
        <v>0.44030699999999995</v>
      </c>
      <c r="F36" s="77">
        <f t="shared" si="9"/>
        <v>1.5319919999999998</v>
      </c>
      <c r="G36" s="77">
        <f t="shared" si="5"/>
        <v>0.18984000000000001</v>
      </c>
      <c r="H36" s="77">
        <f t="shared" si="5"/>
        <v>0.44519999999999998</v>
      </c>
      <c r="I36" s="77">
        <f t="shared" si="5"/>
        <v>3.2214E-2</v>
      </c>
      <c r="J36" s="77">
        <f t="shared" si="5"/>
        <v>2.8140000000000001E-3</v>
      </c>
      <c r="K36" s="77">
        <f t="shared" si="5"/>
        <v>4.9559999999999995E-3</v>
      </c>
      <c r="L36" s="77">
        <f t="shared" si="5"/>
        <v>2.1294000000000004E-2</v>
      </c>
      <c r="M36" s="77">
        <f t="shared" si="5"/>
        <v>1.6841999999999999E-2</v>
      </c>
      <c r="N36" s="77">
        <f t="shared" si="5"/>
        <v>768.59999999999991</v>
      </c>
      <c r="O36" s="77">
        <f t="shared" si="5"/>
        <v>21.084000000000003</v>
      </c>
      <c r="P36" s="77">
        <f t="shared" si="5"/>
        <v>0</v>
      </c>
      <c r="Q36" s="77">
        <f t="shared" si="10"/>
        <v>94.39500000000001</v>
      </c>
      <c r="R36" s="77">
        <f t="shared" si="11"/>
        <v>0</v>
      </c>
      <c r="S36" s="77">
        <f t="shared" si="11"/>
        <v>0.16968</v>
      </c>
      <c r="T36" s="77">
        <f t="shared" si="11"/>
        <v>0</v>
      </c>
      <c r="U36" s="77">
        <f t="shared" si="11"/>
        <v>0</v>
      </c>
      <c r="AB36" s="59"/>
      <c r="AC36" s="59"/>
      <c r="AD36" s="59"/>
      <c r="AE36" s="59"/>
      <c r="AF36" s="59"/>
      <c r="AG36" s="59"/>
      <c r="AH36" s="59"/>
      <c r="AI36" s="59"/>
    </row>
    <row r="37" spans="1:35" s="72" customFormat="1" ht="13" x14ac:dyDescent="0.35">
      <c r="A37" s="13" t="str">
        <f>I8</f>
        <v>Woodstock 7</v>
      </c>
      <c r="B37" s="15">
        <v>250</v>
      </c>
      <c r="C37" s="77">
        <f t="shared" si="6"/>
        <v>40.361999999999995</v>
      </c>
      <c r="D37" s="77">
        <f t="shared" si="7"/>
        <v>4.2818789999999991</v>
      </c>
      <c r="E37" s="77">
        <f t="shared" si="8"/>
        <v>0.44030699999999995</v>
      </c>
      <c r="F37" s="77">
        <f t="shared" si="9"/>
        <v>1.5319919999999998</v>
      </c>
      <c r="G37" s="77">
        <f t="shared" si="5"/>
        <v>0.18984000000000001</v>
      </c>
      <c r="H37" s="77">
        <f t="shared" si="5"/>
        <v>0.44519999999999998</v>
      </c>
      <c r="I37" s="77">
        <f t="shared" si="5"/>
        <v>3.2214E-2</v>
      </c>
      <c r="J37" s="77">
        <f t="shared" si="5"/>
        <v>2.8140000000000001E-3</v>
      </c>
      <c r="K37" s="77">
        <f t="shared" si="5"/>
        <v>4.9559999999999995E-3</v>
      </c>
      <c r="L37" s="77">
        <f t="shared" si="5"/>
        <v>2.1294000000000004E-2</v>
      </c>
      <c r="M37" s="77">
        <f t="shared" si="5"/>
        <v>1.6841999999999999E-2</v>
      </c>
      <c r="N37" s="77">
        <f t="shared" si="5"/>
        <v>768.59999999999991</v>
      </c>
      <c r="O37" s="77">
        <f t="shared" si="5"/>
        <v>21.084000000000003</v>
      </c>
      <c r="P37" s="77">
        <f t="shared" si="5"/>
        <v>0</v>
      </c>
      <c r="Q37" s="77">
        <f t="shared" si="10"/>
        <v>94.39500000000001</v>
      </c>
      <c r="R37" s="77">
        <f t="shared" si="11"/>
        <v>0</v>
      </c>
      <c r="S37" s="77">
        <f t="shared" si="11"/>
        <v>0.16968</v>
      </c>
      <c r="T37" s="77">
        <f t="shared" si="11"/>
        <v>0</v>
      </c>
      <c r="U37" s="77">
        <f t="shared" si="11"/>
        <v>0</v>
      </c>
      <c r="AB37" s="59"/>
      <c r="AC37" s="59"/>
      <c r="AD37" s="59"/>
      <c r="AE37" s="59"/>
      <c r="AF37" s="59"/>
      <c r="AG37" s="59"/>
      <c r="AH37" s="59"/>
      <c r="AI37" s="59"/>
    </row>
    <row r="38" spans="1:35" s="72" customFormat="1" ht="13" x14ac:dyDescent="0.35">
      <c r="A38" s="13" t="str">
        <f>J8</f>
        <v>Woodstock 8</v>
      </c>
      <c r="B38" s="15">
        <v>250</v>
      </c>
      <c r="C38" s="77">
        <f t="shared" si="6"/>
        <v>40.361999999999995</v>
      </c>
      <c r="D38" s="77">
        <f t="shared" si="7"/>
        <v>4.2818789999999991</v>
      </c>
      <c r="E38" s="77">
        <f t="shared" si="8"/>
        <v>0.44030699999999995</v>
      </c>
      <c r="F38" s="77">
        <f t="shared" si="9"/>
        <v>1.5319919999999998</v>
      </c>
      <c r="G38" s="77">
        <f t="shared" si="5"/>
        <v>0.18984000000000001</v>
      </c>
      <c r="H38" s="77">
        <f t="shared" si="5"/>
        <v>0.44519999999999998</v>
      </c>
      <c r="I38" s="77">
        <f t="shared" si="5"/>
        <v>3.2214E-2</v>
      </c>
      <c r="J38" s="77">
        <f t="shared" si="5"/>
        <v>2.8140000000000001E-3</v>
      </c>
      <c r="K38" s="77">
        <f t="shared" si="5"/>
        <v>4.9559999999999995E-3</v>
      </c>
      <c r="L38" s="77">
        <f t="shared" si="5"/>
        <v>2.1294000000000004E-2</v>
      </c>
      <c r="M38" s="77">
        <f t="shared" si="5"/>
        <v>1.6841999999999999E-2</v>
      </c>
      <c r="N38" s="77">
        <f t="shared" si="5"/>
        <v>768.59999999999991</v>
      </c>
      <c r="O38" s="77">
        <f t="shared" si="5"/>
        <v>21.084000000000003</v>
      </c>
      <c r="P38" s="77">
        <f t="shared" si="5"/>
        <v>0</v>
      </c>
      <c r="Q38" s="77">
        <f t="shared" si="10"/>
        <v>94.39500000000001</v>
      </c>
      <c r="R38" s="77">
        <f t="shared" si="11"/>
        <v>0</v>
      </c>
      <c r="S38" s="77">
        <f t="shared" si="11"/>
        <v>0.16968</v>
      </c>
      <c r="T38" s="77">
        <f t="shared" si="11"/>
        <v>0</v>
      </c>
      <c r="U38" s="77">
        <f t="shared" si="11"/>
        <v>0</v>
      </c>
      <c r="AB38" s="59"/>
      <c r="AC38" s="59"/>
      <c r="AD38" s="59"/>
      <c r="AE38" s="59"/>
      <c r="AF38" s="59"/>
      <c r="AG38" s="59"/>
      <c r="AH38" s="59"/>
      <c r="AI38" s="59"/>
    </row>
    <row r="39" spans="1:35" s="72" customFormat="1" ht="13" x14ac:dyDescent="0.35">
      <c r="A39" s="13" t="str">
        <f>K8</f>
        <v>Woodstock 9</v>
      </c>
      <c r="B39" s="15">
        <v>250</v>
      </c>
      <c r="C39" s="77">
        <f t="shared" si="6"/>
        <v>40.361999999999995</v>
      </c>
      <c r="D39" s="77">
        <f t="shared" si="7"/>
        <v>4.2818789999999991</v>
      </c>
      <c r="E39" s="77">
        <f t="shared" si="8"/>
        <v>0.44030699999999995</v>
      </c>
      <c r="F39" s="77">
        <f t="shared" si="9"/>
        <v>1.5319919999999998</v>
      </c>
      <c r="G39" s="77">
        <f t="shared" si="5"/>
        <v>0.18984000000000001</v>
      </c>
      <c r="H39" s="77">
        <f t="shared" si="5"/>
        <v>0.44519999999999998</v>
      </c>
      <c r="I39" s="77">
        <f t="shared" si="5"/>
        <v>3.2214E-2</v>
      </c>
      <c r="J39" s="77">
        <f t="shared" si="5"/>
        <v>2.8140000000000001E-3</v>
      </c>
      <c r="K39" s="77">
        <f t="shared" si="5"/>
        <v>4.9559999999999995E-3</v>
      </c>
      <c r="L39" s="77">
        <f t="shared" si="5"/>
        <v>2.1294000000000004E-2</v>
      </c>
      <c r="M39" s="77">
        <f t="shared" si="5"/>
        <v>1.6841999999999999E-2</v>
      </c>
      <c r="N39" s="77">
        <f t="shared" si="5"/>
        <v>768.59999999999991</v>
      </c>
      <c r="O39" s="77">
        <f t="shared" si="5"/>
        <v>21.084000000000003</v>
      </c>
      <c r="P39" s="77">
        <f t="shared" si="5"/>
        <v>0</v>
      </c>
      <c r="Q39" s="77">
        <f t="shared" si="10"/>
        <v>94.39500000000001</v>
      </c>
      <c r="R39" s="77">
        <f t="shared" si="11"/>
        <v>0</v>
      </c>
      <c r="S39" s="77">
        <f t="shared" si="11"/>
        <v>0.16968</v>
      </c>
      <c r="T39" s="77">
        <f t="shared" si="11"/>
        <v>0</v>
      </c>
      <c r="U39" s="77">
        <f t="shared" si="11"/>
        <v>0</v>
      </c>
      <c r="AB39" s="59"/>
      <c r="AC39" s="59"/>
      <c r="AD39" s="59"/>
      <c r="AE39" s="59"/>
      <c r="AF39" s="59"/>
      <c r="AG39" s="59"/>
      <c r="AH39" s="59"/>
      <c r="AI39" s="59"/>
    </row>
    <row r="40" spans="1:35" s="72" customFormat="1" ht="13" x14ac:dyDescent="0.35">
      <c r="A40" s="13" t="str">
        <f>L8</f>
        <v>Woodstock 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Woodstock 11</v>
      </c>
      <c r="B41" s="15">
        <v>250</v>
      </c>
      <c r="C41" s="77">
        <f t="shared" si="6"/>
        <v>40.361999999999995</v>
      </c>
      <c r="D41" s="77">
        <f t="shared" si="7"/>
        <v>4.2818789999999991</v>
      </c>
      <c r="E41" s="77">
        <f t="shared" si="8"/>
        <v>0.44030699999999995</v>
      </c>
      <c r="F41" s="77">
        <f t="shared" si="9"/>
        <v>1.5319919999999998</v>
      </c>
      <c r="G41" s="77">
        <f t="shared" si="5"/>
        <v>0.18984000000000001</v>
      </c>
      <c r="H41" s="77">
        <f t="shared" si="5"/>
        <v>0.44519999999999998</v>
      </c>
      <c r="I41" s="77">
        <f t="shared" si="5"/>
        <v>3.2214E-2</v>
      </c>
      <c r="J41" s="77">
        <f t="shared" si="5"/>
        <v>2.8140000000000001E-3</v>
      </c>
      <c r="K41" s="77">
        <f t="shared" si="5"/>
        <v>4.9559999999999995E-3</v>
      </c>
      <c r="L41" s="77">
        <f t="shared" si="5"/>
        <v>2.1294000000000004E-2</v>
      </c>
      <c r="M41" s="77">
        <f t="shared" si="5"/>
        <v>1.6841999999999999E-2</v>
      </c>
      <c r="N41" s="77">
        <f t="shared" si="5"/>
        <v>768.59999999999991</v>
      </c>
      <c r="O41" s="77">
        <f t="shared" si="5"/>
        <v>21.084000000000003</v>
      </c>
      <c r="P41" s="77">
        <f t="shared" si="5"/>
        <v>0</v>
      </c>
      <c r="Q41" s="77">
        <f t="shared" si="10"/>
        <v>94.39500000000001</v>
      </c>
      <c r="R41" s="77">
        <f t="shared" si="11"/>
        <v>0</v>
      </c>
      <c r="S41" s="77">
        <f t="shared" si="11"/>
        <v>0.16968</v>
      </c>
      <c r="T41" s="77">
        <f t="shared" si="11"/>
        <v>0</v>
      </c>
      <c r="U41" s="77">
        <f t="shared" si="11"/>
        <v>0</v>
      </c>
      <c r="AB41" s="59"/>
      <c r="AC41" s="59"/>
      <c r="AD41" s="59"/>
      <c r="AE41" s="59"/>
      <c r="AF41" s="59"/>
      <c r="AG41" s="59"/>
      <c r="AH41" s="59"/>
      <c r="AI41" s="59"/>
    </row>
    <row r="42" spans="1:35" s="72" customFormat="1" ht="13" x14ac:dyDescent="0.35">
      <c r="A42" s="13" t="str">
        <f>N8</f>
        <v>Woodstock 12</v>
      </c>
      <c r="B42" s="15">
        <v>250</v>
      </c>
      <c r="C42" s="77">
        <f t="shared" si="6"/>
        <v>40.361999999999995</v>
      </c>
      <c r="D42" s="77">
        <f t="shared" si="7"/>
        <v>4.2818789999999991</v>
      </c>
      <c r="E42" s="77">
        <f t="shared" si="8"/>
        <v>0.44030699999999995</v>
      </c>
      <c r="F42" s="77">
        <f t="shared" si="9"/>
        <v>1.5319919999999998</v>
      </c>
      <c r="G42" s="77">
        <f t="shared" si="5"/>
        <v>0.18984000000000001</v>
      </c>
      <c r="H42" s="77">
        <f t="shared" si="5"/>
        <v>0.44519999999999998</v>
      </c>
      <c r="I42" s="77">
        <f t="shared" si="5"/>
        <v>3.2214E-2</v>
      </c>
      <c r="J42" s="77">
        <f t="shared" si="5"/>
        <v>2.8140000000000001E-3</v>
      </c>
      <c r="K42" s="77">
        <f t="shared" si="5"/>
        <v>4.9559999999999995E-3</v>
      </c>
      <c r="L42" s="77">
        <f t="shared" si="5"/>
        <v>2.1294000000000004E-2</v>
      </c>
      <c r="M42" s="77">
        <f t="shared" si="5"/>
        <v>1.6841999999999999E-2</v>
      </c>
      <c r="N42" s="77">
        <f t="shared" si="5"/>
        <v>768.59999999999991</v>
      </c>
      <c r="O42" s="77">
        <f t="shared" si="5"/>
        <v>21.084000000000003</v>
      </c>
      <c r="P42" s="77">
        <f t="shared" si="5"/>
        <v>0</v>
      </c>
      <c r="Q42" s="77">
        <f t="shared" si="10"/>
        <v>94.39500000000001</v>
      </c>
      <c r="R42" s="77">
        <f t="shared" si="11"/>
        <v>0</v>
      </c>
      <c r="S42" s="77">
        <f t="shared" si="11"/>
        <v>0.16968</v>
      </c>
      <c r="T42" s="77">
        <f t="shared" si="11"/>
        <v>0</v>
      </c>
      <c r="U42" s="77">
        <f t="shared" si="11"/>
        <v>0</v>
      </c>
      <c r="AB42" s="59"/>
      <c r="AC42" s="59"/>
      <c r="AD42" s="59"/>
      <c r="AE42" s="59"/>
      <c r="AF42" s="59"/>
      <c r="AG42" s="59"/>
      <c r="AH42" s="59"/>
      <c r="AI42" s="59"/>
    </row>
    <row r="43" spans="1:35" s="72" customFormat="1" ht="13" x14ac:dyDescent="0.35">
      <c r="A43" s="13" t="str">
        <f>O8</f>
        <v>Woodstock 13/14</v>
      </c>
      <c r="B43" s="15">
        <v>250</v>
      </c>
      <c r="C43" s="77">
        <f t="shared" si="6"/>
        <v>40.361999999999995</v>
      </c>
      <c r="D43" s="77">
        <f t="shared" si="7"/>
        <v>4.2818789999999991</v>
      </c>
      <c r="E43" s="77">
        <f t="shared" si="8"/>
        <v>0.44030699999999995</v>
      </c>
      <c r="F43" s="77">
        <f t="shared" si="9"/>
        <v>1.5319919999999998</v>
      </c>
      <c r="G43" s="77">
        <f t="shared" si="5"/>
        <v>0.18984000000000001</v>
      </c>
      <c r="H43" s="77">
        <f t="shared" si="5"/>
        <v>0.44519999999999998</v>
      </c>
      <c r="I43" s="77">
        <f t="shared" si="5"/>
        <v>3.2214E-2</v>
      </c>
      <c r="J43" s="77">
        <f t="shared" si="5"/>
        <v>2.8140000000000001E-3</v>
      </c>
      <c r="K43" s="77">
        <f t="shared" si="5"/>
        <v>4.9559999999999995E-3</v>
      </c>
      <c r="L43" s="77">
        <f t="shared" si="5"/>
        <v>2.1294000000000004E-2</v>
      </c>
      <c r="M43" s="77">
        <f t="shared" si="5"/>
        <v>1.6841999999999999E-2</v>
      </c>
      <c r="N43" s="77">
        <f t="shared" si="5"/>
        <v>768.59999999999991</v>
      </c>
      <c r="O43" s="77">
        <f t="shared" si="5"/>
        <v>21.084000000000003</v>
      </c>
      <c r="P43" s="77">
        <f t="shared" si="5"/>
        <v>0</v>
      </c>
      <c r="Q43" s="77">
        <f t="shared" si="10"/>
        <v>94.39500000000001</v>
      </c>
      <c r="R43" s="77">
        <f t="shared" si="11"/>
        <v>0</v>
      </c>
      <c r="S43" s="77">
        <f t="shared" si="11"/>
        <v>0.16968</v>
      </c>
      <c r="T43" s="77">
        <f t="shared" si="11"/>
        <v>0</v>
      </c>
      <c r="U43" s="77">
        <f t="shared" si="11"/>
        <v>0</v>
      </c>
      <c r="AB43" s="59"/>
      <c r="AC43" s="59"/>
      <c r="AD43" s="59"/>
      <c r="AE43" s="59"/>
      <c r="AF43" s="59"/>
      <c r="AG43" s="59"/>
      <c r="AH43" s="59"/>
      <c r="AI43" s="59"/>
    </row>
    <row r="44" spans="1:35" s="72" customFormat="1" ht="13" x14ac:dyDescent="0.35">
      <c r="A44" s="13" t="str">
        <f>P8</f>
        <v>Gwarcoed 16</v>
      </c>
      <c r="B44" s="15">
        <v>250</v>
      </c>
      <c r="C44" s="77">
        <f t="shared" si="6"/>
        <v>40.361999999999995</v>
      </c>
      <c r="D44" s="77">
        <f t="shared" si="7"/>
        <v>4.2818789999999991</v>
      </c>
      <c r="E44" s="77">
        <f t="shared" si="8"/>
        <v>0.44030699999999995</v>
      </c>
      <c r="F44" s="77">
        <f t="shared" si="9"/>
        <v>1.5319919999999998</v>
      </c>
      <c r="G44" s="77">
        <f t="shared" si="5"/>
        <v>0.18984000000000001</v>
      </c>
      <c r="H44" s="77">
        <f t="shared" si="5"/>
        <v>0.44519999999999998</v>
      </c>
      <c r="I44" s="77">
        <f t="shared" si="5"/>
        <v>3.2214E-2</v>
      </c>
      <c r="J44" s="77">
        <f t="shared" si="5"/>
        <v>2.8140000000000001E-3</v>
      </c>
      <c r="K44" s="77">
        <f t="shared" si="5"/>
        <v>4.9559999999999995E-3</v>
      </c>
      <c r="L44" s="77">
        <f t="shared" si="5"/>
        <v>2.1294000000000004E-2</v>
      </c>
      <c r="M44" s="77">
        <f t="shared" si="5"/>
        <v>1.6841999999999999E-2</v>
      </c>
      <c r="N44" s="77">
        <f t="shared" si="5"/>
        <v>768.59999999999991</v>
      </c>
      <c r="O44" s="77">
        <f t="shared" si="5"/>
        <v>21.084000000000003</v>
      </c>
      <c r="P44" s="77">
        <f t="shared" si="5"/>
        <v>0</v>
      </c>
      <c r="Q44" s="77">
        <f t="shared" si="10"/>
        <v>94.39500000000001</v>
      </c>
      <c r="R44" s="77">
        <f t="shared" si="11"/>
        <v>0</v>
      </c>
      <c r="S44" s="77">
        <f t="shared" si="11"/>
        <v>0.16968</v>
      </c>
      <c r="T44" s="77">
        <f t="shared" si="11"/>
        <v>0</v>
      </c>
      <c r="U44" s="77">
        <f t="shared" si="11"/>
        <v>0</v>
      </c>
      <c r="AB44" s="59"/>
      <c r="AC44" s="59"/>
      <c r="AD44" s="59"/>
      <c r="AE44" s="59"/>
      <c r="AF44" s="59"/>
      <c r="AG44" s="59"/>
      <c r="AH44" s="59"/>
      <c r="AI44" s="59"/>
    </row>
    <row r="45" spans="1:35" s="72" customFormat="1" ht="13" x14ac:dyDescent="0.35">
      <c r="A45" s="13" t="str">
        <f>Q8</f>
        <v>Gwarcoed 17</v>
      </c>
      <c r="B45" s="15">
        <v>250</v>
      </c>
      <c r="C45" s="77">
        <f t="shared" si="6"/>
        <v>40.361999999999995</v>
      </c>
      <c r="D45" s="77">
        <f t="shared" si="7"/>
        <v>4.2818789999999991</v>
      </c>
      <c r="E45" s="77">
        <f t="shared" si="8"/>
        <v>0.44030699999999995</v>
      </c>
      <c r="F45" s="77">
        <f t="shared" si="9"/>
        <v>1.5319919999999998</v>
      </c>
      <c r="G45" s="77">
        <f t="shared" si="5"/>
        <v>0.18984000000000001</v>
      </c>
      <c r="H45" s="77">
        <f t="shared" si="5"/>
        <v>0.44519999999999998</v>
      </c>
      <c r="I45" s="77">
        <f t="shared" si="5"/>
        <v>3.2214E-2</v>
      </c>
      <c r="J45" s="77">
        <f t="shared" si="5"/>
        <v>2.8140000000000001E-3</v>
      </c>
      <c r="K45" s="77">
        <f t="shared" si="5"/>
        <v>4.9559999999999995E-3</v>
      </c>
      <c r="L45" s="77">
        <f t="shared" si="5"/>
        <v>2.1294000000000004E-2</v>
      </c>
      <c r="M45" s="77">
        <f t="shared" si="5"/>
        <v>1.6841999999999999E-2</v>
      </c>
      <c r="N45" s="77">
        <f t="shared" si="5"/>
        <v>768.59999999999991</v>
      </c>
      <c r="O45" s="77">
        <f t="shared" si="5"/>
        <v>21.084000000000003</v>
      </c>
      <c r="P45" s="77">
        <f t="shared" si="5"/>
        <v>0</v>
      </c>
      <c r="Q45" s="77">
        <f t="shared" si="10"/>
        <v>94.39500000000001</v>
      </c>
      <c r="R45" s="77">
        <f t="shared" si="11"/>
        <v>0</v>
      </c>
      <c r="S45" s="77">
        <f t="shared" si="11"/>
        <v>0.16968</v>
      </c>
      <c r="T45" s="77">
        <f t="shared" si="11"/>
        <v>0</v>
      </c>
      <c r="U45" s="77">
        <f t="shared" si="11"/>
        <v>0</v>
      </c>
      <c r="AB45" s="59"/>
      <c r="AC45" s="59"/>
      <c r="AD45" s="59"/>
      <c r="AE45" s="59"/>
      <c r="AF45" s="59"/>
      <c r="AG45" s="59"/>
      <c r="AH45" s="59"/>
      <c r="AI45" s="59"/>
    </row>
    <row r="46" spans="1:35" s="72" customFormat="1" ht="13" x14ac:dyDescent="0.35">
      <c r="A46" s="13" t="str">
        <f>R8</f>
        <v>Gwarcoed 19</v>
      </c>
      <c r="B46" s="15">
        <v>250</v>
      </c>
      <c r="C46" s="77">
        <f t="shared" si="6"/>
        <v>40.361999999999995</v>
      </c>
      <c r="D46" s="77">
        <f t="shared" si="7"/>
        <v>4.2818789999999991</v>
      </c>
      <c r="E46" s="77">
        <f t="shared" si="8"/>
        <v>0.44030699999999995</v>
      </c>
      <c r="F46" s="77">
        <f t="shared" si="9"/>
        <v>1.5319919999999998</v>
      </c>
      <c r="G46" s="77">
        <f t="shared" si="5"/>
        <v>0.18984000000000001</v>
      </c>
      <c r="H46" s="77">
        <f t="shared" si="5"/>
        <v>0.44519999999999998</v>
      </c>
      <c r="I46" s="77">
        <f t="shared" si="5"/>
        <v>3.2214E-2</v>
      </c>
      <c r="J46" s="77">
        <f t="shared" si="5"/>
        <v>2.8140000000000001E-3</v>
      </c>
      <c r="K46" s="77">
        <f t="shared" si="5"/>
        <v>4.9559999999999995E-3</v>
      </c>
      <c r="L46" s="77">
        <f t="shared" si="5"/>
        <v>2.1294000000000004E-2</v>
      </c>
      <c r="M46" s="77">
        <f t="shared" si="5"/>
        <v>1.6841999999999999E-2</v>
      </c>
      <c r="N46" s="77">
        <f t="shared" si="5"/>
        <v>768.59999999999991</v>
      </c>
      <c r="O46" s="77">
        <f t="shared" si="5"/>
        <v>21.084000000000003</v>
      </c>
      <c r="P46" s="77">
        <f t="shared" si="5"/>
        <v>0</v>
      </c>
      <c r="Q46" s="77">
        <f t="shared" si="10"/>
        <v>94.39500000000001</v>
      </c>
      <c r="R46" s="77">
        <f t="shared" si="11"/>
        <v>0</v>
      </c>
      <c r="S46" s="77">
        <f t="shared" si="11"/>
        <v>0.16968</v>
      </c>
      <c r="T46" s="77">
        <f t="shared" si="11"/>
        <v>0</v>
      </c>
      <c r="U46" s="77">
        <f t="shared" si="11"/>
        <v>0</v>
      </c>
      <c r="AB46" s="59"/>
      <c r="AC46" s="59"/>
      <c r="AD46" s="59"/>
      <c r="AE46" s="59"/>
      <c r="AF46" s="59"/>
      <c r="AG46" s="59"/>
      <c r="AH46" s="59"/>
      <c r="AI46" s="59"/>
    </row>
    <row r="47" spans="1:35" s="72" customFormat="1" ht="13" x14ac:dyDescent="0.35">
      <c r="A47" s="13" t="str">
        <f>S8</f>
        <v>Gwarcoed 22</v>
      </c>
      <c r="B47" s="15">
        <v>250</v>
      </c>
      <c r="C47" s="77">
        <f t="shared" si="6"/>
        <v>40.361999999999995</v>
      </c>
      <c r="D47" s="77">
        <f t="shared" si="7"/>
        <v>4.2818789999999991</v>
      </c>
      <c r="E47" s="77">
        <f t="shared" si="8"/>
        <v>0.44030699999999995</v>
      </c>
      <c r="F47" s="77">
        <f t="shared" si="9"/>
        <v>1.5319919999999998</v>
      </c>
      <c r="G47" s="77">
        <f t="shared" ref="G47:P50" si="12">IF(G$27="%w/w SAR",((G$28*10)*$B47),IF(G$27="%w/w DM",(((G$28*10)*($B$28/100))*$B47),IF(G$27="kg/t SAR",(G$28*$B47),IF(G$27="kg/t DM",((G$28*($B$28/100))*$B47),IF(G$27="mg/kg SAR",((G$28*0.001)*$B47),IF(G$27="mg/kg DM",(((G$28*0.001)*($B$28/100))*$B47),0))))))</f>
        <v>0.18984000000000001</v>
      </c>
      <c r="H47" s="77">
        <f t="shared" si="12"/>
        <v>0.44519999999999998</v>
      </c>
      <c r="I47" s="77">
        <f t="shared" si="12"/>
        <v>3.2214E-2</v>
      </c>
      <c r="J47" s="77">
        <f t="shared" si="12"/>
        <v>2.8140000000000001E-3</v>
      </c>
      <c r="K47" s="77">
        <f t="shared" si="12"/>
        <v>4.9559999999999995E-3</v>
      </c>
      <c r="L47" s="77">
        <f t="shared" si="12"/>
        <v>2.1294000000000004E-2</v>
      </c>
      <c r="M47" s="77">
        <f t="shared" si="12"/>
        <v>1.6841999999999999E-2</v>
      </c>
      <c r="N47" s="77">
        <f t="shared" si="12"/>
        <v>768.59999999999991</v>
      </c>
      <c r="O47" s="77">
        <f t="shared" si="12"/>
        <v>21.084000000000003</v>
      </c>
      <c r="P47" s="77">
        <f t="shared" si="12"/>
        <v>0</v>
      </c>
      <c r="Q47" s="77">
        <f t="shared" si="10"/>
        <v>94.39500000000001</v>
      </c>
      <c r="R47" s="77">
        <f t="shared" si="11"/>
        <v>0</v>
      </c>
      <c r="S47" s="77">
        <f t="shared" si="11"/>
        <v>0.16968</v>
      </c>
      <c r="T47" s="77">
        <f t="shared" si="11"/>
        <v>0</v>
      </c>
      <c r="U47" s="77">
        <f t="shared" si="11"/>
        <v>0</v>
      </c>
      <c r="AB47" s="59"/>
      <c r="AC47" s="59"/>
      <c r="AD47" s="59"/>
      <c r="AE47" s="59"/>
      <c r="AF47" s="59"/>
      <c r="AG47" s="59"/>
      <c r="AH47" s="59"/>
      <c r="AI47" s="59"/>
    </row>
    <row r="48" spans="1:35" s="72" customFormat="1" ht="13" x14ac:dyDescent="0.35">
      <c r="A48" s="13" t="str">
        <f>T8</f>
        <v>Gwarcoed 23</v>
      </c>
      <c r="B48" s="15">
        <v>250</v>
      </c>
      <c r="C48" s="77">
        <f t="shared" si="6"/>
        <v>40.361999999999995</v>
      </c>
      <c r="D48" s="77">
        <f t="shared" si="7"/>
        <v>4.2818789999999991</v>
      </c>
      <c r="E48" s="77">
        <f t="shared" si="8"/>
        <v>0.44030699999999995</v>
      </c>
      <c r="F48" s="77">
        <f t="shared" si="9"/>
        <v>1.5319919999999998</v>
      </c>
      <c r="G48" s="77">
        <f t="shared" si="12"/>
        <v>0.18984000000000001</v>
      </c>
      <c r="H48" s="77">
        <f t="shared" si="12"/>
        <v>0.44519999999999998</v>
      </c>
      <c r="I48" s="77">
        <f t="shared" si="12"/>
        <v>3.2214E-2</v>
      </c>
      <c r="J48" s="77">
        <f t="shared" si="12"/>
        <v>2.8140000000000001E-3</v>
      </c>
      <c r="K48" s="77">
        <f t="shared" si="12"/>
        <v>4.9559999999999995E-3</v>
      </c>
      <c r="L48" s="77">
        <f t="shared" si="12"/>
        <v>2.1294000000000004E-2</v>
      </c>
      <c r="M48" s="77">
        <f t="shared" si="12"/>
        <v>1.6841999999999999E-2</v>
      </c>
      <c r="N48" s="77">
        <f t="shared" si="12"/>
        <v>768.59999999999991</v>
      </c>
      <c r="O48" s="77">
        <f t="shared" si="12"/>
        <v>21.084000000000003</v>
      </c>
      <c r="P48" s="77">
        <f t="shared" si="12"/>
        <v>0</v>
      </c>
      <c r="Q48" s="77">
        <f t="shared" si="10"/>
        <v>94.39500000000001</v>
      </c>
      <c r="R48" s="77">
        <f t="shared" si="11"/>
        <v>0</v>
      </c>
      <c r="S48" s="77">
        <f t="shared" si="11"/>
        <v>0.16968</v>
      </c>
      <c r="T48" s="77">
        <f t="shared" si="11"/>
        <v>0</v>
      </c>
      <c r="U48" s="77">
        <f t="shared" si="11"/>
        <v>0</v>
      </c>
      <c r="AB48" s="59"/>
      <c r="AC48" s="59"/>
      <c r="AD48" s="59"/>
      <c r="AE48" s="59"/>
      <c r="AF48" s="59"/>
      <c r="AG48" s="59"/>
      <c r="AH48" s="59"/>
      <c r="AI48" s="59"/>
    </row>
    <row r="49" spans="1:35" s="72" customFormat="1" ht="13" x14ac:dyDescent="0.35">
      <c r="A49" s="13" t="str">
        <f>U8</f>
        <v>Gwarcoed 24</v>
      </c>
      <c r="B49" s="15">
        <v>250</v>
      </c>
      <c r="C49" s="77">
        <f t="shared" si="6"/>
        <v>40.361999999999995</v>
      </c>
      <c r="D49" s="77">
        <f t="shared" si="7"/>
        <v>4.2818789999999991</v>
      </c>
      <c r="E49" s="77">
        <f t="shared" si="8"/>
        <v>0.44030699999999995</v>
      </c>
      <c r="F49" s="77">
        <f t="shared" si="9"/>
        <v>1.5319919999999998</v>
      </c>
      <c r="G49" s="77">
        <f t="shared" si="12"/>
        <v>0.18984000000000001</v>
      </c>
      <c r="H49" s="77">
        <f t="shared" si="12"/>
        <v>0.44519999999999998</v>
      </c>
      <c r="I49" s="77">
        <f t="shared" si="12"/>
        <v>3.2214E-2</v>
      </c>
      <c r="J49" s="77">
        <f t="shared" si="12"/>
        <v>2.8140000000000001E-3</v>
      </c>
      <c r="K49" s="77">
        <f t="shared" si="12"/>
        <v>4.9559999999999995E-3</v>
      </c>
      <c r="L49" s="77">
        <f t="shared" si="12"/>
        <v>2.1294000000000004E-2</v>
      </c>
      <c r="M49" s="77">
        <f t="shared" si="12"/>
        <v>1.6841999999999999E-2</v>
      </c>
      <c r="N49" s="77">
        <f t="shared" si="12"/>
        <v>768.59999999999991</v>
      </c>
      <c r="O49" s="77">
        <f t="shared" si="12"/>
        <v>21.084000000000003</v>
      </c>
      <c r="P49" s="77">
        <f t="shared" si="12"/>
        <v>0</v>
      </c>
      <c r="Q49" s="77">
        <f t="shared" si="10"/>
        <v>94.39500000000001</v>
      </c>
      <c r="R49" s="77">
        <f t="shared" si="11"/>
        <v>0</v>
      </c>
      <c r="S49" s="77">
        <f t="shared" si="11"/>
        <v>0.16968</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"&amp;(VLOOKUP(C14,Table2458[],6,FALSE))</f>
        <v>0 I Grass</v>
      </c>
      <c r="C58" s="13" t="str">
        <f>D16&amp;" I "&amp;(VLOOKUP(D14,Table2458[],6,FALSE))</f>
        <v>0 I Grass</v>
      </c>
      <c r="D58" s="13" t="str">
        <f>E16&amp;" I "&amp;(VLOOKUP(E14,Table2458[],6,FALSE))</f>
        <v>0 I Grass</v>
      </c>
      <c r="E58" s="13" t="str">
        <f>F16&amp;" I "&amp;(VLOOKUP(F14,Table2458[],6,FALSE))</f>
        <v>0 I Grass</v>
      </c>
      <c r="F58" s="13" t="str">
        <f>G16&amp;" I "&amp;(VLOOKUP(G14,Table2458[],6,FALSE))</f>
        <v>0 I Grass</v>
      </c>
      <c r="G58" s="13" t="str">
        <f>H16&amp;" I "&amp;(VLOOKUP(H14,Table2458[],6,FALSE))</f>
        <v>0 I Grass</v>
      </c>
      <c r="H58" s="13" t="str">
        <f>I16&amp;" I "&amp;(VLOOKUP(I14,Table2458[],6,FALSE))</f>
        <v>0 I Arable</v>
      </c>
      <c r="I58" s="13" t="str">
        <f>J16&amp;" I "&amp;(VLOOKUP(J14,Table2458[],6,FALSE))</f>
        <v>0 I Grass</v>
      </c>
      <c r="J58" s="13" t="str">
        <f>K16&amp;" I "&amp;(VLOOKUP(K14,Table2458[],6,FALSE))</f>
        <v>0 I Grass</v>
      </c>
      <c r="K58" s="13" t="str">
        <f>L16&amp;" I "&amp;(VLOOKUP(L14,Table2458[],6,FALSE))</f>
        <v>0 I Grass</v>
      </c>
      <c r="L58" s="13" t="str">
        <f>M16&amp;" I "&amp;(VLOOKUP(M14,Table2458[],6,FALSE))</f>
        <v>0 I Grass</v>
      </c>
      <c r="M58" s="13" t="str">
        <f>N16&amp;" I "&amp;(VLOOKUP(N14,Table2458[],6,FALSE))</f>
        <v>0 I Grass</v>
      </c>
      <c r="N58" s="13" t="str">
        <f>O16&amp;" I "&amp;(VLOOKUP(O14,Table2458[],6,FALSE))</f>
        <v>0 I Arable</v>
      </c>
      <c r="O58" s="13" t="str">
        <f>P16&amp;" I "&amp;(VLOOKUP(P14,Table2458[],6,FALSE))</f>
        <v>0 I Grass</v>
      </c>
      <c r="P58" s="13" t="str">
        <f>Q16&amp;" I "&amp;(VLOOKUP(Q14,Table2458[],6,FALSE))</f>
        <v>0 I Grass</v>
      </c>
      <c r="Q58" s="13" t="str">
        <f>R16&amp;" I "&amp;(VLOOKUP(R14,Table2458[],6,FALSE))</f>
        <v>0 I Grass</v>
      </c>
      <c r="R58" s="13" t="str">
        <f>S16&amp;" I "&amp;(VLOOKUP(S14,Table2458[],6,FALSE))</f>
        <v>0 I Grass</v>
      </c>
      <c r="S58" s="13" t="str">
        <f>T16&amp;" I "&amp;(VLOOKUP(T14,Table2458[],6,FALSE))</f>
        <v>0 I Grass</v>
      </c>
      <c r="T58" s="13" t="str">
        <f>U16&amp;" I "&amp;(VLOOKUP(U14,Table2458[],6,FALSE))</f>
        <v>0 I Grass</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6.7</v>
      </c>
      <c r="I59" s="76">
        <f>VLOOKUP(J$14,Table2458[],5,FALSE)</f>
        <v>6.2</v>
      </c>
      <c r="J59" s="76">
        <f>VLOOKUP(K$14,Table2458[],5,FALSE)</f>
        <v>6.2</v>
      </c>
      <c r="K59" s="76">
        <f>VLOOKUP(L$14,Table2458[],5,FALSE)</f>
        <v>6.2</v>
      </c>
      <c r="L59" s="76">
        <f>VLOOKUP(M$14,Table2458[],5,FALSE)</f>
        <v>6.2</v>
      </c>
      <c r="M59" s="76">
        <f>VLOOKUP(N$14,Table2458[],5,FALSE)</f>
        <v>6.2</v>
      </c>
      <c r="N59" s="76">
        <f>VLOOKUP(O$14,Table2458[],5,FALSE)</f>
        <v>6.7</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t="e">
        <f>VLOOKUP(V$14,Table2458[],5,FALSE)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0</v>
      </c>
      <c r="L62" s="77">
        <f>B41</f>
        <v>250</v>
      </c>
      <c r="M62" s="77">
        <f>B42</f>
        <v>250</v>
      </c>
      <c r="N62" s="77">
        <f>B43</f>
        <v>250</v>
      </c>
      <c r="O62" s="77">
        <f>B44</f>
        <v>250</v>
      </c>
      <c r="P62" s="77">
        <f>B45</f>
        <v>250</v>
      </c>
      <c r="Q62" s="77">
        <f>B46</f>
        <v>250</v>
      </c>
      <c r="R62" s="77">
        <f>B47</f>
        <v>250</v>
      </c>
      <c r="S62" s="77">
        <f>B48</f>
        <v>250</v>
      </c>
      <c r="T62" s="77">
        <f>B49</f>
        <v>250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O21"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6.4</v>
      </c>
      <c r="J1" s="119" t="s">
        <v>153</v>
      </c>
      <c r="K1" s="119"/>
      <c r="L1" s="97">
        <v>45.3</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1.33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104</v>
      </c>
      <c r="G3" s="119" t="s">
        <v>159</v>
      </c>
      <c r="H3" s="119"/>
      <c r="I3" s="118"/>
      <c r="J3" s="120" t="s">
        <v>154</v>
      </c>
      <c r="K3" s="121"/>
      <c r="L3" s="97">
        <f>(L1/(L2*10000))*100</f>
        <v>0.34060150375939846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166</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61.068896000000009</v>
      </c>
      <c r="D18" s="16">
        <f>$D32</f>
        <v>61.068896000000009</v>
      </c>
      <c r="E18" s="16">
        <f>$D33</f>
        <v>61.068896000000009</v>
      </c>
      <c r="F18" s="16">
        <f>$D34</f>
        <v>61.068896000000009</v>
      </c>
      <c r="G18" s="16">
        <f>$D35</f>
        <v>61.068896000000009</v>
      </c>
      <c r="H18" s="16">
        <f>$D36</f>
        <v>61.068896000000009</v>
      </c>
      <c r="I18" s="16">
        <f>$D37</f>
        <v>45.038310800000005</v>
      </c>
      <c r="J18" s="16">
        <f>$D38</f>
        <v>61.068896000000009</v>
      </c>
      <c r="K18" s="16">
        <f>$D39</f>
        <v>61.068896000000009</v>
      </c>
      <c r="L18" s="16">
        <f>$D40</f>
        <v>0</v>
      </c>
      <c r="M18" s="16">
        <f>$D41</f>
        <v>61.068896000000009</v>
      </c>
      <c r="N18" s="16">
        <f>$D42</f>
        <v>61.068896000000009</v>
      </c>
      <c r="O18" s="16">
        <f>$D43</f>
        <v>45.038310800000005</v>
      </c>
      <c r="P18" s="16">
        <f>$D44</f>
        <v>61.068896000000009</v>
      </c>
      <c r="Q18" s="16">
        <f>$D45</f>
        <v>61.068896000000009</v>
      </c>
      <c r="R18" s="16">
        <f>$D46</f>
        <v>61.068896000000009</v>
      </c>
      <c r="S18" s="16">
        <f>$D47</f>
        <v>61.068896000000009</v>
      </c>
      <c r="T18" s="16">
        <f>$D48</f>
        <v>61.068896000000009</v>
      </c>
      <c r="U18" s="16">
        <f>$D49</f>
        <v>61.068896000000009</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-18.831103999999982</v>
      </c>
      <c r="D19" s="16">
        <f t="shared" ref="D19:V19" si="1">D18-D17</f>
        <v>-18.831103999999982</v>
      </c>
      <c r="E19" s="16">
        <f t="shared" si="1"/>
        <v>-18.831103999999982</v>
      </c>
      <c r="F19" s="16">
        <f t="shared" si="1"/>
        <v>-18.831103999999982</v>
      </c>
      <c r="G19" s="16">
        <f t="shared" si="1"/>
        <v>-18.831103999999982</v>
      </c>
      <c r="H19" s="16">
        <f t="shared" si="1"/>
        <v>-18.831103999999982</v>
      </c>
      <c r="I19" s="16">
        <f t="shared" si="1"/>
        <v>-167.4616892</v>
      </c>
      <c r="J19" s="16">
        <f t="shared" si="1"/>
        <v>-18.831103999999982</v>
      </c>
      <c r="K19" s="16">
        <f t="shared" si="1"/>
        <v>-18.831103999999982</v>
      </c>
      <c r="L19" s="16">
        <f t="shared" si="1"/>
        <v>-79.899999999999991</v>
      </c>
      <c r="M19" s="16">
        <f t="shared" si="1"/>
        <v>-18.831103999999982</v>
      </c>
      <c r="N19" s="16">
        <f t="shared" si="1"/>
        <v>-18.831103999999982</v>
      </c>
      <c r="O19" s="16">
        <f t="shared" si="1"/>
        <v>-167.4616892</v>
      </c>
      <c r="P19" s="16">
        <f t="shared" si="1"/>
        <v>-18.831103999999982</v>
      </c>
      <c r="Q19" s="16">
        <f t="shared" si="1"/>
        <v>-18.831103999999982</v>
      </c>
      <c r="R19" s="16">
        <f t="shared" si="1"/>
        <v>-18.831103999999982</v>
      </c>
      <c r="S19" s="16">
        <f t="shared" si="1"/>
        <v>-18.831103999999982</v>
      </c>
      <c r="T19" s="16">
        <f t="shared" si="1"/>
        <v>-18.831103999999982</v>
      </c>
      <c r="U19" s="16">
        <f t="shared" si="1"/>
        <v>-18.831103999999982</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2.1894368000000002</v>
      </c>
      <c r="D22" s="16">
        <f>$E32</f>
        <v>2.1894368000000002</v>
      </c>
      <c r="E22" s="16">
        <f>$E33</f>
        <v>2.1894368000000002</v>
      </c>
      <c r="F22" s="16">
        <f>$E34</f>
        <v>2.1894368000000002</v>
      </c>
      <c r="G22" s="16">
        <f>$E35</f>
        <v>2.1894368000000002</v>
      </c>
      <c r="H22" s="16">
        <f>$E36</f>
        <v>2.1894368000000002</v>
      </c>
      <c r="I22" s="16">
        <f>$E37</f>
        <v>1.6147096399999998</v>
      </c>
      <c r="J22" s="16">
        <f>$E38</f>
        <v>2.1894368000000002</v>
      </c>
      <c r="K22" s="16">
        <f>$E39</f>
        <v>2.1894368000000002</v>
      </c>
      <c r="L22" s="16">
        <f>$E40</f>
        <v>0</v>
      </c>
      <c r="M22" s="16">
        <f>$E41</f>
        <v>2.1894368000000002</v>
      </c>
      <c r="N22" s="16">
        <f>$E42</f>
        <v>2.1894368000000002</v>
      </c>
      <c r="O22" s="16">
        <f>$E43</f>
        <v>1.6147096399999998</v>
      </c>
      <c r="P22" s="16">
        <f>$E44</f>
        <v>2.1894368000000002</v>
      </c>
      <c r="Q22" s="16">
        <f>$E45</f>
        <v>2.1894368000000002</v>
      </c>
      <c r="R22" s="16">
        <f>$E46</f>
        <v>2.1894368000000002</v>
      </c>
      <c r="S22" s="16">
        <f>$E47</f>
        <v>2.1894368000000002</v>
      </c>
      <c r="T22" s="16">
        <f>$E48</f>
        <v>2.1894368000000002</v>
      </c>
      <c r="U22" s="16">
        <f>$E49</f>
        <v>2.1894368000000002</v>
      </c>
      <c r="V22" s="16">
        <f>$E50</f>
        <v>0</v>
      </c>
      <c r="AI22" s="63" t="s">
        <v>102</v>
      </c>
      <c r="AJ22" s="64">
        <v>1.2</v>
      </c>
      <c r="AK22" s="65">
        <v>5</v>
      </c>
      <c r="AL22" s="29">
        <v>20</v>
      </c>
      <c r="AM22" s="11">
        <v>6.7</v>
      </c>
      <c r="AN22" s="11" t="s">
        <v>135</v>
      </c>
    </row>
    <row r="23" spans="1:40" ht="13" x14ac:dyDescent="0.25">
      <c r="A23" s="124" t="s">
        <v>92</v>
      </c>
      <c r="B23" s="125"/>
      <c r="C23" s="16">
        <f>C22-C21</f>
        <v>-279.81056319999999</v>
      </c>
      <c r="D23" s="16">
        <f t="shared" ref="D23:V23" si="3">D22-D21</f>
        <v>-279.81056319999999</v>
      </c>
      <c r="E23" s="16">
        <f t="shared" si="3"/>
        <v>-279.81056319999999</v>
      </c>
      <c r="F23" s="16">
        <f t="shared" si="3"/>
        <v>-279.81056319999999</v>
      </c>
      <c r="G23" s="16">
        <f t="shared" si="3"/>
        <v>-279.81056319999999</v>
      </c>
      <c r="H23" s="16">
        <f t="shared" si="3"/>
        <v>-279.81056319999999</v>
      </c>
      <c r="I23" s="16">
        <f t="shared" si="3"/>
        <v>-298.38529036</v>
      </c>
      <c r="J23" s="16">
        <f t="shared" si="3"/>
        <v>-279.81056319999999</v>
      </c>
      <c r="K23" s="16">
        <f t="shared" si="3"/>
        <v>-279.81056319999999</v>
      </c>
      <c r="L23" s="16">
        <f t="shared" si="3"/>
        <v>-282</v>
      </c>
      <c r="M23" s="16">
        <f t="shared" si="3"/>
        <v>-279.81056319999999</v>
      </c>
      <c r="N23" s="16">
        <f t="shared" si="3"/>
        <v>-279.81056319999999</v>
      </c>
      <c r="O23" s="16">
        <f t="shared" si="3"/>
        <v>-298.38529036</v>
      </c>
      <c r="P23" s="16">
        <f t="shared" si="3"/>
        <v>-279.81056319999999</v>
      </c>
      <c r="Q23" s="16">
        <f t="shared" si="3"/>
        <v>-279.81056319999999</v>
      </c>
      <c r="R23" s="16">
        <f t="shared" si="3"/>
        <v>-279.81056319999999</v>
      </c>
      <c r="S23" s="16">
        <f t="shared" si="3"/>
        <v>-279.81056319999999</v>
      </c>
      <c r="T23" s="16">
        <f t="shared" si="3"/>
        <v>-279.81056319999999</v>
      </c>
      <c r="U23" s="16">
        <f t="shared" si="3"/>
        <v>-279.81056319999999</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13.6</v>
      </c>
      <c r="C28" s="15">
        <v>1.33</v>
      </c>
      <c r="D28" s="15">
        <v>0.245</v>
      </c>
      <c r="E28" s="15">
        <v>1.67E-2</v>
      </c>
      <c r="F28" s="15">
        <v>226</v>
      </c>
      <c r="G28" s="15">
        <v>21</v>
      </c>
      <c r="H28" s="15">
        <v>79.599999999999994</v>
      </c>
      <c r="I28" s="15">
        <v>31</v>
      </c>
      <c r="J28" s="15">
        <v>0.44</v>
      </c>
      <c r="K28" s="23">
        <v>0.75</v>
      </c>
      <c r="L28" s="15">
        <v>5.0999999999999996</v>
      </c>
      <c r="M28" s="15">
        <v>4.3</v>
      </c>
      <c r="N28" s="15">
        <v>126000</v>
      </c>
      <c r="O28" s="15">
        <v>30900</v>
      </c>
      <c r="P28" s="15"/>
      <c r="Q28" s="15">
        <v>4270</v>
      </c>
      <c r="R28" s="15"/>
      <c r="S28" s="15">
        <v>58.9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80</v>
      </c>
      <c r="C31" s="77">
        <f>IF(C$27="%w/w SAR",((C$28*10)*$B31),IF(C$27="%w/w DM",(((C$28*10)*($B$28/100))*$B31),IF(C$27="kg/t SAR",(C$28*$B31),IF(C$27="kg/t DM",((C$28*($B$28/100))*$B31),IF(C$27="mg/kg SAR",((C$28*0.001)*$B31),IF(C$27="mg/kg DM",(((C$28*0.001)*($B$28/100))*$B31),0))))))</f>
        <v>144.70400000000001</v>
      </c>
      <c r="D31" s="77">
        <f>(IF(D$27="%w/w SAR",((D$28*10)*$B31),IF(D$27="%w/w DM",(((D$28*10)*($B$28/100))*$B31),IF(D$27="kg/t SAR",(D$28*$B31),IF(D$27="kg/t DM",((D$28*($B$28/100))*$B31),IF(D$27="mg/kg SAR",((D$28*0.001)*$B31),IF(D$27="mg/kg DM",(((D$28*0.001)*($B$28/100))*$B31),"0")))))))*2.291</f>
        <v>61.068896000000009</v>
      </c>
      <c r="E31" s="77">
        <f>(IF(E$27="%w/w SAR",((E$28*10)*$B31),IF(E$27="%w/w DM",(((E$28*10)*($B$28/100))*$B31),IF(E$27="kg/t SAR",(E$28*$B31),IF(E$27="kg/t DM",((E$28*($B$28/100))*$B31),IF(E$27="mg/kg SAR",((E$28*0.001)*$B31),IF(E$27="mg/kg DM",(((E$28*0.001)*($B$28/100))*$B31),"0")))))))*1.205</f>
        <v>2.1894368000000002</v>
      </c>
      <c r="F31" s="77">
        <f>(IF(F$27="%w/w SAR",((F$28*10)*$B31),IF(F$27="%w/w DM",(((F$28*10)*($B$28/100))*$B31),IF(F$27="kg/t SAR",(F$28*$B31),IF(F$27="kg/t DM",((F$28*($B$28/100))*$B31),IF(F$27="mg/kg SAR",((F$28*0.001)*$B31),IF(F$27="mg/kg DM",(((F$28*0.001)*($B$28/100))*$B31),"0")))))))*1.658</f>
        <v>4.0768230399999998</v>
      </c>
      <c r="G31" s="77">
        <f t="shared" ref="G31:P46" si="5">IF(G$27="%w/w SAR",((G$28*10)*$B31),IF(G$27="%w/w DM",(((G$28*10)*($B$28/100))*$B31),IF(G$27="kg/t SAR",(G$28*$B31),IF(G$27="kg/t DM",((G$28*($B$28/100))*$B31),IF(G$27="mg/kg SAR",((G$28*0.001)*$B31),IF(G$27="mg/kg DM",(((G$28*0.001)*($B$28/100))*$B31),0))))))</f>
        <v>0.22848000000000004</v>
      </c>
      <c r="H31" s="77">
        <f t="shared" si="5"/>
        <v>0.86604799999999993</v>
      </c>
      <c r="I31" s="77">
        <f t="shared" si="5"/>
        <v>0.33728000000000002</v>
      </c>
      <c r="J31" s="77">
        <f t="shared" si="5"/>
        <v>4.7872000000000001E-3</v>
      </c>
      <c r="K31" s="77">
        <f t="shared" si="5"/>
        <v>8.1600000000000006E-3</v>
      </c>
      <c r="L31" s="77">
        <f t="shared" si="5"/>
        <v>5.5487999999999996E-2</v>
      </c>
      <c r="M31" s="77">
        <f t="shared" si="5"/>
        <v>4.6783999999999999E-2</v>
      </c>
      <c r="N31" s="77">
        <f t="shared" si="5"/>
        <v>1370.88</v>
      </c>
      <c r="O31" s="77">
        <f t="shared" si="5"/>
        <v>336.19200000000006</v>
      </c>
      <c r="P31" s="77">
        <f t="shared" si="5"/>
        <v>0</v>
      </c>
      <c r="Q31" s="77">
        <f>(IF(Q$27="%w/w SAR",((Q$28*10)*$B31),IF(Q$27="%w/w DM",(((Q$28*10)*($B$28/100))*$B31),IF(Q$27="kg/t SAR",(Q$28*$B31),IF(Q$27="kg/t DM",((Q$28*($B$28/100))*$B31),IF(Q$27="mg/kg SAR",((Q$28*0.001)*$B31),IF(Q$27="mg/kg DM",(((Q$28*0.001)*($B$28/100))*$B31),0)))))))*2.5</f>
        <v>116.14400000000003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0.64083200000000007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80</v>
      </c>
      <c r="C32" s="77">
        <f t="shared" ref="C32:C50" si="6">IF(C$27="%w/w SAR",((C$28*10)*$B32),IF(C$27="%w/w DM",(((C$28*10)*($B$28/100))*$B32),IF(C$27="kg/t SAR",(C$28*$B32),IF(C$27="kg/t DM",((C$28*($B$28/100))*$B32),IF(C$27="mg/kg SAR",((C$28*0.001)*$B32),IF(C$27="mg/kg DM",(((C$28*0.001)*($B$28/100))*$B32),0))))))</f>
        <v>144.70400000000001</v>
      </c>
      <c r="D32" s="77">
        <f t="shared" ref="D32:D50" si="7">(IF(D$27="%w/w SAR",((D$28*10)*$B32),IF(D$27="%w/w DM",(((D$28*10)*($B$28/100))*$B32),IF(D$27="kg/t SAR",(D$28*$B32),IF(D$27="kg/t DM",((D$28*($B$28/100))*$B32),IF(D$27="mg/kg SAR",((D$28*0.001)*$B32),IF(D$27="mg/kg DM",(((D$28*0.001)*($B$28/100))*$B32),"0")))))))*2.291</f>
        <v>61.068896000000009</v>
      </c>
      <c r="E32" s="77">
        <f t="shared" ref="E32:E50" si="8">(IF(E$27="%w/w SAR",((E$28*10)*$B32),IF(E$27="%w/w DM",(((E$28*10)*($B$28/100))*$B32),IF(E$27="kg/t SAR",(E$28*$B32),IF(E$27="kg/t DM",((E$28*($B$28/100))*$B32),IF(E$27="mg/kg SAR",((E$28*0.001)*$B32),IF(E$27="mg/kg DM",(((E$28*0.001)*($B$28/100))*$B32),"0")))))))*1.205</f>
        <v>2.1894368000000002</v>
      </c>
      <c r="F32" s="77">
        <f t="shared" ref="F32:F50" si="9">(IF(F$27="%w/w SAR",((F$28*10)*$B32),IF(F$27="%w/w DM",(((F$28*10)*($B$28/100))*$B32),IF(F$27="kg/t SAR",(F$28*$B32),IF(F$27="kg/t DM",((F$28*($B$28/100))*$B32),IF(F$27="mg/kg SAR",((F$28*0.001)*$B32),IF(F$27="mg/kg DM",(((F$28*0.001)*($B$28/100))*$B32),"0")))))))*1.658</f>
        <v>4.0768230399999998</v>
      </c>
      <c r="G32" s="77">
        <f t="shared" si="5"/>
        <v>0.22848000000000004</v>
      </c>
      <c r="H32" s="77">
        <f t="shared" si="5"/>
        <v>0.86604799999999993</v>
      </c>
      <c r="I32" s="77">
        <f t="shared" si="5"/>
        <v>0.33728000000000002</v>
      </c>
      <c r="J32" s="77">
        <f t="shared" si="5"/>
        <v>4.7872000000000001E-3</v>
      </c>
      <c r="K32" s="77">
        <f t="shared" si="5"/>
        <v>8.1600000000000006E-3</v>
      </c>
      <c r="L32" s="77">
        <f t="shared" si="5"/>
        <v>5.5487999999999996E-2</v>
      </c>
      <c r="M32" s="77">
        <f t="shared" si="5"/>
        <v>4.6783999999999999E-2</v>
      </c>
      <c r="N32" s="77">
        <f t="shared" si="5"/>
        <v>1370.88</v>
      </c>
      <c r="O32" s="77">
        <f t="shared" si="5"/>
        <v>336.19200000000006</v>
      </c>
      <c r="P32" s="77">
        <f t="shared" si="5"/>
        <v>0</v>
      </c>
      <c r="Q32" s="77">
        <f t="shared" ref="Q32:Q50" si="10">(IF(Q$27="%w/w SAR",((Q$28*10)*$B32),IF(Q$27="%w/w DM",(((Q$28*10)*($B$28/100))*$B32),IF(Q$27="kg/t SAR",(Q$28*$B32),IF(Q$27="kg/t DM",((Q$28*($B$28/100))*$B32),IF(Q$27="mg/kg SAR",((Q$28*0.001)*$B32),IF(Q$27="mg/kg DM",(((Q$28*0.001)*($B$28/100))*$B32),0)))))))*2.5</f>
        <v>116.14400000000003</v>
      </c>
      <c r="R32" s="77">
        <f t="shared" ref="R32:U50" si="11">IF(R$27="%w/w SAR",((R$28*10)*$B32),IF(R$27="%w/w DM",(((R$28*10)*($B$28/100))*$B32),IF(R$27="kg/t SAR",(R$28*$B32),IF(R$27="kg/t DM",((R$28*($B$28/100))*$B32),IF(R$27="mg/kg SAR",((R$28*0.001)*$B32),IF(R$27="mg/kg DM",(((R$28*0.001)*($B$28/100))*$B32),0))))))</f>
        <v>0</v>
      </c>
      <c r="S32" s="77">
        <f t="shared" si="11"/>
        <v>0.64083200000000007</v>
      </c>
      <c r="T32" s="77">
        <f t="shared" si="11"/>
        <v>0</v>
      </c>
      <c r="U32" s="77">
        <f t="shared" si="11"/>
        <v>0</v>
      </c>
      <c r="AB32" s="59"/>
      <c r="AC32" s="59"/>
      <c r="AD32" s="59"/>
      <c r="AE32" s="59"/>
      <c r="AF32" s="59"/>
      <c r="AG32" s="59"/>
      <c r="AH32" s="59"/>
      <c r="AI32" s="59"/>
    </row>
    <row r="33" spans="1:35" s="72" customFormat="1" ht="13" x14ac:dyDescent="0.35">
      <c r="A33" s="13" t="str">
        <f>E8</f>
        <v>Woodstock 3</v>
      </c>
      <c r="B33" s="15">
        <v>80</v>
      </c>
      <c r="C33" s="77">
        <f t="shared" si="6"/>
        <v>144.70400000000001</v>
      </c>
      <c r="D33" s="77">
        <f t="shared" si="7"/>
        <v>61.068896000000009</v>
      </c>
      <c r="E33" s="77">
        <f t="shared" si="8"/>
        <v>2.1894368000000002</v>
      </c>
      <c r="F33" s="77">
        <f t="shared" si="9"/>
        <v>4.0768230399999998</v>
      </c>
      <c r="G33" s="77">
        <f t="shared" si="5"/>
        <v>0.22848000000000004</v>
      </c>
      <c r="H33" s="77">
        <f t="shared" si="5"/>
        <v>0.86604799999999993</v>
      </c>
      <c r="I33" s="77">
        <f t="shared" si="5"/>
        <v>0.33728000000000002</v>
      </c>
      <c r="J33" s="77">
        <f t="shared" si="5"/>
        <v>4.7872000000000001E-3</v>
      </c>
      <c r="K33" s="77">
        <f t="shared" si="5"/>
        <v>8.1600000000000006E-3</v>
      </c>
      <c r="L33" s="77">
        <f t="shared" si="5"/>
        <v>5.5487999999999996E-2</v>
      </c>
      <c r="M33" s="77">
        <f t="shared" si="5"/>
        <v>4.6783999999999999E-2</v>
      </c>
      <c r="N33" s="77">
        <f t="shared" si="5"/>
        <v>1370.88</v>
      </c>
      <c r="O33" s="77">
        <f t="shared" si="5"/>
        <v>336.19200000000006</v>
      </c>
      <c r="P33" s="77">
        <f t="shared" si="5"/>
        <v>0</v>
      </c>
      <c r="Q33" s="77">
        <f t="shared" si="10"/>
        <v>116.14400000000003</v>
      </c>
      <c r="R33" s="77">
        <f t="shared" si="11"/>
        <v>0</v>
      </c>
      <c r="S33" s="77">
        <f t="shared" si="11"/>
        <v>0.64083200000000007</v>
      </c>
      <c r="T33" s="77">
        <f t="shared" si="11"/>
        <v>0</v>
      </c>
      <c r="U33" s="77">
        <f t="shared" si="11"/>
        <v>0</v>
      </c>
      <c r="AB33" s="59"/>
      <c r="AC33" s="59"/>
      <c r="AD33" s="59"/>
      <c r="AE33" s="59"/>
      <c r="AF33" s="59"/>
      <c r="AG33" s="59"/>
      <c r="AH33" s="59"/>
      <c r="AI33" s="59"/>
    </row>
    <row r="34" spans="1:35" s="72" customFormat="1" ht="13" x14ac:dyDescent="0.35">
      <c r="A34" s="13" t="str">
        <f>F8</f>
        <v>Woodstock 4</v>
      </c>
      <c r="B34" s="15">
        <v>80</v>
      </c>
      <c r="C34" s="77">
        <f t="shared" si="6"/>
        <v>144.70400000000001</v>
      </c>
      <c r="D34" s="77">
        <f t="shared" si="7"/>
        <v>61.068896000000009</v>
      </c>
      <c r="E34" s="77">
        <f t="shared" si="8"/>
        <v>2.1894368000000002</v>
      </c>
      <c r="F34" s="77">
        <f t="shared" si="9"/>
        <v>4.0768230399999998</v>
      </c>
      <c r="G34" s="77">
        <f t="shared" si="5"/>
        <v>0.22848000000000004</v>
      </c>
      <c r="H34" s="77">
        <f t="shared" si="5"/>
        <v>0.86604799999999993</v>
      </c>
      <c r="I34" s="77">
        <f t="shared" si="5"/>
        <v>0.33728000000000002</v>
      </c>
      <c r="J34" s="77">
        <f t="shared" si="5"/>
        <v>4.7872000000000001E-3</v>
      </c>
      <c r="K34" s="77">
        <f t="shared" si="5"/>
        <v>8.1600000000000006E-3</v>
      </c>
      <c r="L34" s="77">
        <f t="shared" si="5"/>
        <v>5.5487999999999996E-2</v>
      </c>
      <c r="M34" s="77">
        <f t="shared" si="5"/>
        <v>4.6783999999999999E-2</v>
      </c>
      <c r="N34" s="77">
        <f t="shared" si="5"/>
        <v>1370.88</v>
      </c>
      <c r="O34" s="77">
        <f t="shared" si="5"/>
        <v>336.19200000000006</v>
      </c>
      <c r="P34" s="77">
        <f t="shared" si="5"/>
        <v>0</v>
      </c>
      <c r="Q34" s="77">
        <f t="shared" si="10"/>
        <v>116.14400000000003</v>
      </c>
      <c r="R34" s="77">
        <f t="shared" si="11"/>
        <v>0</v>
      </c>
      <c r="S34" s="77">
        <f t="shared" si="11"/>
        <v>0.64083200000000007</v>
      </c>
      <c r="T34" s="77">
        <f t="shared" si="11"/>
        <v>0</v>
      </c>
      <c r="U34" s="77">
        <f t="shared" si="11"/>
        <v>0</v>
      </c>
      <c r="AB34" s="59"/>
      <c r="AC34" s="59"/>
      <c r="AD34" s="59"/>
      <c r="AE34" s="59"/>
      <c r="AF34" s="59"/>
      <c r="AG34" s="59"/>
      <c r="AH34" s="59"/>
      <c r="AI34" s="59"/>
    </row>
    <row r="35" spans="1:35" s="72" customFormat="1" ht="13" x14ac:dyDescent="0.35">
      <c r="A35" s="13" t="str">
        <f>G8</f>
        <v>Woodstock 5</v>
      </c>
      <c r="B35" s="15">
        <v>80</v>
      </c>
      <c r="C35" s="77">
        <f t="shared" si="6"/>
        <v>144.70400000000001</v>
      </c>
      <c r="D35" s="77">
        <f t="shared" si="7"/>
        <v>61.068896000000009</v>
      </c>
      <c r="E35" s="77">
        <f t="shared" si="8"/>
        <v>2.1894368000000002</v>
      </c>
      <c r="F35" s="77">
        <f t="shared" si="9"/>
        <v>4.0768230399999998</v>
      </c>
      <c r="G35" s="77">
        <f t="shared" si="5"/>
        <v>0.22848000000000004</v>
      </c>
      <c r="H35" s="77">
        <f t="shared" si="5"/>
        <v>0.86604799999999993</v>
      </c>
      <c r="I35" s="77">
        <f t="shared" si="5"/>
        <v>0.33728000000000002</v>
      </c>
      <c r="J35" s="77">
        <f t="shared" si="5"/>
        <v>4.7872000000000001E-3</v>
      </c>
      <c r="K35" s="77">
        <f t="shared" si="5"/>
        <v>8.1600000000000006E-3</v>
      </c>
      <c r="L35" s="77">
        <f t="shared" si="5"/>
        <v>5.5487999999999996E-2</v>
      </c>
      <c r="M35" s="77">
        <f t="shared" si="5"/>
        <v>4.6783999999999999E-2</v>
      </c>
      <c r="N35" s="77">
        <f t="shared" si="5"/>
        <v>1370.88</v>
      </c>
      <c r="O35" s="77">
        <f t="shared" si="5"/>
        <v>336.19200000000006</v>
      </c>
      <c r="P35" s="77">
        <f t="shared" si="5"/>
        <v>0</v>
      </c>
      <c r="Q35" s="77">
        <f t="shared" si="10"/>
        <v>116.14400000000003</v>
      </c>
      <c r="R35" s="77">
        <f t="shared" si="11"/>
        <v>0</v>
      </c>
      <c r="S35" s="77">
        <f t="shared" si="11"/>
        <v>0.64083200000000007</v>
      </c>
      <c r="T35" s="77">
        <f t="shared" si="11"/>
        <v>0</v>
      </c>
      <c r="U35" s="77">
        <f t="shared" si="11"/>
        <v>0</v>
      </c>
      <c r="AB35" s="59"/>
      <c r="AC35" s="59"/>
      <c r="AD35" s="59"/>
      <c r="AE35" s="59"/>
      <c r="AF35" s="59"/>
      <c r="AG35" s="59"/>
      <c r="AH35" s="59"/>
      <c r="AI35" s="59"/>
    </row>
    <row r="36" spans="1:35" s="72" customFormat="1" ht="13" x14ac:dyDescent="0.35">
      <c r="A36" s="13" t="str">
        <f>H8</f>
        <v>Woodstock 6</v>
      </c>
      <c r="B36" s="15">
        <v>80</v>
      </c>
      <c r="C36" s="77">
        <f t="shared" si="6"/>
        <v>144.70400000000001</v>
      </c>
      <c r="D36" s="77">
        <f t="shared" si="7"/>
        <v>61.068896000000009</v>
      </c>
      <c r="E36" s="77">
        <f t="shared" si="8"/>
        <v>2.1894368000000002</v>
      </c>
      <c r="F36" s="77">
        <f t="shared" si="9"/>
        <v>4.0768230399999998</v>
      </c>
      <c r="G36" s="77">
        <f t="shared" si="5"/>
        <v>0.22848000000000004</v>
      </c>
      <c r="H36" s="77">
        <f t="shared" si="5"/>
        <v>0.86604799999999993</v>
      </c>
      <c r="I36" s="77">
        <f t="shared" si="5"/>
        <v>0.33728000000000002</v>
      </c>
      <c r="J36" s="77">
        <f t="shared" si="5"/>
        <v>4.7872000000000001E-3</v>
      </c>
      <c r="K36" s="77">
        <f t="shared" si="5"/>
        <v>8.1600000000000006E-3</v>
      </c>
      <c r="L36" s="77">
        <f t="shared" si="5"/>
        <v>5.5487999999999996E-2</v>
      </c>
      <c r="M36" s="77">
        <f t="shared" si="5"/>
        <v>4.6783999999999999E-2</v>
      </c>
      <c r="N36" s="77">
        <f t="shared" si="5"/>
        <v>1370.88</v>
      </c>
      <c r="O36" s="77">
        <f t="shared" si="5"/>
        <v>336.19200000000006</v>
      </c>
      <c r="P36" s="77">
        <f t="shared" si="5"/>
        <v>0</v>
      </c>
      <c r="Q36" s="77">
        <f t="shared" si="10"/>
        <v>116.14400000000003</v>
      </c>
      <c r="R36" s="77">
        <f t="shared" si="11"/>
        <v>0</v>
      </c>
      <c r="S36" s="77">
        <f t="shared" si="11"/>
        <v>0.64083200000000007</v>
      </c>
      <c r="T36" s="77">
        <f t="shared" si="11"/>
        <v>0</v>
      </c>
      <c r="U36" s="77">
        <f t="shared" si="11"/>
        <v>0</v>
      </c>
      <c r="AB36" s="59"/>
      <c r="AC36" s="59"/>
      <c r="AD36" s="59"/>
      <c r="AE36" s="59"/>
      <c r="AF36" s="59"/>
      <c r="AG36" s="59"/>
      <c r="AH36" s="59"/>
      <c r="AI36" s="59"/>
    </row>
    <row r="37" spans="1:35" s="72" customFormat="1" ht="13" x14ac:dyDescent="0.35">
      <c r="A37" s="13" t="str">
        <f>I8</f>
        <v>Woodstock 7</v>
      </c>
      <c r="B37" s="15">
        <v>59</v>
      </c>
      <c r="C37" s="77">
        <f t="shared" si="6"/>
        <v>106.71920000000001</v>
      </c>
      <c r="D37" s="77">
        <f t="shared" si="7"/>
        <v>45.038310800000005</v>
      </c>
      <c r="E37" s="77">
        <f t="shared" si="8"/>
        <v>1.6147096399999998</v>
      </c>
      <c r="F37" s="77">
        <f t="shared" si="9"/>
        <v>3.0066569919999999</v>
      </c>
      <c r="G37" s="77">
        <f t="shared" si="5"/>
        <v>0.16850400000000001</v>
      </c>
      <c r="H37" s="77">
        <f t="shared" si="5"/>
        <v>0.63871040000000001</v>
      </c>
      <c r="I37" s="77">
        <f t="shared" si="5"/>
        <v>0.24874400000000002</v>
      </c>
      <c r="J37" s="77">
        <f t="shared" si="5"/>
        <v>3.5305600000000003E-3</v>
      </c>
      <c r="K37" s="77">
        <f t="shared" si="5"/>
        <v>6.0180000000000008E-3</v>
      </c>
      <c r="L37" s="77">
        <f t="shared" si="5"/>
        <v>4.0922399999999998E-2</v>
      </c>
      <c r="M37" s="77">
        <f t="shared" si="5"/>
        <v>3.4503199999999998E-2</v>
      </c>
      <c r="N37" s="77">
        <f t="shared" si="5"/>
        <v>1011.0240000000001</v>
      </c>
      <c r="O37" s="77">
        <f t="shared" si="5"/>
        <v>247.94160000000005</v>
      </c>
      <c r="P37" s="77">
        <f t="shared" si="5"/>
        <v>0</v>
      </c>
      <c r="Q37" s="77">
        <f t="shared" si="10"/>
        <v>85.656200000000027</v>
      </c>
      <c r="R37" s="77">
        <f t="shared" si="11"/>
        <v>0</v>
      </c>
      <c r="S37" s="77">
        <f t="shared" si="11"/>
        <v>0.47261360000000008</v>
      </c>
      <c r="T37" s="77">
        <f t="shared" si="11"/>
        <v>0</v>
      </c>
      <c r="U37" s="77">
        <f t="shared" si="11"/>
        <v>0</v>
      </c>
      <c r="AB37" s="59"/>
      <c r="AC37" s="59"/>
      <c r="AD37" s="59"/>
      <c r="AE37" s="59"/>
      <c r="AF37" s="59"/>
      <c r="AG37" s="59"/>
      <c r="AH37" s="59"/>
      <c r="AI37" s="59"/>
    </row>
    <row r="38" spans="1:35" s="72" customFormat="1" ht="13" x14ac:dyDescent="0.35">
      <c r="A38" s="13" t="str">
        <f>J8</f>
        <v>Woodstock 8</v>
      </c>
      <c r="B38" s="15">
        <v>80</v>
      </c>
      <c r="C38" s="77">
        <f t="shared" si="6"/>
        <v>144.70400000000001</v>
      </c>
      <c r="D38" s="77">
        <f t="shared" si="7"/>
        <v>61.068896000000009</v>
      </c>
      <c r="E38" s="77">
        <f t="shared" si="8"/>
        <v>2.1894368000000002</v>
      </c>
      <c r="F38" s="77">
        <f t="shared" si="9"/>
        <v>4.0768230399999998</v>
      </c>
      <c r="G38" s="77">
        <f t="shared" si="5"/>
        <v>0.22848000000000004</v>
      </c>
      <c r="H38" s="77">
        <f t="shared" si="5"/>
        <v>0.86604799999999993</v>
      </c>
      <c r="I38" s="77">
        <f t="shared" si="5"/>
        <v>0.33728000000000002</v>
      </c>
      <c r="J38" s="77">
        <f t="shared" si="5"/>
        <v>4.7872000000000001E-3</v>
      </c>
      <c r="K38" s="77">
        <f t="shared" si="5"/>
        <v>8.1600000000000006E-3</v>
      </c>
      <c r="L38" s="77">
        <f t="shared" si="5"/>
        <v>5.5487999999999996E-2</v>
      </c>
      <c r="M38" s="77">
        <f t="shared" si="5"/>
        <v>4.6783999999999999E-2</v>
      </c>
      <c r="N38" s="77">
        <f t="shared" si="5"/>
        <v>1370.88</v>
      </c>
      <c r="O38" s="77">
        <f t="shared" si="5"/>
        <v>336.19200000000006</v>
      </c>
      <c r="P38" s="77">
        <f t="shared" si="5"/>
        <v>0</v>
      </c>
      <c r="Q38" s="77">
        <f t="shared" si="10"/>
        <v>116.14400000000003</v>
      </c>
      <c r="R38" s="77">
        <f t="shared" si="11"/>
        <v>0</v>
      </c>
      <c r="S38" s="77">
        <f t="shared" si="11"/>
        <v>0.64083200000000007</v>
      </c>
      <c r="T38" s="77">
        <f t="shared" si="11"/>
        <v>0</v>
      </c>
      <c r="U38" s="77">
        <f t="shared" si="11"/>
        <v>0</v>
      </c>
      <c r="AB38" s="59"/>
      <c r="AC38" s="59"/>
      <c r="AD38" s="59"/>
      <c r="AE38" s="59"/>
      <c r="AF38" s="59"/>
      <c r="AG38" s="59"/>
      <c r="AH38" s="59"/>
      <c r="AI38" s="59"/>
    </row>
    <row r="39" spans="1:35" s="72" customFormat="1" ht="13" x14ac:dyDescent="0.35">
      <c r="A39" s="13" t="str">
        <f>K8</f>
        <v>Woodstock 9</v>
      </c>
      <c r="B39" s="15">
        <v>80</v>
      </c>
      <c r="C39" s="77">
        <f t="shared" si="6"/>
        <v>144.70400000000001</v>
      </c>
      <c r="D39" s="77">
        <f t="shared" si="7"/>
        <v>61.068896000000009</v>
      </c>
      <c r="E39" s="77">
        <f t="shared" si="8"/>
        <v>2.1894368000000002</v>
      </c>
      <c r="F39" s="77">
        <f t="shared" si="9"/>
        <v>4.0768230399999998</v>
      </c>
      <c r="G39" s="77">
        <f t="shared" si="5"/>
        <v>0.22848000000000004</v>
      </c>
      <c r="H39" s="77">
        <f t="shared" si="5"/>
        <v>0.86604799999999993</v>
      </c>
      <c r="I39" s="77">
        <f t="shared" si="5"/>
        <v>0.33728000000000002</v>
      </c>
      <c r="J39" s="77">
        <f t="shared" si="5"/>
        <v>4.7872000000000001E-3</v>
      </c>
      <c r="K39" s="77">
        <f t="shared" si="5"/>
        <v>8.1600000000000006E-3</v>
      </c>
      <c r="L39" s="77">
        <f t="shared" si="5"/>
        <v>5.5487999999999996E-2</v>
      </c>
      <c r="M39" s="77">
        <f t="shared" si="5"/>
        <v>4.6783999999999999E-2</v>
      </c>
      <c r="N39" s="77">
        <f t="shared" si="5"/>
        <v>1370.88</v>
      </c>
      <c r="O39" s="77">
        <f t="shared" si="5"/>
        <v>336.19200000000006</v>
      </c>
      <c r="P39" s="77">
        <f t="shared" si="5"/>
        <v>0</v>
      </c>
      <c r="Q39" s="77">
        <f t="shared" si="10"/>
        <v>116.14400000000003</v>
      </c>
      <c r="R39" s="77">
        <f t="shared" si="11"/>
        <v>0</v>
      </c>
      <c r="S39" s="77">
        <f t="shared" si="11"/>
        <v>0.64083200000000007</v>
      </c>
      <c r="T39" s="77">
        <f t="shared" si="11"/>
        <v>0</v>
      </c>
      <c r="U39" s="77">
        <f t="shared" si="11"/>
        <v>0</v>
      </c>
      <c r="AB39" s="59"/>
      <c r="AC39" s="59"/>
      <c r="AD39" s="59"/>
      <c r="AE39" s="59"/>
      <c r="AF39" s="59"/>
      <c r="AG39" s="59"/>
      <c r="AH39" s="59"/>
      <c r="AI39" s="59"/>
    </row>
    <row r="40" spans="1:35" s="72" customFormat="1" ht="13" x14ac:dyDescent="0.35">
      <c r="A40" s="13" t="str">
        <f>L8</f>
        <v>Woodstock 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Woodstock 11</v>
      </c>
      <c r="B41" s="15">
        <v>80</v>
      </c>
      <c r="C41" s="77">
        <f t="shared" si="6"/>
        <v>144.70400000000001</v>
      </c>
      <c r="D41" s="77">
        <f t="shared" si="7"/>
        <v>61.068896000000009</v>
      </c>
      <c r="E41" s="77">
        <f t="shared" si="8"/>
        <v>2.1894368000000002</v>
      </c>
      <c r="F41" s="77">
        <f t="shared" si="9"/>
        <v>4.0768230399999998</v>
      </c>
      <c r="G41" s="77">
        <f t="shared" si="5"/>
        <v>0.22848000000000004</v>
      </c>
      <c r="H41" s="77">
        <f t="shared" si="5"/>
        <v>0.86604799999999993</v>
      </c>
      <c r="I41" s="77">
        <f t="shared" si="5"/>
        <v>0.33728000000000002</v>
      </c>
      <c r="J41" s="77">
        <f t="shared" si="5"/>
        <v>4.7872000000000001E-3</v>
      </c>
      <c r="K41" s="77">
        <f t="shared" si="5"/>
        <v>8.1600000000000006E-3</v>
      </c>
      <c r="L41" s="77">
        <f t="shared" si="5"/>
        <v>5.5487999999999996E-2</v>
      </c>
      <c r="M41" s="77">
        <f t="shared" si="5"/>
        <v>4.6783999999999999E-2</v>
      </c>
      <c r="N41" s="77">
        <f t="shared" si="5"/>
        <v>1370.88</v>
      </c>
      <c r="O41" s="77">
        <f t="shared" si="5"/>
        <v>336.19200000000006</v>
      </c>
      <c r="P41" s="77">
        <f t="shared" si="5"/>
        <v>0</v>
      </c>
      <c r="Q41" s="77">
        <f t="shared" si="10"/>
        <v>116.14400000000003</v>
      </c>
      <c r="R41" s="77">
        <f t="shared" si="11"/>
        <v>0</v>
      </c>
      <c r="S41" s="77">
        <f t="shared" si="11"/>
        <v>0.64083200000000007</v>
      </c>
      <c r="T41" s="77">
        <f t="shared" si="11"/>
        <v>0</v>
      </c>
      <c r="U41" s="77">
        <f t="shared" si="11"/>
        <v>0</v>
      </c>
      <c r="AB41" s="59"/>
      <c r="AC41" s="59"/>
      <c r="AD41" s="59"/>
      <c r="AE41" s="59"/>
      <c r="AF41" s="59"/>
      <c r="AG41" s="59"/>
      <c r="AH41" s="59"/>
      <c r="AI41" s="59"/>
    </row>
    <row r="42" spans="1:35" s="72" customFormat="1" ht="13" x14ac:dyDescent="0.35">
      <c r="A42" s="13" t="str">
        <f>N8</f>
        <v>Woodstock 12</v>
      </c>
      <c r="B42" s="15">
        <v>80</v>
      </c>
      <c r="C42" s="77">
        <f t="shared" si="6"/>
        <v>144.70400000000001</v>
      </c>
      <c r="D42" s="77">
        <f t="shared" si="7"/>
        <v>61.068896000000009</v>
      </c>
      <c r="E42" s="77">
        <f t="shared" si="8"/>
        <v>2.1894368000000002</v>
      </c>
      <c r="F42" s="77">
        <f t="shared" si="9"/>
        <v>4.0768230399999998</v>
      </c>
      <c r="G42" s="77">
        <f t="shared" si="5"/>
        <v>0.22848000000000004</v>
      </c>
      <c r="H42" s="77">
        <f t="shared" si="5"/>
        <v>0.86604799999999993</v>
      </c>
      <c r="I42" s="77">
        <f t="shared" si="5"/>
        <v>0.33728000000000002</v>
      </c>
      <c r="J42" s="77">
        <f t="shared" si="5"/>
        <v>4.7872000000000001E-3</v>
      </c>
      <c r="K42" s="77">
        <f t="shared" si="5"/>
        <v>8.1600000000000006E-3</v>
      </c>
      <c r="L42" s="77">
        <f t="shared" si="5"/>
        <v>5.5487999999999996E-2</v>
      </c>
      <c r="M42" s="77">
        <f t="shared" si="5"/>
        <v>4.6783999999999999E-2</v>
      </c>
      <c r="N42" s="77">
        <f t="shared" si="5"/>
        <v>1370.88</v>
      </c>
      <c r="O42" s="77">
        <f t="shared" si="5"/>
        <v>336.19200000000006</v>
      </c>
      <c r="P42" s="77">
        <f t="shared" si="5"/>
        <v>0</v>
      </c>
      <c r="Q42" s="77">
        <f t="shared" si="10"/>
        <v>116.14400000000003</v>
      </c>
      <c r="R42" s="77">
        <f t="shared" si="11"/>
        <v>0</v>
      </c>
      <c r="S42" s="77">
        <f t="shared" si="11"/>
        <v>0.64083200000000007</v>
      </c>
      <c r="T42" s="77">
        <f t="shared" si="11"/>
        <v>0</v>
      </c>
      <c r="U42" s="77">
        <f t="shared" si="11"/>
        <v>0</v>
      </c>
      <c r="AB42" s="59"/>
      <c r="AC42" s="59"/>
      <c r="AD42" s="59"/>
      <c r="AE42" s="59"/>
      <c r="AF42" s="59"/>
      <c r="AG42" s="59"/>
      <c r="AH42" s="59"/>
      <c r="AI42" s="59"/>
    </row>
    <row r="43" spans="1:35" s="72" customFormat="1" ht="13" x14ac:dyDescent="0.35">
      <c r="A43" s="13" t="str">
        <f>O8</f>
        <v>Woodstock 13/14</v>
      </c>
      <c r="B43" s="15">
        <v>59</v>
      </c>
      <c r="C43" s="77">
        <f t="shared" si="6"/>
        <v>106.71920000000001</v>
      </c>
      <c r="D43" s="77">
        <f t="shared" si="7"/>
        <v>45.038310800000005</v>
      </c>
      <c r="E43" s="77">
        <f t="shared" si="8"/>
        <v>1.6147096399999998</v>
      </c>
      <c r="F43" s="77">
        <f t="shared" si="9"/>
        <v>3.0066569919999999</v>
      </c>
      <c r="G43" s="77">
        <f t="shared" si="5"/>
        <v>0.16850400000000001</v>
      </c>
      <c r="H43" s="77">
        <f t="shared" si="5"/>
        <v>0.63871040000000001</v>
      </c>
      <c r="I43" s="77">
        <f t="shared" si="5"/>
        <v>0.24874400000000002</v>
      </c>
      <c r="J43" s="77">
        <f t="shared" si="5"/>
        <v>3.5305600000000003E-3</v>
      </c>
      <c r="K43" s="77">
        <f t="shared" si="5"/>
        <v>6.0180000000000008E-3</v>
      </c>
      <c r="L43" s="77">
        <f t="shared" si="5"/>
        <v>4.0922399999999998E-2</v>
      </c>
      <c r="M43" s="77">
        <f t="shared" si="5"/>
        <v>3.4503199999999998E-2</v>
      </c>
      <c r="N43" s="77">
        <f t="shared" si="5"/>
        <v>1011.0240000000001</v>
      </c>
      <c r="O43" s="77">
        <f t="shared" si="5"/>
        <v>247.94160000000005</v>
      </c>
      <c r="P43" s="77">
        <f t="shared" si="5"/>
        <v>0</v>
      </c>
      <c r="Q43" s="77">
        <f t="shared" si="10"/>
        <v>85.656200000000027</v>
      </c>
      <c r="R43" s="77">
        <f t="shared" si="11"/>
        <v>0</v>
      </c>
      <c r="S43" s="77">
        <f t="shared" si="11"/>
        <v>0.47261360000000008</v>
      </c>
      <c r="T43" s="77">
        <f t="shared" si="11"/>
        <v>0</v>
      </c>
      <c r="U43" s="77">
        <f t="shared" si="11"/>
        <v>0</v>
      </c>
      <c r="AB43" s="59"/>
      <c r="AC43" s="59"/>
      <c r="AD43" s="59"/>
      <c r="AE43" s="59"/>
      <c r="AF43" s="59"/>
      <c r="AG43" s="59"/>
      <c r="AH43" s="59"/>
      <c r="AI43" s="59"/>
    </row>
    <row r="44" spans="1:35" s="72" customFormat="1" ht="13" x14ac:dyDescent="0.35">
      <c r="A44" s="13" t="str">
        <f>P8</f>
        <v>Gwarcoed 16</v>
      </c>
      <c r="B44" s="15">
        <v>80</v>
      </c>
      <c r="C44" s="77">
        <f t="shared" si="6"/>
        <v>144.70400000000001</v>
      </c>
      <c r="D44" s="77">
        <f t="shared" si="7"/>
        <v>61.068896000000009</v>
      </c>
      <c r="E44" s="77">
        <f t="shared" si="8"/>
        <v>2.1894368000000002</v>
      </c>
      <c r="F44" s="77">
        <f t="shared" si="9"/>
        <v>4.0768230399999998</v>
      </c>
      <c r="G44" s="77">
        <f t="shared" si="5"/>
        <v>0.22848000000000004</v>
      </c>
      <c r="H44" s="77">
        <f t="shared" si="5"/>
        <v>0.86604799999999993</v>
      </c>
      <c r="I44" s="77">
        <f t="shared" si="5"/>
        <v>0.33728000000000002</v>
      </c>
      <c r="J44" s="77">
        <f t="shared" si="5"/>
        <v>4.7872000000000001E-3</v>
      </c>
      <c r="K44" s="77">
        <f t="shared" si="5"/>
        <v>8.1600000000000006E-3</v>
      </c>
      <c r="L44" s="77">
        <f t="shared" si="5"/>
        <v>5.5487999999999996E-2</v>
      </c>
      <c r="M44" s="77">
        <f t="shared" si="5"/>
        <v>4.6783999999999999E-2</v>
      </c>
      <c r="N44" s="77">
        <f t="shared" si="5"/>
        <v>1370.88</v>
      </c>
      <c r="O44" s="77">
        <f t="shared" si="5"/>
        <v>336.19200000000006</v>
      </c>
      <c r="P44" s="77">
        <f t="shared" si="5"/>
        <v>0</v>
      </c>
      <c r="Q44" s="77">
        <f t="shared" si="10"/>
        <v>116.14400000000003</v>
      </c>
      <c r="R44" s="77">
        <f t="shared" si="11"/>
        <v>0</v>
      </c>
      <c r="S44" s="77">
        <f t="shared" si="11"/>
        <v>0.64083200000000007</v>
      </c>
      <c r="T44" s="77">
        <f t="shared" si="11"/>
        <v>0</v>
      </c>
      <c r="U44" s="77">
        <f t="shared" si="11"/>
        <v>0</v>
      </c>
      <c r="AB44" s="59"/>
      <c r="AC44" s="59"/>
      <c r="AD44" s="59"/>
      <c r="AE44" s="59"/>
      <c r="AF44" s="59"/>
      <c r="AG44" s="59"/>
      <c r="AH44" s="59"/>
      <c r="AI44" s="59"/>
    </row>
    <row r="45" spans="1:35" s="72" customFormat="1" ht="13" x14ac:dyDescent="0.35">
      <c r="A45" s="13" t="str">
        <f>Q8</f>
        <v>Gwarcoed 17</v>
      </c>
      <c r="B45" s="15">
        <v>80</v>
      </c>
      <c r="C45" s="77">
        <f t="shared" si="6"/>
        <v>144.70400000000001</v>
      </c>
      <c r="D45" s="77">
        <f t="shared" si="7"/>
        <v>61.068896000000009</v>
      </c>
      <c r="E45" s="77">
        <f t="shared" si="8"/>
        <v>2.1894368000000002</v>
      </c>
      <c r="F45" s="77">
        <f t="shared" si="9"/>
        <v>4.0768230399999998</v>
      </c>
      <c r="G45" s="77">
        <f t="shared" si="5"/>
        <v>0.22848000000000004</v>
      </c>
      <c r="H45" s="77">
        <f t="shared" si="5"/>
        <v>0.86604799999999993</v>
      </c>
      <c r="I45" s="77">
        <f t="shared" si="5"/>
        <v>0.33728000000000002</v>
      </c>
      <c r="J45" s="77">
        <f t="shared" si="5"/>
        <v>4.7872000000000001E-3</v>
      </c>
      <c r="K45" s="77">
        <f t="shared" si="5"/>
        <v>8.1600000000000006E-3</v>
      </c>
      <c r="L45" s="77">
        <f t="shared" si="5"/>
        <v>5.5487999999999996E-2</v>
      </c>
      <c r="M45" s="77">
        <f t="shared" si="5"/>
        <v>4.6783999999999999E-2</v>
      </c>
      <c r="N45" s="77">
        <f t="shared" si="5"/>
        <v>1370.88</v>
      </c>
      <c r="O45" s="77">
        <f t="shared" si="5"/>
        <v>336.19200000000006</v>
      </c>
      <c r="P45" s="77">
        <f t="shared" si="5"/>
        <v>0</v>
      </c>
      <c r="Q45" s="77">
        <f t="shared" si="10"/>
        <v>116.14400000000003</v>
      </c>
      <c r="R45" s="77">
        <f t="shared" si="11"/>
        <v>0</v>
      </c>
      <c r="S45" s="77">
        <f t="shared" si="11"/>
        <v>0.64083200000000007</v>
      </c>
      <c r="T45" s="77">
        <f t="shared" si="11"/>
        <v>0</v>
      </c>
      <c r="U45" s="77">
        <f t="shared" si="11"/>
        <v>0</v>
      </c>
      <c r="AB45" s="59"/>
      <c r="AC45" s="59"/>
      <c r="AD45" s="59"/>
      <c r="AE45" s="59"/>
      <c r="AF45" s="59"/>
      <c r="AG45" s="59"/>
      <c r="AH45" s="59"/>
      <c r="AI45" s="59"/>
    </row>
    <row r="46" spans="1:35" s="72" customFormat="1" ht="13" x14ac:dyDescent="0.35">
      <c r="A46" s="13" t="str">
        <f>R8</f>
        <v>Gwarcoed 19</v>
      </c>
      <c r="B46" s="15">
        <v>80</v>
      </c>
      <c r="C46" s="77">
        <f t="shared" si="6"/>
        <v>144.70400000000001</v>
      </c>
      <c r="D46" s="77">
        <f t="shared" si="7"/>
        <v>61.068896000000009</v>
      </c>
      <c r="E46" s="77">
        <f t="shared" si="8"/>
        <v>2.1894368000000002</v>
      </c>
      <c r="F46" s="77">
        <f t="shared" si="9"/>
        <v>4.0768230399999998</v>
      </c>
      <c r="G46" s="77">
        <f t="shared" si="5"/>
        <v>0.22848000000000004</v>
      </c>
      <c r="H46" s="77">
        <f t="shared" si="5"/>
        <v>0.86604799999999993</v>
      </c>
      <c r="I46" s="77">
        <f t="shared" si="5"/>
        <v>0.33728000000000002</v>
      </c>
      <c r="J46" s="77">
        <f t="shared" si="5"/>
        <v>4.7872000000000001E-3</v>
      </c>
      <c r="K46" s="77">
        <f t="shared" si="5"/>
        <v>8.1600000000000006E-3</v>
      </c>
      <c r="L46" s="77">
        <f t="shared" si="5"/>
        <v>5.5487999999999996E-2</v>
      </c>
      <c r="M46" s="77">
        <f t="shared" si="5"/>
        <v>4.6783999999999999E-2</v>
      </c>
      <c r="N46" s="77">
        <f t="shared" si="5"/>
        <v>1370.88</v>
      </c>
      <c r="O46" s="77">
        <f t="shared" si="5"/>
        <v>336.19200000000006</v>
      </c>
      <c r="P46" s="77">
        <f t="shared" si="5"/>
        <v>0</v>
      </c>
      <c r="Q46" s="77">
        <f t="shared" si="10"/>
        <v>116.14400000000003</v>
      </c>
      <c r="R46" s="77">
        <f t="shared" si="11"/>
        <v>0</v>
      </c>
      <c r="S46" s="77">
        <f t="shared" si="11"/>
        <v>0.64083200000000007</v>
      </c>
      <c r="T46" s="77">
        <f t="shared" si="11"/>
        <v>0</v>
      </c>
      <c r="U46" s="77">
        <f t="shared" si="11"/>
        <v>0</v>
      </c>
      <c r="AB46" s="59"/>
      <c r="AC46" s="59"/>
      <c r="AD46" s="59"/>
      <c r="AE46" s="59"/>
      <c r="AF46" s="59"/>
      <c r="AG46" s="59"/>
      <c r="AH46" s="59"/>
      <c r="AI46" s="59"/>
    </row>
    <row r="47" spans="1:35" s="72" customFormat="1" ht="13" x14ac:dyDescent="0.35">
      <c r="A47" s="13" t="str">
        <f>S8</f>
        <v>Gwarcoed 22</v>
      </c>
      <c r="B47" s="15">
        <v>80</v>
      </c>
      <c r="C47" s="77">
        <f t="shared" si="6"/>
        <v>144.70400000000001</v>
      </c>
      <c r="D47" s="77">
        <f t="shared" si="7"/>
        <v>61.068896000000009</v>
      </c>
      <c r="E47" s="77">
        <f t="shared" si="8"/>
        <v>2.1894368000000002</v>
      </c>
      <c r="F47" s="77">
        <f t="shared" si="9"/>
        <v>4.0768230399999998</v>
      </c>
      <c r="G47" s="77">
        <f t="shared" ref="G47:P50" si="12">IF(G$27="%w/w SAR",((G$28*10)*$B47),IF(G$27="%w/w DM",(((G$28*10)*($B$28/100))*$B47),IF(G$27="kg/t SAR",(G$28*$B47),IF(G$27="kg/t DM",((G$28*($B$28/100))*$B47),IF(G$27="mg/kg SAR",((G$28*0.001)*$B47),IF(G$27="mg/kg DM",(((G$28*0.001)*($B$28/100))*$B47),0))))))</f>
        <v>0.22848000000000004</v>
      </c>
      <c r="H47" s="77">
        <f t="shared" si="12"/>
        <v>0.86604799999999993</v>
      </c>
      <c r="I47" s="77">
        <f t="shared" si="12"/>
        <v>0.33728000000000002</v>
      </c>
      <c r="J47" s="77">
        <f t="shared" si="12"/>
        <v>4.7872000000000001E-3</v>
      </c>
      <c r="K47" s="77">
        <f t="shared" si="12"/>
        <v>8.1600000000000006E-3</v>
      </c>
      <c r="L47" s="77">
        <f t="shared" si="12"/>
        <v>5.5487999999999996E-2</v>
      </c>
      <c r="M47" s="77">
        <f t="shared" si="12"/>
        <v>4.6783999999999999E-2</v>
      </c>
      <c r="N47" s="77">
        <f t="shared" si="12"/>
        <v>1370.88</v>
      </c>
      <c r="O47" s="77">
        <f t="shared" si="12"/>
        <v>336.19200000000006</v>
      </c>
      <c r="P47" s="77">
        <f t="shared" si="12"/>
        <v>0</v>
      </c>
      <c r="Q47" s="77">
        <f t="shared" si="10"/>
        <v>116.14400000000003</v>
      </c>
      <c r="R47" s="77">
        <f t="shared" si="11"/>
        <v>0</v>
      </c>
      <c r="S47" s="77">
        <f t="shared" si="11"/>
        <v>0.64083200000000007</v>
      </c>
      <c r="T47" s="77">
        <f t="shared" si="11"/>
        <v>0</v>
      </c>
      <c r="U47" s="77">
        <f t="shared" si="11"/>
        <v>0</v>
      </c>
      <c r="AB47" s="59"/>
      <c r="AC47" s="59"/>
      <c r="AD47" s="59"/>
      <c r="AE47" s="59"/>
      <c r="AF47" s="59"/>
      <c r="AG47" s="59"/>
      <c r="AH47" s="59"/>
      <c r="AI47" s="59"/>
    </row>
    <row r="48" spans="1:35" s="72" customFormat="1" ht="13" x14ac:dyDescent="0.35">
      <c r="A48" s="13" t="str">
        <f>T8</f>
        <v>Gwarcoed 23</v>
      </c>
      <c r="B48" s="15">
        <v>80</v>
      </c>
      <c r="C48" s="77">
        <f t="shared" si="6"/>
        <v>144.70400000000001</v>
      </c>
      <c r="D48" s="77">
        <f t="shared" si="7"/>
        <v>61.068896000000009</v>
      </c>
      <c r="E48" s="77">
        <f t="shared" si="8"/>
        <v>2.1894368000000002</v>
      </c>
      <c r="F48" s="77">
        <f t="shared" si="9"/>
        <v>4.0768230399999998</v>
      </c>
      <c r="G48" s="77">
        <f t="shared" si="12"/>
        <v>0.22848000000000004</v>
      </c>
      <c r="H48" s="77">
        <f t="shared" si="12"/>
        <v>0.86604799999999993</v>
      </c>
      <c r="I48" s="77">
        <f t="shared" si="12"/>
        <v>0.33728000000000002</v>
      </c>
      <c r="J48" s="77">
        <f t="shared" si="12"/>
        <v>4.7872000000000001E-3</v>
      </c>
      <c r="K48" s="77">
        <f t="shared" si="12"/>
        <v>8.1600000000000006E-3</v>
      </c>
      <c r="L48" s="77">
        <f t="shared" si="12"/>
        <v>5.5487999999999996E-2</v>
      </c>
      <c r="M48" s="77">
        <f t="shared" si="12"/>
        <v>4.6783999999999999E-2</v>
      </c>
      <c r="N48" s="77">
        <f t="shared" si="12"/>
        <v>1370.88</v>
      </c>
      <c r="O48" s="77">
        <f t="shared" si="12"/>
        <v>336.19200000000006</v>
      </c>
      <c r="P48" s="77">
        <f t="shared" si="12"/>
        <v>0</v>
      </c>
      <c r="Q48" s="77">
        <f t="shared" si="10"/>
        <v>116.14400000000003</v>
      </c>
      <c r="R48" s="77">
        <f t="shared" si="11"/>
        <v>0</v>
      </c>
      <c r="S48" s="77">
        <f t="shared" si="11"/>
        <v>0.64083200000000007</v>
      </c>
      <c r="T48" s="77">
        <f t="shared" si="11"/>
        <v>0</v>
      </c>
      <c r="U48" s="77">
        <f t="shared" si="11"/>
        <v>0</v>
      </c>
      <c r="AB48" s="59"/>
      <c r="AC48" s="59"/>
      <c r="AD48" s="59"/>
      <c r="AE48" s="59"/>
      <c r="AF48" s="59"/>
      <c r="AG48" s="59"/>
      <c r="AH48" s="59"/>
      <c r="AI48" s="59"/>
    </row>
    <row r="49" spans="1:35" s="72" customFormat="1" ht="13" x14ac:dyDescent="0.35">
      <c r="A49" s="13" t="str">
        <f>U8</f>
        <v>Gwarcoed 24</v>
      </c>
      <c r="B49" s="15">
        <v>80</v>
      </c>
      <c r="C49" s="77">
        <f t="shared" si="6"/>
        <v>144.70400000000001</v>
      </c>
      <c r="D49" s="77">
        <f t="shared" si="7"/>
        <v>61.068896000000009</v>
      </c>
      <c r="E49" s="77">
        <f t="shared" si="8"/>
        <v>2.1894368000000002</v>
      </c>
      <c r="F49" s="77">
        <f t="shared" si="9"/>
        <v>4.0768230399999998</v>
      </c>
      <c r="G49" s="77">
        <f t="shared" si="12"/>
        <v>0.22848000000000004</v>
      </c>
      <c r="H49" s="77">
        <f t="shared" si="12"/>
        <v>0.86604799999999993</v>
      </c>
      <c r="I49" s="77">
        <f t="shared" si="12"/>
        <v>0.33728000000000002</v>
      </c>
      <c r="J49" s="77">
        <f t="shared" si="12"/>
        <v>4.7872000000000001E-3</v>
      </c>
      <c r="K49" s="77">
        <f t="shared" si="12"/>
        <v>8.1600000000000006E-3</v>
      </c>
      <c r="L49" s="77">
        <f t="shared" si="12"/>
        <v>5.5487999999999996E-2</v>
      </c>
      <c r="M49" s="77">
        <f t="shared" si="12"/>
        <v>4.6783999999999999E-2</v>
      </c>
      <c r="N49" s="77">
        <f t="shared" si="12"/>
        <v>1370.88</v>
      </c>
      <c r="O49" s="77">
        <f t="shared" si="12"/>
        <v>336.19200000000006</v>
      </c>
      <c r="P49" s="77">
        <f t="shared" si="12"/>
        <v>0</v>
      </c>
      <c r="Q49" s="77">
        <f t="shared" si="10"/>
        <v>116.14400000000003</v>
      </c>
      <c r="R49" s="77">
        <f t="shared" si="11"/>
        <v>0</v>
      </c>
      <c r="S49" s="77">
        <f t="shared" si="11"/>
        <v>0.64083200000000007</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"&amp;(VLOOKUP(C14,Table24581113[],6,FALSE))</f>
        <v>0 I Grass</v>
      </c>
      <c r="C58" s="13" t="str">
        <f>D16&amp;" I "&amp;(VLOOKUP(D14,Table24581113[],6,FALSE))</f>
        <v>0 I Grass</v>
      </c>
      <c r="D58" s="13" t="str">
        <f>E16&amp;" I "&amp;(VLOOKUP(E14,Table24581113[],6,FALSE))</f>
        <v>0 I Grass</v>
      </c>
      <c r="E58" s="13" t="str">
        <f>F16&amp;" I "&amp;(VLOOKUP(F14,Table24581113[],6,FALSE))</f>
        <v>0 I Grass</v>
      </c>
      <c r="F58" s="13" t="str">
        <f>G16&amp;" I "&amp;(VLOOKUP(G14,Table24581113[],6,FALSE))</f>
        <v>0 I Grass</v>
      </c>
      <c r="G58" s="13" t="str">
        <f>H16&amp;" I "&amp;(VLOOKUP(H14,Table24581113[],6,FALSE))</f>
        <v>0 I Grass</v>
      </c>
      <c r="H58" s="13" t="str">
        <f>I16&amp;" I "&amp;(VLOOKUP(I14,Table24581113[],6,FALSE))</f>
        <v>0 I Arable</v>
      </c>
      <c r="I58" s="13" t="str">
        <f>J16&amp;" I "&amp;(VLOOKUP(J14,Table24581113[],6,FALSE))</f>
        <v>0 I Grass</v>
      </c>
      <c r="J58" s="13" t="str">
        <f>K16&amp;" I "&amp;(VLOOKUP(K14,Table24581113[],6,FALSE))</f>
        <v>0 I Grass</v>
      </c>
      <c r="K58" s="13" t="str">
        <f>L16&amp;" I "&amp;(VLOOKUP(L14,Table24581113[],6,FALSE))</f>
        <v>0 I Grass</v>
      </c>
      <c r="L58" s="13" t="str">
        <f>M16&amp;" I "&amp;(VLOOKUP(M14,Table24581113[],6,FALSE))</f>
        <v>0 I Grass</v>
      </c>
      <c r="M58" s="13" t="str">
        <f>N16&amp;" I "&amp;(VLOOKUP(N14,Table24581113[],6,FALSE))</f>
        <v>0 I Grass</v>
      </c>
      <c r="N58" s="13" t="str">
        <f>O16&amp;" I "&amp;(VLOOKUP(O14,Table24581113[],6,FALSE))</f>
        <v>0 I Arable</v>
      </c>
      <c r="O58" s="13" t="str">
        <f>P16&amp;" I "&amp;(VLOOKUP(P14,Table24581113[],6,FALSE))</f>
        <v>0 I Grass</v>
      </c>
      <c r="P58" s="13" t="str">
        <f>Q16&amp;" I "&amp;(VLOOKUP(Q14,Table24581113[],6,FALSE))</f>
        <v>0 I Grass</v>
      </c>
      <c r="Q58" s="13" t="str">
        <f>R16&amp;" I "&amp;(VLOOKUP(R14,Table24581113[],6,FALSE))</f>
        <v>0 I Grass</v>
      </c>
      <c r="R58" s="13" t="str">
        <f>S16&amp;" I "&amp;(VLOOKUP(S14,Table24581113[],6,FALSE))</f>
        <v>0 I Grass</v>
      </c>
      <c r="S58" s="13" t="str">
        <f>T16&amp;" I "&amp;(VLOOKUP(T14,Table24581113[],6,FALSE))</f>
        <v>0 I Grass</v>
      </c>
      <c r="T58" s="13" t="str">
        <f>U16&amp;" I "&amp;(VLOOKUP(U14,Table24581113[],6,FALSE))</f>
        <v>0 I Grass</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6.7</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6.7</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t="e">
        <f>VLOOKUP(V$14,Table24581113[],5,FALSE)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80</v>
      </c>
      <c r="C62" s="77">
        <f>B32</f>
        <v>80</v>
      </c>
      <c r="D62" s="77">
        <f>B33</f>
        <v>80</v>
      </c>
      <c r="E62" s="77">
        <f>B34</f>
        <v>80</v>
      </c>
      <c r="F62" s="77">
        <f>B35</f>
        <v>80</v>
      </c>
      <c r="G62" s="77">
        <f>B36</f>
        <v>80</v>
      </c>
      <c r="H62" s="77">
        <f>B37</f>
        <v>59</v>
      </c>
      <c r="I62" s="77">
        <f>B38</f>
        <v>80</v>
      </c>
      <c r="J62" s="77">
        <f>B39</f>
        <v>80</v>
      </c>
      <c r="K62" s="77">
        <f>B40</f>
        <v>0</v>
      </c>
      <c r="L62" s="77">
        <f>B41</f>
        <v>80</v>
      </c>
      <c r="M62" s="77">
        <f>B42</f>
        <v>80</v>
      </c>
      <c r="N62" s="77">
        <f>B43</f>
        <v>59</v>
      </c>
      <c r="O62" s="77">
        <f>B44</f>
        <v>80</v>
      </c>
      <c r="P62" s="77">
        <f>B45</f>
        <v>80</v>
      </c>
      <c r="Q62" s="77">
        <f>B46</f>
        <v>80</v>
      </c>
      <c r="R62" s="77">
        <f>B47</f>
        <v>80</v>
      </c>
      <c r="S62" s="77">
        <f>B48</f>
        <v>80</v>
      </c>
      <c r="T62" s="77">
        <f>B49</f>
        <v>80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A18" zoomScale="90" zoomScaleNormal="90" workbookViewId="0">
      <selection activeCell="S30" sqref="S3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Preseli!C1:D1</f>
        <v>PAN-025644</v>
      </c>
      <c r="D1" s="141"/>
      <c r="E1" s="93" t="s">
        <v>45</v>
      </c>
      <c r="F1" s="39">
        <f>Preseli!F1</f>
        <v>48.7</v>
      </c>
      <c r="G1" s="120" t="s">
        <v>43</v>
      </c>
      <c r="H1" s="121"/>
      <c r="I1" s="118">
        <v>6.6</v>
      </c>
      <c r="J1" s="119" t="s">
        <v>153</v>
      </c>
      <c r="K1" s="119"/>
      <c r="L1" s="97">
        <v>33.799999999999997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Preseli!C2:D2</f>
        <v>EPR/AB3891CX</v>
      </c>
      <c r="D2" s="143"/>
      <c r="E2" s="93" t="s">
        <v>109</v>
      </c>
      <c r="F2" s="96" t="s">
        <v>165</v>
      </c>
      <c r="G2" s="138" t="s">
        <v>110</v>
      </c>
      <c r="H2" s="139"/>
      <c r="I2" s="118"/>
      <c r="J2" s="119" t="s">
        <v>158</v>
      </c>
      <c r="K2" s="119"/>
      <c r="L2" s="97">
        <v>1.07</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Preseli!C3:D3</f>
        <v xml:space="preserve">Mr Daniel James and Mrs CarysJames </v>
      </c>
      <c r="D3" s="143"/>
      <c r="E3" s="93" t="s">
        <v>108</v>
      </c>
      <c r="F3" s="31" t="s">
        <v>104</v>
      </c>
      <c r="G3" s="119" t="s">
        <v>159</v>
      </c>
      <c r="H3" s="119"/>
      <c r="I3" s="118"/>
      <c r="J3" s="120" t="s">
        <v>154</v>
      </c>
      <c r="K3" s="121"/>
      <c r="L3" s="97">
        <f>(L1/(L2*10000))*100</f>
        <v>0.31588785046728968</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Preseli!C4:D4</f>
        <v>Middle Woodstock, Clarbeston Road, Woodstock, Pembrokshire, SA63 4TG</v>
      </c>
      <c r="D4" s="141"/>
      <c r="E4" s="94" t="s">
        <v>1</v>
      </c>
      <c r="F4" s="96" t="s">
        <v>194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t="str">
        <f>Preseli!C5:D5</f>
        <v>Megan Tucker</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t="str">
        <f>Preseli!C8</f>
        <v>Woodstock 1</v>
      </c>
      <c r="D8" s="60" t="str">
        <f>Preseli!D8</f>
        <v>Woodstock 2</v>
      </c>
      <c r="E8" s="60" t="str">
        <f>Preseli!E8</f>
        <v>Woodstock 3</v>
      </c>
      <c r="F8" s="60" t="str">
        <f>Preseli!F8</f>
        <v>Woodstock 4</v>
      </c>
      <c r="G8" s="60" t="str">
        <f>Preseli!G8</f>
        <v>Woodstock 5</v>
      </c>
      <c r="H8" s="60" t="str">
        <f>Preseli!H8</f>
        <v>Woodstock 6</v>
      </c>
      <c r="I8" s="60" t="str">
        <f>Preseli!I8</f>
        <v>Woodstock 7</v>
      </c>
      <c r="J8" s="60" t="str">
        <f>Preseli!J8</f>
        <v>Woodstock 8</v>
      </c>
      <c r="K8" s="60" t="str">
        <f>Preseli!K8</f>
        <v>Woodstock 9</v>
      </c>
      <c r="L8" s="60" t="str">
        <f>Preseli!L8</f>
        <v>Woodstock 10</v>
      </c>
      <c r="M8" s="60" t="str">
        <f>Preseli!M8</f>
        <v>Woodstock 11</v>
      </c>
      <c r="N8" s="60" t="str">
        <f>Preseli!N8</f>
        <v>Woodstock 12</v>
      </c>
      <c r="O8" s="60" t="str">
        <f>Preseli!O8</f>
        <v>Woodstock 13/14</v>
      </c>
      <c r="P8" s="60" t="str">
        <f>Preseli!P8</f>
        <v>Gwarcoed 16</v>
      </c>
      <c r="Q8" s="60" t="str">
        <f>Preseli!Q8</f>
        <v>Gwarcoed 17</v>
      </c>
      <c r="R8" s="60" t="str">
        <f>Preseli!R8</f>
        <v>Gwarcoed 19</v>
      </c>
      <c r="S8" s="60" t="str">
        <f>Preseli!S8</f>
        <v>Gwarcoed 22</v>
      </c>
      <c r="T8" s="60" t="str">
        <f>Preseli!T8</f>
        <v>Gwarcoed 23</v>
      </c>
      <c r="U8" s="60" t="str">
        <f>Preseli!U8</f>
        <v>Gwarcoed 24</v>
      </c>
      <c r="V8" s="60">
        <f>Preseli!V8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Preseli!C9</f>
        <v>Moderate</v>
      </c>
      <c r="D9" s="60" t="str">
        <f>Preseli!D9</f>
        <v>Moderate</v>
      </c>
      <c r="E9" s="60" t="str">
        <f>Preseli!E9</f>
        <v>Moderate</v>
      </c>
      <c r="F9" s="60" t="str">
        <f>Preseli!F9</f>
        <v>Moderate</v>
      </c>
      <c r="G9" s="60" t="str">
        <f>Preseli!G9</f>
        <v>Moderate</v>
      </c>
      <c r="H9" s="60" t="str">
        <f>Preseli!H9</f>
        <v>Moderate</v>
      </c>
      <c r="I9" s="60">
        <f>Preseli!I9</f>
        <v>1</v>
      </c>
      <c r="J9" s="60" t="str">
        <f>Preseli!J9</f>
        <v>Moderate</v>
      </c>
      <c r="K9" s="60" t="str">
        <f>Preseli!K9</f>
        <v>Moderate</v>
      </c>
      <c r="L9" s="60" t="str">
        <f>Preseli!L9</f>
        <v>Moderate</v>
      </c>
      <c r="M9" s="60" t="str">
        <f>Preseli!M9</f>
        <v>Moderate</v>
      </c>
      <c r="N9" s="60" t="str">
        <f>Preseli!N9</f>
        <v>Moderate</v>
      </c>
      <c r="O9" s="60">
        <f>Preseli!O9</f>
        <v>1</v>
      </c>
      <c r="P9" s="60" t="str">
        <f>Preseli!P9</f>
        <v>Moderate</v>
      </c>
      <c r="Q9" s="60" t="str">
        <f>Preseli!Q9</f>
        <v>Moderate</v>
      </c>
      <c r="R9" s="60" t="str">
        <f>Preseli!R9</f>
        <v>Moderate</v>
      </c>
      <c r="S9" s="60" t="str">
        <f>Preseli!S9</f>
        <v>Moderate</v>
      </c>
      <c r="T9" s="60" t="str">
        <f>Preseli!T9</f>
        <v>Moderate</v>
      </c>
      <c r="U9" s="60" t="str">
        <f>Preseli!U9</f>
        <v>Moderate</v>
      </c>
      <c r="V9" s="60">
        <f>Preseli!V9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Preseli!C10</f>
        <v>6.5</v>
      </c>
      <c r="D10" s="60">
        <f>Preseli!D10</f>
        <v>6.2</v>
      </c>
      <c r="E10" s="60">
        <f>Preseli!E10</f>
        <v>6.2</v>
      </c>
      <c r="F10" s="60">
        <f>Preseli!F10</f>
        <v>6.2</v>
      </c>
      <c r="G10" s="60">
        <f>Preseli!G10</f>
        <v>6.2</v>
      </c>
      <c r="H10" s="60">
        <f>Preseli!H10</f>
        <v>6.3</v>
      </c>
      <c r="I10" s="60">
        <f>Preseli!I10</f>
        <v>6.3</v>
      </c>
      <c r="J10" s="60">
        <f>Preseli!J10</f>
        <v>6.1</v>
      </c>
      <c r="K10" s="60">
        <f>Preseli!K10</f>
        <v>6.1</v>
      </c>
      <c r="L10" s="60">
        <f>Preseli!L10</f>
        <v>5.9</v>
      </c>
      <c r="M10" s="60">
        <f>Preseli!M10</f>
        <v>6.4</v>
      </c>
      <c r="N10" s="60">
        <f>Preseli!N10</f>
        <v>6.2</v>
      </c>
      <c r="O10" s="60">
        <f>Preseli!O10</f>
        <v>6.3</v>
      </c>
      <c r="P10" s="60">
        <f>Preseli!P10</f>
        <v>6.3</v>
      </c>
      <c r="Q10" s="60">
        <f>Preseli!Q10</f>
        <v>6.6</v>
      </c>
      <c r="R10" s="60">
        <f>Preseli!R10</f>
        <v>6.5</v>
      </c>
      <c r="S10" s="60">
        <f>Preseli!S10</f>
        <v>6.6</v>
      </c>
      <c r="T10" s="60">
        <f>Preseli!T10</f>
        <v>6.4</v>
      </c>
      <c r="U10" s="60">
        <f>Preseli!U10</f>
        <v>6.4</v>
      </c>
      <c r="V10" s="60">
        <f>Preseli!V10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Preseli!C11</f>
        <v>3</v>
      </c>
      <c r="D11" s="60">
        <f>Preseli!D11</f>
        <v>3</v>
      </c>
      <c r="E11" s="60">
        <f>Preseli!E11</f>
        <v>3</v>
      </c>
      <c r="F11" s="60">
        <f>Preseli!F11</f>
        <v>3</v>
      </c>
      <c r="G11" s="60">
        <f>Preseli!G11</f>
        <v>2</v>
      </c>
      <c r="H11" s="60">
        <f>Preseli!H11</f>
        <v>2</v>
      </c>
      <c r="I11" s="60">
        <f>Preseli!I11</f>
        <v>2</v>
      </c>
      <c r="J11" s="60">
        <f>Preseli!J11</f>
        <v>2</v>
      </c>
      <c r="K11" s="60">
        <f>Preseli!K11</f>
        <v>3</v>
      </c>
      <c r="L11" s="60">
        <f>Preseli!L11</f>
        <v>3</v>
      </c>
      <c r="M11" s="60">
        <f>Preseli!M11</f>
        <v>3</v>
      </c>
      <c r="N11" s="60">
        <f>Preseli!N11</f>
        <v>2</v>
      </c>
      <c r="O11" s="60">
        <f>Preseli!O11</f>
        <v>2</v>
      </c>
      <c r="P11" s="60">
        <f>Preseli!P11</f>
        <v>1</v>
      </c>
      <c r="Q11" s="60">
        <f>Preseli!Q11</f>
        <v>1</v>
      </c>
      <c r="R11" s="60">
        <f>Preseli!R11</f>
        <v>2</v>
      </c>
      <c r="S11" s="60">
        <f>Preseli!S11</f>
        <v>1</v>
      </c>
      <c r="T11" s="60">
        <f>Preseli!T11</f>
        <v>1</v>
      </c>
      <c r="U11" s="60">
        <f>Preseli!U11</f>
        <v>2</v>
      </c>
      <c r="V11" s="60">
        <f>Preseli!V11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Preseli!C12</f>
        <v>2</v>
      </c>
      <c r="D12" s="60">
        <f>Preseli!D12</f>
        <v>2</v>
      </c>
      <c r="E12" s="60">
        <f>Preseli!E12</f>
        <v>1</v>
      </c>
      <c r="F12" s="60">
        <f>Preseli!F12</f>
        <v>2</v>
      </c>
      <c r="G12" s="60">
        <f>Preseli!G12</f>
        <v>2</v>
      </c>
      <c r="H12" s="60">
        <f>Preseli!H12</f>
        <v>1</v>
      </c>
      <c r="I12" s="60">
        <f>Preseli!I12</f>
        <v>1</v>
      </c>
      <c r="J12" s="60">
        <f>Preseli!J12</f>
        <v>1</v>
      </c>
      <c r="K12" s="60">
        <f>Preseli!K12</f>
        <v>2</v>
      </c>
      <c r="L12" s="60">
        <f>Preseli!L12</f>
        <v>2</v>
      </c>
      <c r="M12" s="60">
        <f>Preseli!M12</f>
        <v>2</v>
      </c>
      <c r="N12" s="60">
        <f>Preseli!N12</f>
        <v>2</v>
      </c>
      <c r="O12" s="60">
        <f>Preseli!O12</f>
        <v>2</v>
      </c>
      <c r="P12" s="60">
        <f>Preseli!P12</f>
        <v>2</v>
      </c>
      <c r="Q12" s="60">
        <f>Preseli!Q12</f>
        <v>2</v>
      </c>
      <c r="R12" s="60">
        <f>Preseli!R12</f>
        <v>2</v>
      </c>
      <c r="S12" s="60">
        <f>Preseli!S12</f>
        <v>1</v>
      </c>
      <c r="T12" s="60">
        <f>Preseli!T12</f>
        <v>2</v>
      </c>
      <c r="U12" s="60">
        <f>Preseli!U12</f>
        <v>1</v>
      </c>
      <c r="V12" s="60">
        <f>Preseli!V12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Preseli!C13</f>
        <v>3</v>
      </c>
      <c r="D13" s="60">
        <f>Preseli!D13</f>
        <v>3</v>
      </c>
      <c r="E13" s="60">
        <f>Preseli!E13</f>
        <v>2</v>
      </c>
      <c r="F13" s="60">
        <f>Preseli!F13</f>
        <v>2</v>
      </c>
      <c r="G13" s="60">
        <f>Preseli!G13</f>
        <v>2</v>
      </c>
      <c r="H13" s="60">
        <f>Preseli!H13</f>
        <v>2</v>
      </c>
      <c r="I13" s="60">
        <f>Preseli!I13</f>
        <v>2</v>
      </c>
      <c r="J13" s="60">
        <f>Preseli!J13</f>
        <v>2</v>
      </c>
      <c r="K13" s="60">
        <f>Preseli!K13</f>
        <v>2</v>
      </c>
      <c r="L13" s="60">
        <f>Preseli!L13</f>
        <v>2</v>
      </c>
      <c r="M13" s="60">
        <f>Preseli!M13</f>
        <v>2</v>
      </c>
      <c r="N13" s="60">
        <f>Preseli!N13</f>
        <v>2</v>
      </c>
      <c r="O13" s="60">
        <f>Preseli!O13</f>
        <v>2</v>
      </c>
      <c r="P13" s="60">
        <f>Preseli!P13</f>
        <v>2</v>
      </c>
      <c r="Q13" s="60">
        <f>Preseli!Q13</f>
        <v>2</v>
      </c>
      <c r="R13" s="60">
        <f>Preseli!R13</f>
        <v>2</v>
      </c>
      <c r="S13" s="60">
        <f>Preseli!S13</f>
        <v>2</v>
      </c>
      <c r="T13" s="60">
        <f>Preseli!T13</f>
        <v>2</v>
      </c>
      <c r="U13" s="60">
        <f>Preseli!U13</f>
        <v>2</v>
      </c>
      <c r="V13" s="60">
        <f>Preseli!V13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Preseli!C14</f>
        <v xml:space="preserve">Grass Silage (25% DM) </v>
      </c>
      <c r="D14" s="102" t="str">
        <f>Preseli!D14</f>
        <v xml:space="preserve">Grass Silage (25% DM) </v>
      </c>
      <c r="E14" s="102" t="str">
        <f>Preseli!E14</f>
        <v xml:space="preserve">Grass Silage (25% DM) </v>
      </c>
      <c r="F14" s="102" t="str">
        <f>Preseli!F14</f>
        <v xml:space="preserve">Grass Silage (25% DM) </v>
      </c>
      <c r="G14" s="102" t="str">
        <f>Preseli!G14</f>
        <v xml:space="preserve">Grass Silage (25% DM) </v>
      </c>
      <c r="H14" s="102" t="str">
        <f>Preseli!H14</f>
        <v xml:space="preserve">Grass Silage (25% DM) </v>
      </c>
      <c r="I14" s="102" t="str">
        <f>Preseli!I14</f>
        <v>Spring wheat/barley</v>
      </c>
      <c r="J14" s="102" t="str">
        <f>Preseli!J14</f>
        <v xml:space="preserve">Grass Silage (25% DM) </v>
      </c>
      <c r="K14" s="102" t="str">
        <f>Preseli!K14</f>
        <v xml:space="preserve">Grass Silage (25% DM) </v>
      </c>
      <c r="L14" s="102" t="str">
        <f>Preseli!L14</f>
        <v xml:space="preserve">Grass Silage (25% DM) </v>
      </c>
      <c r="M14" s="102" t="str">
        <f>Preseli!M14</f>
        <v xml:space="preserve">Grass Silage (25% DM) </v>
      </c>
      <c r="N14" s="102" t="str">
        <f>Preseli!N14</f>
        <v xml:space="preserve">Grass Silage (25% DM) </v>
      </c>
      <c r="O14" s="102" t="str">
        <f>Preseli!O14</f>
        <v>Spring wheat/barley</v>
      </c>
      <c r="P14" s="102" t="str">
        <f>Preseli!P14</f>
        <v xml:space="preserve">Grass Silage (25% DM) </v>
      </c>
      <c r="Q14" s="102" t="str">
        <f>Preseli!Q14</f>
        <v xml:space="preserve">Grass Silage (25% DM) </v>
      </c>
      <c r="R14" s="102" t="str">
        <f>Preseli!R14</f>
        <v xml:space="preserve">Grass Silage (25% DM) </v>
      </c>
      <c r="S14" s="102" t="str">
        <f>Preseli!S14</f>
        <v xml:space="preserve">Grass Silage (25% DM) </v>
      </c>
      <c r="T14" s="102" t="str">
        <f>Preseli!T14</f>
        <v xml:space="preserve">Grass Silage (25% DM) </v>
      </c>
      <c r="U14" s="102" t="str">
        <f>Preseli!U14</f>
        <v xml:space="preserve">Grass Silage (25% DM) </v>
      </c>
      <c r="V14" s="102">
        <f>Preseli!V14</f>
        <v>0</v>
      </c>
      <c r="AD14" s="30" t="s">
        <v>138</v>
      </c>
      <c r="AE14" s="30">
        <v>6</v>
      </c>
      <c r="AI14" s="53" t="s">
        <v>119</v>
      </c>
      <c r="AJ14" s="54">
        <v>0.8</v>
      </c>
      <c r="AK14" s="55">
        <v>1.7</v>
      </c>
      <c r="AL14" s="11">
        <v>12</v>
      </c>
      <c r="AM14" s="11">
        <v>6.7</v>
      </c>
      <c r="AN14" s="11" t="s">
        <v>135</v>
      </c>
    </row>
    <row r="15" spans="1:41" ht="13" x14ac:dyDescent="0.25">
      <c r="A15" s="130" t="s">
        <v>9</v>
      </c>
      <c r="B15" s="130"/>
      <c r="C15" s="60">
        <f>Preseli!C15</f>
        <v>47</v>
      </c>
      <c r="D15" s="60">
        <f>Preseli!D15</f>
        <v>47</v>
      </c>
      <c r="E15" s="60">
        <f>Preseli!E15</f>
        <v>47</v>
      </c>
      <c r="F15" s="60">
        <f>Preseli!F15</f>
        <v>47</v>
      </c>
      <c r="G15" s="60">
        <f>Preseli!G15</f>
        <v>47</v>
      </c>
      <c r="H15" s="60">
        <f>Preseli!H15</f>
        <v>47</v>
      </c>
      <c r="I15" s="60">
        <f>Preseli!I15</f>
        <v>25</v>
      </c>
      <c r="J15" s="60">
        <f>Preseli!J15</f>
        <v>47</v>
      </c>
      <c r="K15" s="60">
        <f>Preseli!K15</f>
        <v>47</v>
      </c>
      <c r="L15" s="60">
        <f>Preseli!L15</f>
        <v>47</v>
      </c>
      <c r="M15" s="60">
        <f>Preseli!M15</f>
        <v>47</v>
      </c>
      <c r="N15" s="60">
        <f>Preseli!N15</f>
        <v>47</v>
      </c>
      <c r="O15" s="60">
        <f>Preseli!O15</f>
        <v>25</v>
      </c>
      <c r="P15" s="60">
        <f>Preseli!P15</f>
        <v>47</v>
      </c>
      <c r="Q15" s="60">
        <f>Preseli!Q15</f>
        <v>47</v>
      </c>
      <c r="R15" s="60">
        <f>Preseli!R15</f>
        <v>47</v>
      </c>
      <c r="S15" s="60">
        <f>Preseli!S15</f>
        <v>47</v>
      </c>
      <c r="T15" s="60">
        <f>Preseli!T15</f>
        <v>47</v>
      </c>
      <c r="U15" s="60">
        <f>Preseli!U15</f>
        <v>47</v>
      </c>
      <c r="V15" s="60">
        <f>Preseli!V15</f>
        <v>0</v>
      </c>
      <c r="AD15" s="30" t="s">
        <v>144</v>
      </c>
      <c r="AE15" s="30">
        <v>7</v>
      </c>
      <c r="AI15" s="53" t="s">
        <v>101</v>
      </c>
      <c r="AJ15" s="62">
        <v>1.8</v>
      </c>
      <c r="AK15" s="55">
        <v>5.4</v>
      </c>
      <c r="AL15" s="11">
        <v>13</v>
      </c>
      <c r="AM15" s="11">
        <v>6.7</v>
      </c>
      <c r="AN15" s="11" t="s">
        <v>135</v>
      </c>
    </row>
    <row r="16" spans="1:41" ht="13.5" thickBot="1" x14ac:dyDescent="0.3">
      <c r="A16" s="132" t="s">
        <v>44</v>
      </c>
      <c r="B16" s="132"/>
      <c r="C16" s="103">
        <f>Preseli!C16</f>
        <v>0</v>
      </c>
      <c r="D16" s="103">
        <f>Preseli!D16</f>
        <v>0</v>
      </c>
      <c r="E16" s="103">
        <f>Preseli!E16</f>
        <v>0</v>
      </c>
      <c r="F16" s="103">
        <f>Preseli!F16</f>
        <v>0</v>
      </c>
      <c r="G16" s="103">
        <f>Preseli!G16</f>
        <v>0</v>
      </c>
      <c r="H16" s="103">
        <f>Preseli!H16</f>
        <v>0</v>
      </c>
      <c r="I16" s="103">
        <f>Preseli!I16</f>
        <v>0</v>
      </c>
      <c r="J16" s="103">
        <f>Preseli!J16</f>
        <v>0</v>
      </c>
      <c r="K16" s="103">
        <f>Preseli!K16</f>
        <v>0</v>
      </c>
      <c r="L16" s="103">
        <f>Preseli!L16</f>
        <v>0</v>
      </c>
      <c r="M16" s="103">
        <f>Preseli!M16</f>
        <v>0</v>
      </c>
      <c r="N16" s="103">
        <f>Preseli!N16</f>
        <v>0</v>
      </c>
      <c r="O16" s="103">
        <f>Preseli!O16</f>
        <v>0</v>
      </c>
      <c r="P16" s="103">
        <f>Preseli!P16</f>
        <v>0</v>
      </c>
      <c r="Q16" s="103">
        <f>Preseli!Q16</f>
        <v>0</v>
      </c>
      <c r="R16" s="103">
        <f>Preseli!R16</f>
        <v>0</v>
      </c>
      <c r="S16" s="103">
        <f>Preseli!S16</f>
        <v>0</v>
      </c>
      <c r="T16" s="103">
        <f>Preseli!T16</f>
        <v>0</v>
      </c>
      <c r="U16" s="103">
        <f>Preseli!U16</f>
        <v>0</v>
      </c>
      <c r="V16" s="103">
        <f>Preseli!V16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212.5</v>
      </c>
      <c r="J17" s="28">
        <f t="shared" si="0"/>
        <v>79.899999999999991</v>
      </c>
      <c r="K17" s="28">
        <f t="shared" si="0"/>
        <v>79.899999999999991</v>
      </c>
      <c r="L17" s="28">
        <f t="shared" si="0"/>
        <v>79.899999999999991</v>
      </c>
      <c r="M17" s="28">
        <f t="shared" si="0"/>
        <v>79.899999999999991</v>
      </c>
      <c r="N17" s="28">
        <f t="shared" si="0"/>
        <v>79.899999999999991</v>
      </c>
      <c r="O17" s="28">
        <f t="shared" si="0"/>
        <v>212.5</v>
      </c>
      <c r="P17" s="28">
        <f t="shared" si="0"/>
        <v>79.899999999999991</v>
      </c>
      <c r="Q17" s="28">
        <f t="shared" si="0"/>
        <v>79.899999999999991</v>
      </c>
      <c r="R17" s="28">
        <f t="shared" si="0"/>
        <v>79.899999999999991</v>
      </c>
      <c r="S17" s="28">
        <f t="shared" si="0"/>
        <v>79.899999999999991</v>
      </c>
      <c r="T17" s="28">
        <f t="shared" si="0"/>
        <v>79.899999999999991</v>
      </c>
      <c r="U17" s="28">
        <f t="shared" si="0"/>
        <v>79.899999999999991</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79.125641599999994</v>
      </c>
      <c r="D18" s="16">
        <f>$D32</f>
        <v>79.125641599999994</v>
      </c>
      <c r="E18" s="16">
        <f>$D33</f>
        <v>79.125641599999994</v>
      </c>
      <c r="F18" s="16">
        <f>$D34</f>
        <v>79.125641599999994</v>
      </c>
      <c r="G18" s="16">
        <f>$D35</f>
        <v>79.125641599999994</v>
      </c>
      <c r="H18" s="16">
        <f>$D36</f>
        <v>79.125641599999994</v>
      </c>
      <c r="I18" s="16">
        <f>$D37</f>
        <v>44.508173399999997</v>
      </c>
      <c r="J18" s="16">
        <f>$D38</f>
        <v>79.125641599999994</v>
      </c>
      <c r="K18" s="16">
        <f>$D39</f>
        <v>79.125641599999994</v>
      </c>
      <c r="L18" s="16">
        <f>$D40</f>
        <v>0</v>
      </c>
      <c r="M18" s="16">
        <f>$D41</f>
        <v>79.125641599999994</v>
      </c>
      <c r="N18" s="16">
        <f>$D42</f>
        <v>79.125641599999994</v>
      </c>
      <c r="O18" s="16">
        <f>$D43</f>
        <v>44.508173399999997</v>
      </c>
      <c r="P18" s="16">
        <f>$D44</f>
        <v>79.125641599999994</v>
      </c>
      <c r="Q18" s="16">
        <f>$D45</f>
        <v>79.125641599999994</v>
      </c>
      <c r="R18" s="16">
        <f>$D46</f>
        <v>79.125641599999994</v>
      </c>
      <c r="S18" s="16">
        <f>$D47</f>
        <v>79.125641599999994</v>
      </c>
      <c r="T18" s="16">
        <f>$D48</f>
        <v>79.125641599999994</v>
      </c>
      <c r="U18" s="16">
        <f>$D49</f>
        <v>79.125641599999994</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-0.774358399999997</v>
      </c>
      <c r="D19" s="16">
        <f t="shared" ref="D19:V19" si="1">D18-D17</f>
        <v>-0.774358399999997</v>
      </c>
      <c r="E19" s="16">
        <f t="shared" si="1"/>
        <v>-0.774358399999997</v>
      </c>
      <c r="F19" s="16">
        <f t="shared" si="1"/>
        <v>-0.774358399999997</v>
      </c>
      <c r="G19" s="16">
        <f t="shared" si="1"/>
        <v>-0.774358399999997</v>
      </c>
      <c r="H19" s="16">
        <f t="shared" si="1"/>
        <v>-0.774358399999997</v>
      </c>
      <c r="I19" s="16">
        <f t="shared" si="1"/>
        <v>-167.9918266</v>
      </c>
      <c r="J19" s="16">
        <f t="shared" si="1"/>
        <v>-0.774358399999997</v>
      </c>
      <c r="K19" s="16">
        <f t="shared" si="1"/>
        <v>-0.774358399999997</v>
      </c>
      <c r="L19" s="16">
        <f t="shared" si="1"/>
        <v>-79.899999999999991</v>
      </c>
      <c r="M19" s="16">
        <f t="shared" si="1"/>
        <v>-0.774358399999997</v>
      </c>
      <c r="N19" s="16">
        <f t="shared" si="1"/>
        <v>-0.774358399999997</v>
      </c>
      <c r="O19" s="16">
        <f t="shared" si="1"/>
        <v>-167.9918266</v>
      </c>
      <c r="P19" s="16">
        <f t="shared" si="1"/>
        <v>-0.774358399999997</v>
      </c>
      <c r="Q19" s="16">
        <f t="shared" si="1"/>
        <v>-0.774358399999997</v>
      </c>
      <c r="R19" s="16">
        <f t="shared" si="1"/>
        <v>-0.774358399999997</v>
      </c>
      <c r="S19" s="16">
        <f t="shared" si="1"/>
        <v>-0.774358399999997</v>
      </c>
      <c r="T19" s="16">
        <f t="shared" si="1"/>
        <v>-0.774358399999997</v>
      </c>
      <c r="U19" s="16">
        <f t="shared" si="1"/>
        <v>-0.774358399999997</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DECREASE</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282</v>
      </c>
      <c r="D21" s="28">
        <f t="shared" ref="D21:V21" si="2">(VLOOKUP(D$14,$AI2:$AK26,3,FALSE))*D$15</f>
        <v>282</v>
      </c>
      <c r="E21" s="28">
        <f t="shared" si="2"/>
        <v>282</v>
      </c>
      <c r="F21" s="28">
        <f t="shared" si="2"/>
        <v>282</v>
      </c>
      <c r="G21" s="28">
        <f t="shared" si="2"/>
        <v>282</v>
      </c>
      <c r="H21" s="28">
        <f t="shared" si="2"/>
        <v>282</v>
      </c>
      <c r="I21" s="28">
        <f t="shared" si="2"/>
        <v>300</v>
      </c>
      <c r="J21" s="28">
        <f t="shared" si="2"/>
        <v>282</v>
      </c>
      <c r="K21" s="28">
        <f t="shared" si="2"/>
        <v>282</v>
      </c>
      <c r="L21" s="28">
        <f t="shared" si="2"/>
        <v>282</v>
      </c>
      <c r="M21" s="28">
        <f t="shared" si="2"/>
        <v>282</v>
      </c>
      <c r="N21" s="28">
        <f t="shared" si="2"/>
        <v>282</v>
      </c>
      <c r="O21" s="28">
        <f t="shared" si="2"/>
        <v>300</v>
      </c>
      <c r="P21" s="28">
        <f t="shared" si="2"/>
        <v>282</v>
      </c>
      <c r="Q21" s="28">
        <f t="shared" si="2"/>
        <v>282</v>
      </c>
      <c r="R21" s="28">
        <f t="shared" si="2"/>
        <v>282</v>
      </c>
      <c r="S21" s="28">
        <f t="shared" si="2"/>
        <v>282</v>
      </c>
      <c r="T21" s="28">
        <f t="shared" si="2"/>
        <v>282</v>
      </c>
      <c r="U21" s="28">
        <f t="shared" si="2"/>
        <v>282</v>
      </c>
      <c r="V21" s="28" t="e">
        <f t="shared" si="2"/>
        <v>#N/A</v>
      </c>
      <c r="AI21" s="63" t="s">
        <v>100</v>
      </c>
      <c r="AJ21" s="66">
        <v>11</v>
      </c>
      <c r="AK21" s="65">
        <v>12</v>
      </c>
      <c r="AL21" s="29">
        <v>19</v>
      </c>
      <c r="AM21" s="11">
        <v>6.7</v>
      </c>
      <c r="AN21" s="11" t="s">
        <v>135</v>
      </c>
    </row>
    <row r="22" spans="1:40" ht="13" x14ac:dyDescent="0.25">
      <c r="A22" s="124" t="s">
        <v>89</v>
      </c>
      <c r="B22" s="125"/>
      <c r="C22" s="16">
        <f>$E31</f>
        <v>11.6231408</v>
      </c>
      <c r="D22" s="16">
        <f>$E32</f>
        <v>11.6231408</v>
      </c>
      <c r="E22" s="16">
        <f>$E33</f>
        <v>11.6231408</v>
      </c>
      <c r="F22" s="16">
        <f>$E34</f>
        <v>11.6231408</v>
      </c>
      <c r="G22" s="16">
        <f>$E35</f>
        <v>11.6231408</v>
      </c>
      <c r="H22" s="16">
        <f>$E36</f>
        <v>11.6231408</v>
      </c>
      <c r="I22" s="16">
        <f>$E37</f>
        <v>6.5380167</v>
      </c>
      <c r="J22" s="16">
        <f>$E38</f>
        <v>11.6231408</v>
      </c>
      <c r="K22" s="16">
        <f>$E39</f>
        <v>11.6231408</v>
      </c>
      <c r="L22" s="16">
        <f>$E40</f>
        <v>0</v>
      </c>
      <c r="M22" s="16">
        <f>$E41</f>
        <v>11.6231408</v>
      </c>
      <c r="N22" s="16">
        <f>$E42</f>
        <v>11.6231408</v>
      </c>
      <c r="O22" s="16">
        <f>$E43</f>
        <v>6.5380167</v>
      </c>
      <c r="P22" s="16">
        <f>$E44</f>
        <v>11.6231408</v>
      </c>
      <c r="Q22" s="16">
        <f>$E45</f>
        <v>11.6231408</v>
      </c>
      <c r="R22" s="16">
        <f>$E46</f>
        <v>11.6231408</v>
      </c>
      <c r="S22" s="16">
        <f>$E47</f>
        <v>11.6231408</v>
      </c>
      <c r="T22" s="16">
        <f>$E48</f>
        <v>11.6231408</v>
      </c>
      <c r="U22" s="16">
        <f>$E49</f>
        <v>11.6231408</v>
      </c>
      <c r="V22" s="16">
        <f>$E50</f>
        <v>0</v>
      </c>
      <c r="AI22" s="63" t="s">
        <v>102</v>
      </c>
      <c r="AJ22" s="64">
        <v>1.2</v>
      </c>
      <c r="AK22" s="65">
        <v>5</v>
      </c>
      <c r="AL22" s="29">
        <v>20</v>
      </c>
      <c r="AM22" s="11">
        <v>6.7</v>
      </c>
      <c r="AN22" s="11" t="s">
        <v>135</v>
      </c>
    </row>
    <row r="23" spans="1:40" ht="13" x14ac:dyDescent="0.25">
      <c r="A23" s="124" t="s">
        <v>92</v>
      </c>
      <c r="B23" s="125"/>
      <c r="C23" s="16">
        <f>C22-C21</f>
        <v>-270.37685920000001</v>
      </c>
      <c r="D23" s="16">
        <f t="shared" ref="D23:V23" si="3">D22-D21</f>
        <v>-270.37685920000001</v>
      </c>
      <c r="E23" s="16">
        <f t="shared" si="3"/>
        <v>-270.37685920000001</v>
      </c>
      <c r="F23" s="16">
        <f t="shared" si="3"/>
        <v>-270.37685920000001</v>
      </c>
      <c r="G23" s="16">
        <f t="shared" si="3"/>
        <v>-270.37685920000001</v>
      </c>
      <c r="H23" s="16">
        <f t="shared" si="3"/>
        <v>-270.37685920000001</v>
      </c>
      <c r="I23" s="16">
        <f t="shared" si="3"/>
        <v>-293.46198329999999</v>
      </c>
      <c r="J23" s="16">
        <f t="shared" si="3"/>
        <v>-270.37685920000001</v>
      </c>
      <c r="K23" s="16">
        <f t="shared" si="3"/>
        <v>-270.37685920000001</v>
      </c>
      <c r="L23" s="16">
        <f t="shared" si="3"/>
        <v>-282</v>
      </c>
      <c r="M23" s="16">
        <f t="shared" si="3"/>
        <v>-270.37685920000001</v>
      </c>
      <c r="N23" s="16">
        <f t="shared" si="3"/>
        <v>-270.37685920000001</v>
      </c>
      <c r="O23" s="16">
        <f t="shared" si="3"/>
        <v>-293.46198329999999</v>
      </c>
      <c r="P23" s="16">
        <f t="shared" si="3"/>
        <v>-270.37685920000001</v>
      </c>
      <c r="Q23" s="16">
        <f t="shared" si="3"/>
        <v>-270.37685920000001</v>
      </c>
      <c r="R23" s="16">
        <f t="shared" si="3"/>
        <v>-270.37685920000001</v>
      </c>
      <c r="S23" s="16">
        <f t="shared" si="3"/>
        <v>-270.37685920000001</v>
      </c>
      <c r="T23" s="16">
        <f t="shared" si="3"/>
        <v>-270.37685920000001</v>
      </c>
      <c r="U23" s="16">
        <f t="shared" si="3"/>
        <v>-270.37685920000001</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17.2</v>
      </c>
      <c r="C28" s="15">
        <v>1.07</v>
      </c>
      <c r="D28" s="15">
        <v>0.251</v>
      </c>
      <c r="E28" s="15">
        <v>7.0099999999999996E-2</v>
      </c>
      <c r="F28" s="15">
        <v>1620</v>
      </c>
      <c r="G28" s="15">
        <v>53.3</v>
      </c>
      <c r="H28" s="15">
        <v>146</v>
      </c>
      <c r="I28" s="15">
        <v>9.9</v>
      </c>
      <c r="J28" s="15">
        <v>0.55000000000000004</v>
      </c>
      <c r="K28" s="23">
        <v>0.55000000000000004</v>
      </c>
      <c r="L28" s="15">
        <v>32.4</v>
      </c>
      <c r="M28" s="15">
        <v>21.1</v>
      </c>
      <c r="N28" s="15">
        <v>127000</v>
      </c>
      <c r="O28" s="15">
        <v>26900</v>
      </c>
      <c r="P28" s="15"/>
      <c r="Q28" s="15">
        <v>5550</v>
      </c>
      <c r="R28" s="15"/>
      <c r="S28" s="15">
        <v>19</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Woodstock 1</v>
      </c>
      <c r="B31" s="15">
        <v>80</v>
      </c>
      <c r="C31" s="77">
        <f>IF(C$27="%w/w SAR",((C$28*10)*$B31),IF(C$27="%w/w DM",(((C$28*10)*($B$28/100))*$B31),IF(C$27="kg/t SAR",(C$28*$B31),IF(C$27="kg/t DM",((C$28*($B$28/100))*$B31),IF(C$27="mg/kg SAR",((C$28*0.001)*$B31),IF(C$27="mg/kg DM",(((C$28*0.001)*($B$28/100))*$B31),0))))))</f>
        <v>147.232</v>
      </c>
      <c r="D31" s="77">
        <f>(IF(D$27="%w/w SAR",((D$28*10)*$B31),IF(D$27="%w/w DM",(((D$28*10)*($B$28/100))*$B31),IF(D$27="kg/t SAR",(D$28*$B31),IF(D$27="kg/t DM",((D$28*($B$28/100))*$B31),IF(D$27="mg/kg SAR",((D$28*0.001)*$B31),IF(D$27="mg/kg DM",(((D$28*0.001)*($B$28/100))*$B31),"0")))))))*2.291</f>
        <v>79.125641599999994</v>
      </c>
      <c r="E31" s="77">
        <f>(IF(E$27="%w/w SAR",((E$28*10)*$B31),IF(E$27="%w/w DM",(((E$28*10)*($B$28/100))*$B31),IF(E$27="kg/t SAR",(E$28*$B31),IF(E$27="kg/t DM",((E$28*($B$28/100))*$B31),IF(E$27="mg/kg SAR",((E$28*0.001)*$B31),IF(E$27="mg/kg DM",(((E$28*0.001)*($B$28/100))*$B31),"0")))))))*1.205</f>
        <v>11.6231408</v>
      </c>
      <c r="F31" s="77">
        <f>(IF(F$27="%w/w SAR",((F$28*10)*$B31),IF(F$27="%w/w DM",(((F$28*10)*($B$28/100))*$B31),IF(F$27="kg/t SAR",(F$28*$B31),IF(F$27="kg/t DM",((F$28*($B$28/100))*$B31),IF(F$27="mg/kg SAR",((F$28*0.001)*$B31),IF(F$27="mg/kg DM",(((F$28*0.001)*($B$28/100))*$B31),"0")))))))*1.658</f>
        <v>36.958809599999995</v>
      </c>
      <c r="G31" s="77">
        <f t="shared" ref="G31:P46" si="5">IF(G$27="%w/w SAR",((G$28*10)*$B31),IF(G$27="%w/w DM",(((G$28*10)*($B$28/100))*$B31),IF(G$27="kg/t SAR",(G$28*$B31),IF(G$27="kg/t DM",((G$28*($B$28/100))*$B31),IF(G$27="mg/kg SAR",((G$28*0.001)*$B31),IF(G$27="mg/kg DM",(((G$28*0.001)*($B$28/100))*$B31),0))))))</f>
        <v>0.73340799999999995</v>
      </c>
      <c r="H31" s="77">
        <f t="shared" si="5"/>
        <v>2.0089599999999996</v>
      </c>
      <c r="I31" s="77">
        <f t="shared" si="5"/>
        <v>0.13622400000000001</v>
      </c>
      <c r="J31" s="77">
        <f t="shared" si="5"/>
        <v>7.5680000000000001E-3</v>
      </c>
      <c r="K31" s="77">
        <f t="shared" si="5"/>
        <v>7.5680000000000001E-3</v>
      </c>
      <c r="L31" s="77">
        <f t="shared" si="5"/>
        <v>0.44582399999999994</v>
      </c>
      <c r="M31" s="77">
        <f t="shared" si="5"/>
        <v>0.29033599999999998</v>
      </c>
      <c r="N31" s="77">
        <f t="shared" si="5"/>
        <v>1747.5199999999998</v>
      </c>
      <c r="O31" s="77">
        <f t="shared" si="5"/>
        <v>370.14400000000001</v>
      </c>
      <c r="P31" s="77">
        <f t="shared" si="5"/>
        <v>0</v>
      </c>
      <c r="Q31" s="77">
        <f>(IF(Q$27="%w/w SAR",((Q$28*10)*$B31),IF(Q$27="%w/w DM",(((Q$28*10)*($B$28/100))*$B31),IF(Q$27="kg/t SAR",(Q$28*$B31),IF(Q$27="kg/t DM",((Q$28*($B$28/100))*$B31),IF(Q$27="mg/kg SAR",((Q$28*0.001)*$B31),IF(Q$27="mg/kg DM",(((Q$28*0.001)*($B$28/100))*$B31),0)))))))*2.5</f>
        <v>190.92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0.26143999999999995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Woodstock 2</v>
      </c>
      <c r="B32" s="15">
        <v>80</v>
      </c>
      <c r="C32" s="77">
        <f t="shared" ref="C32:C50" si="6">IF(C$27="%w/w SAR",((C$28*10)*$B32),IF(C$27="%w/w DM",(((C$28*10)*($B$28/100))*$B32),IF(C$27="kg/t SAR",(C$28*$B32),IF(C$27="kg/t DM",((C$28*($B$28/100))*$B32),IF(C$27="mg/kg SAR",((C$28*0.001)*$B32),IF(C$27="mg/kg DM",(((C$28*0.001)*($B$28/100))*$B32),0))))))</f>
        <v>147.232</v>
      </c>
      <c r="D32" s="77">
        <f t="shared" ref="D32:D50" si="7">(IF(D$27="%w/w SAR",((D$28*10)*$B32),IF(D$27="%w/w DM",(((D$28*10)*($B$28/100))*$B32),IF(D$27="kg/t SAR",(D$28*$B32),IF(D$27="kg/t DM",((D$28*($B$28/100))*$B32),IF(D$27="mg/kg SAR",((D$28*0.001)*$B32),IF(D$27="mg/kg DM",(((D$28*0.001)*($B$28/100))*$B32),"0")))))))*2.291</f>
        <v>79.125641599999994</v>
      </c>
      <c r="E32" s="77">
        <f t="shared" ref="E32:E50" si="8">(IF(E$27="%w/w SAR",((E$28*10)*$B32),IF(E$27="%w/w DM",(((E$28*10)*($B$28/100))*$B32),IF(E$27="kg/t SAR",(E$28*$B32),IF(E$27="kg/t DM",((E$28*($B$28/100))*$B32),IF(E$27="mg/kg SAR",((E$28*0.001)*$B32),IF(E$27="mg/kg DM",(((E$28*0.001)*($B$28/100))*$B32),"0")))))))*1.205</f>
        <v>11.6231408</v>
      </c>
      <c r="F32" s="77">
        <f t="shared" ref="F32:F50" si="9">(IF(F$27="%w/w SAR",((F$28*10)*$B32),IF(F$27="%w/w DM",(((F$28*10)*($B$28/100))*$B32),IF(F$27="kg/t SAR",(F$28*$B32),IF(F$27="kg/t DM",((F$28*($B$28/100))*$B32),IF(F$27="mg/kg SAR",((F$28*0.001)*$B32),IF(F$27="mg/kg DM",(((F$28*0.001)*($B$28/100))*$B32),"0")))))))*1.658</f>
        <v>36.958809599999995</v>
      </c>
      <c r="G32" s="77">
        <f t="shared" si="5"/>
        <v>0.73340799999999995</v>
      </c>
      <c r="H32" s="77">
        <f t="shared" si="5"/>
        <v>2.0089599999999996</v>
      </c>
      <c r="I32" s="77">
        <f t="shared" si="5"/>
        <v>0.13622400000000001</v>
      </c>
      <c r="J32" s="77">
        <f t="shared" si="5"/>
        <v>7.5680000000000001E-3</v>
      </c>
      <c r="K32" s="77">
        <f t="shared" si="5"/>
        <v>7.5680000000000001E-3</v>
      </c>
      <c r="L32" s="77">
        <f t="shared" si="5"/>
        <v>0.44582399999999994</v>
      </c>
      <c r="M32" s="77">
        <f t="shared" si="5"/>
        <v>0.29033599999999998</v>
      </c>
      <c r="N32" s="77">
        <f t="shared" si="5"/>
        <v>1747.5199999999998</v>
      </c>
      <c r="O32" s="77">
        <f t="shared" si="5"/>
        <v>370.14400000000001</v>
      </c>
      <c r="P32" s="77">
        <f t="shared" si="5"/>
        <v>0</v>
      </c>
      <c r="Q32" s="77">
        <f t="shared" ref="Q32:Q50" si="10">(IF(Q$27="%w/w SAR",((Q$28*10)*$B32),IF(Q$27="%w/w DM",(((Q$28*10)*($B$28/100))*$B32),IF(Q$27="kg/t SAR",(Q$28*$B32),IF(Q$27="kg/t DM",((Q$28*($B$28/100))*$B32),IF(Q$27="mg/kg SAR",((Q$28*0.001)*$B32),IF(Q$27="mg/kg DM",(((Q$28*0.001)*($B$28/100))*$B32),0)))))))*2.5</f>
        <v>190.92</v>
      </c>
      <c r="R32" s="77">
        <f t="shared" ref="R32:U50" si="11">IF(R$27="%w/w SAR",((R$28*10)*$B32),IF(R$27="%w/w DM",(((R$28*10)*($B$28/100))*$B32),IF(R$27="kg/t SAR",(R$28*$B32),IF(R$27="kg/t DM",((R$28*($B$28/100))*$B32),IF(R$27="mg/kg SAR",((R$28*0.001)*$B32),IF(R$27="mg/kg DM",(((R$28*0.001)*($B$28/100))*$B32),0))))))</f>
        <v>0</v>
      </c>
      <c r="S32" s="77">
        <f t="shared" si="11"/>
        <v>0.26143999999999995</v>
      </c>
      <c r="T32" s="77">
        <f t="shared" si="11"/>
        <v>0</v>
      </c>
      <c r="U32" s="77">
        <f t="shared" si="11"/>
        <v>0</v>
      </c>
      <c r="AB32" s="59"/>
      <c r="AC32" s="59"/>
      <c r="AD32" s="59"/>
      <c r="AE32" s="59"/>
      <c r="AF32" s="59"/>
      <c r="AG32" s="59"/>
      <c r="AH32" s="59"/>
      <c r="AI32" s="59"/>
    </row>
    <row r="33" spans="1:35" s="72" customFormat="1" ht="13" x14ac:dyDescent="0.35">
      <c r="A33" s="13" t="str">
        <f>E8</f>
        <v>Woodstock 3</v>
      </c>
      <c r="B33" s="15">
        <v>80</v>
      </c>
      <c r="C33" s="77">
        <f t="shared" si="6"/>
        <v>147.232</v>
      </c>
      <c r="D33" s="77">
        <f t="shared" si="7"/>
        <v>79.125641599999994</v>
      </c>
      <c r="E33" s="77">
        <f t="shared" si="8"/>
        <v>11.6231408</v>
      </c>
      <c r="F33" s="77">
        <f t="shared" si="9"/>
        <v>36.958809599999995</v>
      </c>
      <c r="G33" s="77">
        <f t="shared" si="5"/>
        <v>0.73340799999999995</v>
      </c>
      <c r="H33" s="77">
        <f t="shared" si="5"/>
        <v>2.0089599999999996</v>
      </c>
      <c r="I33" s="77">
        <f t="shared" si="5"/>
        <v>0.13622400000000001</v>
      </c>
      <c r="J33" s="77">
        <f t="shared" si="5"/>
        <v>7.5680000000000001E-3</v>
      </c>
      <c r="K33" s="77">
        <f t="shared" si="5"/>
        <v>7.5680000000000001E-3</v>
      </c>
      <c r="L33" s="77">
        <f t="shared" si="5"/>
        <v>0.44582399999999994</v>
      </c>
      <c r="M33" s="77">
        <f t="shared" si="5"/>
        <v>0.29033599999999998</v>
      </c>
      <c r="N33" s="77">
        <f t="shared" si="5"/>
        <v>1747.5199999999998</v>
      </c>
      <c r="O33" s="77">
        <f t="shared" si="5"/>
        <v>370.14400000000001</v>
      </c>
      <c r="P33" s="77">
        <f t="shared" si="5"/>
        <v>0</v>
      </c>
      <c r="Q33" s="77">
        <f t="shared" si="10"/>
        <v>190.92</v>
      </c>
      <c r="R33" s="77">
        <f t="shared" si="11"/>
        <v>0</v>
      </c>
      <c r="S33" s="77">
        <f t="shared" si="11"/>
        <v>0.26143999999999995</v>
      </c>
      <c r="T33" s="77">
        <f t="shared" si="11"/>
        <v>0</v>
      </c>
      <c r="U33" s="77">
        <f t="shared" si="11"/>
        <v>0</v>
      </c>
      <c r="AB33" s="59"/>
      <c r="AC33" s="59"/>
      <c r="AD33" s="59"/>
      <c r="AE33" s="59"/>
      <c r="AF33" s="59"/>
      <c r="AG33" s="59"/>
      <c r="AH33" s="59"/>
      <c r="AI33" s="59"/>
    </row>
    <row r="34" spans="1:35" s="72" customFormat="1" ht="13" x14ac:dyDescent="0.35">
      <c r="A34" s="13" t="str">
        <f>F8</f>
        <v>Woodstock 4</v>
      </c>
      <c r="B34" s="15">
        <v>80</v>
      </c>
      <c r="C34" s="77">
        <f t="shared" si="6"/>
        <v>147.232</v>
      </c>
      <c r="D34" s="77">
        <f t="shared" si="7"/>
        <v>79.125641599999994</v>
      </c>
      <c r="E34" s="77">
        <f t="shared" si="8"/>
        <v>11.6231408</v>
      </c>
      <c r="F34" s="77">
        <f t="shared" si="9"/>
        <v>36.958809599999995</v>
      </c>
      <c r="G34" s="77">
        <f t="shared" si="5"/>
        <v>0.73340799999999995</v>
      </c>
      <c r="H34" s="77">
        <f t="shared" si="5"/>
        <v>2.0089599999999996</v>
      </c>
      <c r="I34" s="77">
        <f t="shared" si="5"/>
        <v>0.13622400000000001</v>
      </c>
      <c r="J34" s="77">
        <f t="shared" si="5"/>
        <v>7.5680000000000001E-3</v>
      </c>
      <c r="K34" s="77">
        <f t="shared" si="5"/>
        <v>7.5680000000000001E-3</v>
      </c>
      <c r="L34" s="77">
        <f t="shared" si="5"/>
        <v>0.44582399999999994</v>
      </c>
      <c r="M34" s="77">
        <f t="shared" si="5"/>
        <v>0.29033599999999998</v>
      </c>
      <c r="N34" s="77">
        <f t="shared" si="5"/>
        <v>1747.5199999999998</v>
      </c>
      <c r="O34" s="77">
        <f t="shared" si="5"/>
        <v>370.14400000000001</v>
      </c>
      <c r="P34" s="77">
        <f t="shared" si="5"/>
        <v>0</v>
      </c>
      <c r="Q34" s="77">
        <f t="shared" si="10"/>
        <v>190.92</v>
      </c>
      <c r="R34" s="77">
        <f t="shared" si="11"/>
        <v>0</v>
      </c>
      <c r="S34" s="77">
        <f t="shared" si="11"/>
        <v>0.26143999999999995</v>
      </c>
      <c r="T34" s="77">
        <f t="shared" si="11"/>
        <v>0</v>
      </c>
      <c r="U34" s="77">
        <f t="shared" si="11"/>
        <v>0</v>
      </c>
      <c r="AB34" s="59"/>
      <c r="AC34" s="59"/>
      <c r="AD34" s="59"/>
      <c r="AE34" s="59"/>
      <c r="AF34" s="59"/>
      <c r="AG34" s="59"/>
      <c r="AH34" s="59"/>
      <c r="AI34" s="59"/>
    </row>
    <row r="35" spans="1:35" s="72" customFormat="1" ht="13" x14ac:dyDescent="0.35">
      <c r="A35" s="13" t="str">
        <f>G8</f>
        <v>Woodstock 5</v>
      </c>
      <c r="B35" s="15">
        <v>80</v>
      </c>
      <c r="C35" s="77">
        <f t="shared" si="6"/>
        <v>147.232</v>
      </c>
      <c r="D35" s="77">
        <f t="shared" si="7"/>
        <v>79.125641599999994</v>
      </c>
      <c r="E35" s="77">
        <f t="shared" si="8"/>
        <v>11.6231408</v>
      </c>
      <c r="F35" s="77">
        <f t="shared" si="9"/>
        <v>36.958809599999995</v>
      </c>
      <c r="G35" s="77">
        <f t="shared" si="5"/>
        <v>0.73340799999999995</v>
      </c>
      <c r="H35" s="77">
        <f t="shared" si="5"/>
        <v>2.0089599999999996</v>
      </c>
      <c r="I35" s="77">
        <f t="shared" si="5"/>
        <v>0.13622400000000001</v>
      </c>
      <c r="J35" s="77">
        <f t="shared" si="5"/>
        <v>7.5680000000000001E-3</v>
      </c>
      <c r="K35" s="77">
        <f t="shared" si="5"/>
        <v>7.5680000000000001E-3</v>
      </c>
      <c r="L35" s="77">
        <f t="shared" si="5"/>
        <v>0.44582399999999994</v>
      </c>
      <c r="M35" s="77">
        <f t="shared" si="5"/>
        <v>0.29033599999999998</v>
      </c>
      <c r="N35" s="77">
        <f t="shared" si="5"/>
        <v>1747.5199999999998</v>
      </c>
      <c r="O35" s="77">
        <f t="shared" si="5"/>
        <v>370.14400000000001</v>
      </c>
      <c r="P35" s="77">
        <f t="shared" si="5"/>
        <v>0</v>
      </c>
      <c r="Q35" s="77">
        <f t="shared" si="10"/>
        <v>190.92</v>
      </c>
      <c r="R35" s="77">
        <f t="shared" si="11"/>
        <v>0</v>
      </c>
      <c r="S35" s="77">
        <f t="shared" si="11"/>
        <v>0.26143999999999995</v>
      </c>
      <c r="T35" s="77">
        <f t="shared" si="11"/>
        <v>0</v>
      </c>
      <c r="U35" s="77">
        <f t="shared" si="11"/>
        <v>0</v>
      </c>
      <c r="AB35" s="59"/>
      <c r="AC35" s="59"/>
      <c r="AD35" s="59"/>
      <c r="AE35" s="59"/>
      <c r="AF35" s="59"/>
      <c r="AG35" s="59"/>
      <c r="AH35" s="59"/>
      <c r="AI35" s="59"/>
    </row>
    <row r="36" spans="1:35" s="72" customFormat="1" ht="13" x14ac:dyDescent="0.35">
      <c r="A36" s="13" t="str">
        <f>H8</f>
        <v>Woodstock 6</v>
      </c>
      <c r="B36" s="15">
        <v>80</v>
      </c>
      <c r="C36" s="77">
        <f t="shared" si="6"/>
        <v>147.232</v>
      </c>
      <c r="D36" s="77">
        <f t="shared" si="7"/>
        <v>79.125641599999994</v>
      </c>
      <c r="E36" s="77">
        <f t="shared" si="8"/>
        <v>11.6231408</v>
      </c>
      <c r="F36" s="77">
        <f t="shared" si="9"/>
        <v>36.958809599999995</v>
      </c>
      <c r="G36" s="77">
        <f t="shared" si="5"/>
        <v>0.73340799999999995</v>
      </c>
      <c r="H36" s="77">
        <f t="shared" si="5"/>
        <v>2.0089599999999996</v>
      </c>
      <c r="I36" s="77">
        <f t="shared" si="5"/>
        <v>0.13622400000000001</v>
      </c>
      <c r="J36" s="77">
        <f t="shared" si="5"/>
        <v>7.5680000000000001E-3</v>
      </c>
      <c r="K36" s="77">
        <f t="shared" si="5"/>
        <v>7.5680000000000001E-3</v>
      </c>
      <c r="L36" s="77">
        <f t="shared" si="5"/>
        <v>0.44582399999999994</v>
      </c>
      <c r="M36" s="77">
        <f t="shared" si="5"/>
        <v>0.29033599999999998</v>
      </c>
      <c r="N36" s="77">
        <f t="shared" si="5"/>
        <v>1747.5199999999998</v>
      </c>
      <c r="O36" s="77">
        <f t="shared" si="5"/>
        <v>370.14400000000001</v>
      </c>
      <c r="P36" s="77">
        <f t="shared" si="5"/>
        <v>0</v>
      </c>
      <c r="Q36" s="77">
        <f t="shared" si="10"/>
        <v>190.92</v>
      </c>
      <c r="R36" s="77">
        <f t="shared" si="11"/>
        <v>0</v>
      </c>
      <c r="S36" s="77">
        <f t="shared" si="11"/>
        <v>0.26143999999999995</v>
      </c>
      <c r="T36" s="77">
        <f t="shared" si="11"/>
        <v>0</v>
      </c>
      <c r="U36" s="77">
        <f t="shared" si="11"/>
        <v>0</v>
      </c>
      <c r="AB36" s="59"/>
      <c r="AC36" s="59"/>
      <c r="AD36" s="59"/>
      <c r="AE36" s="59"/>
      <c r="AF36" s="59"/>
      <c r="AG36" s="59"/>
      <c r="AH36" s="59"/>
      <c r="AI36" s="59"/>
    </row>
    <row r="37" spans="1:35" s="72" customFormat="1" ht="13" x14ac:dyDescent="0.35">
      <c r="A37" s="13" t="str">
        <f>I8</f>
        <v>Woodstock 7</v>
      </c>
      <c r="B37" s="15">
        <v>45</v>
      </c>
      <c r="C37" s="77">
        <f t="shared" si="6"/>
        <v>82.817999999999998</v>
      </c>
      <c r="D37" s="77">
        <f t="shared" si="7"/>
        <v>44.508173399999997</v>
      </c>
      <c r="E37" s="77">
        <f t="shared" si="8"/>
        <v>6.5380167</v>
      </c>
      <c r="F37" s="77">
        <f t="shared" si="9"/>
        <v>20.789330400000001</v>
      </c>
      <c r="G37" s="77">
        <f t="shared" si="5"/>
        <v>0.41254199999999996</v>
      </c>
      <c r="H37" s="77">
        <f t="shared" si="5"/>
        <v>1.1300399999999997</v>
      </c>
      <c r="I37" s="77">
        <f t="shared" si="5"/>
        <v>7.6626E-2</v>
      </c>
      <c r="J37" s="77">
        <f t="shared" si="5"/>
        <v>4.2569999999999995E-3</v>
      </c>
      <c r="K37" s="77">
        <f t="shared" si="5"/>
        <v>4.2569999999999995E-3</v>
      </c>
      <c r="L37" s="77">
        <f t="shared" si="5"/>
        <v>0.25077599999999994</v>
      </c>
      <c r="M37" s="77">
        <f t="shared" si="5"/>
        <v>0.16331399999999999</v>
      </c>
      <c r="N37" s="77">
        <f t="shared" si="5"/>
        <v>982.9799999999999</v>
      </c>
      <c r="O37" s="77">
        <f t="shared" si="5"/>
        <v>208.20600000000002</v>
      </c>
      <c r="P37" s="77">
        <f t="shared" si="5"/>
        <v>0</v>
      </c>
      <c r="Q37" s="77">
        <f t="shared" si="10"/>
        <v>107.39249999999998</v>
      </c>
      <c r="R37" s="77">
        <f t="shared" si="11"/>
        <v>0</v>
      </c>
      <c r="S37" s="77">
        <f t="shared" si="11"/>
        <v>0.14706</v>
      </c>
      <c r="T37" s="77">
        <f t="shared" si="11"/>
        <v>0</v>
      </c>
      <c r="U37" s="77">
        <f t="shared" si="11"/>
        <v>0</v>
      </c>
      <c r="AB37" s="59"/>
      <c r="AC37" s="59"/>
      <c r="AD37" s="59"/>
      <c r="AE37" s="59"/>
      <c r="AF37" s="59"/>
      <c r="AG37" s="59"/>
      <c r="AH37" s="59"/>
      <c r="AI37" s="59"/>
    </row>
    <row r="38" spans="1:35" s="72" customFormat="1" ht="13" x14ac:dyDescent="0.35">
      <c r="A38" s="13" t="str">
        <f>J8</f>
        <v>Woodstock 8</v>
      </c>
      <c r="B38" s="15">
        <v>80</v>
      </c>
      <c r="C38" s="77">
        <f t="shared" si="6"/>
        <v>147.232</v>
      </c>
      <c r="D38" s="77">
        <f t="shared" si="7"/>
        <v>79.125641599999994</v>
      </c>
      <c r="E38" s="77">
        <f t="shared" si="8"/>
        <v>11.6231408</v>
      </c>
      <c r="F38" s="77">
        <f t="shared" si="9"/>
        <v>36.958809599999995</v>
      </c>
      <c r="G38" s="77">
        <f t="shared" si="5"/>
        <v>0.73340799999999995</v>
      </c>
      <c r="H38" s="77">
        <f t="shared" si="5"/>
        <v>2.0089599999999996</v>
      </c>
      <c r="I38" s="77">
        <f t="shared" si="5"/>
        <v>0.13622400000000001</v>
      </c>
      <c r="J38" s="77">
        <f t="shared" si="5"/>
        <v>7.5680000000000001E-3</v>
      </c>
      <c r="K38" s="77">
        <f t="shared" si="5"/>
        <v>7.5680000000000001E-3</v>
      </c>
      <c r="L38" s="77">
        <f t="shared" si="5"/>
        <v>0.44582399999999994</v>
      </c>
      <c r="M38" s="77">
        <f t="shared" si="5"/>
        <v>0.29033599999999998</v>
      </c>
      <c r="N38" s="77">
        <f t="shared" si="5"/>
        <v>1747.5199999999998</v>
      </c>
      <c r="O38" s="77">
        <f t="shared" si="5"/>
        <v>370.14400000000001</v>
      </c>
      <c r="P38" s="77">
        <f t="shared" si="5"/>
        <v>0</v>
      </c>
      <c r="Q38" s="77">
        <f t="shared" si="10"/>
        <v>190.92</v>
      </c>
      <c r="R38" s="77">
        <f t="shared" si="11"/>
        <v>0</v>
      </c>
      <c r="S38" s="77">
        <f t="shared" si="11"/>
        <v>0.26143999999999995</v>
      </c>
      <c r="T38" s="77">
        <f t="shared" si="11"/>
        <v>0</v>
      </c>
      <c r="U38" s="77">
        <f t="shared" si="11"/>
        <v>0</v>
      </c>
      <c r="AB38" s="59"/>
      <c r="AC38" s="59"/>
      <c r="AD38" s="59"/>
      <c r="AE38" s="59"/>
      <c r="AF38" s="59"/>
      <c r="AG38" s="59"/>
      <c r="AH38" s="59"/>
      <c r="AI38" s="59"/>
    </row>
    <row r="39" spans="1:35" s="72" customFormat="1" ht="13" x14ac:dyDescent="0.35">
      <c r="A39" s="13" t="str">
        <f>K8</f>
        <v>Woodstock 9</v>
      </c>
      <c r="B39" s="15">
        <v>80</v>
      </c>
      <c r="C39" s="77">
        <f t="shared" si="6"/>
        <v>147.232</v>
      </c>
      <c r="D39" s="77">
        <f t="shared" si="7"/>
        <v>79.125641599999994</v>
      </c>
      <c r="E39" s="77">
        <f t="shared" si="8"/>
        <v>11.6231408</v>
      </c>
      <c r="F39" s="77">
        <f t="shared" si="9"/>
        <v>36.958809599999995</v>
      </c>
      <c r="G39" s="77">
        <f t="shared" si="5"/>
        <v>0.73340799999999995</v>
      </c>
      <c r="H39" s="77">
        <f t="shared" si="5"/>
        <v>2.0089599999999996</v>
      </c>
      <c r="I39" s="77">
        <f t="shared" si="5"/>
        <v>0.13622400000000001</v>
      </c>
      <c r="J39" s="77">
        <f t="shared" si="5"/>
        <v>7.5680000000000001E-3</v>
      </c>
      <c r="K39" s="77">
        <f t="shared" si="5"/>
        <v>7.5680000000000001E-3</v>
      </c>
      <c r="L39" s="77">
        <f t="shared" si="5"/>
        <v>0.44582399999999994</v>
      </c>
      <c r="M39" s="77">
        <f t="shared" si="5"/>
        <v>0.29033599999999998</v>
      </c>
      <c r="N39" s="77">
        <f t="shared" si="5"/>
        <v>1747.5199999999998</v>
      </c>
      <c r="O39" s="77">
        <f t="shared" si="5"/>
        <v>370.14400000000001</v>
      </c>
      <c r="P39" s="77">
        <f t="shared" si="5"/>
        <v>0</v>
      </c>
      <c r="Q39" s="77">
        <f t="shared" si="10"/>
        <v>190.92</v>
      </c>
      <c r="R39" s="77">
        <f t="shared" si="11"/>
        <v>0</v>
      </c>
      <c r="S39" s="77">
        <f t="shared" si="11"/>
        <v>0.26143999999999995</v>
      </c>
      <c r="T39" s="77">
        <f t="shared" si="11"/>
        <v>0</v>
      </c>
      <c r="U39" s="77">
        <f t="shared" si="11"/>
        <v>0</v>
      </c>
      <c r="AB39" s="59"/>
      <c r="AC39" s="59"/>
      <c r="AD39" s="59"/>
      <c r="AE39" s="59"/>
      <c r="AF39" s="59"/>
      <c r="AG39" s="59"/>
      <c r="AH39" s="59"/>
      <c r="AI39" s="59"/>
    </row>
    <row r="40" spans="1:35" s="72" customFormat="1" ht="13" x14ac:dyDescent="0.35">
      <c r="A40" s="13" t="str">
        <f>L8</f>
        <v>Woodstock 10</v>
      </c>
      <c r="B40" s="15">
        <v>0</v>
      </c>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t="str">
        <f>M8</f>
        <v>Woodstock 11</v>
      </c>
      <c r="B41" s="15">
        <v>80</v>
      </c>
      <c r="C41" s="77">
        <f t="shared" si="6"/>
        <v>147.232</v>
      </c>
      <c r="D41" s="77">
        <f t="shared" si="7"/>
        <v>79.125641599999994</v>
      </c>
      <c r="E41" s="77">
        <f t="shared" si="8"/>
        <v>11.6231408</v>
      </c>
      <c r="F41" s="77">
        <f t="shared" si="9"/>
        <v>36.958809599999995</v>
      </c>
      <c r="G41" s="77">
        <f t="shared" si="5"/>
        <v>0.73340799999999995</v>
      </c>
      <c r="H41" s="77">
        <f t="shared" si="5"/>
        <v>2.0089599999999996</v>
      </c>
      <c r="I41" s="77">
        <f t="shared" si="5"/>
        <v>0.13622400000000001</v>
      </c>
      <c r="J41" s="77">
        <f t="shared" si="5"/>
        <v>7.5680000000000001E-3</v>
      </c>
      <c r="K41" s="77">
        <f t="shared" si="5"/>
        <v>7.5680000000000001E-3</v>
      </c>
      <c r="L41" s="77">
        <f t="shared" si="5"/>
        <v>0.44582399999999994</v>
      </c>
      <c r="M41" s="77">
        <f t="shared" si="5"/>
        <v>0.29033599999999998</v>
      </c>
      <c r="N41" s="77">
        <f t="shared" si="5"/>
        <v>1747.5199999999998</v>
      </c>
      <c r="O41" s="77">
        <f t="shared" si="5"/>
        <v>370.14400000000001</v>
      </c>
      <c r="P41" s="77">
        <f t="shared" si="5"/>
        <v>0</v>
      </c>
      <c r="Q41" s="77">
        <f t="shared" si="10"/>
        <v>190.92</v>
      </c>
      <c r="R41" s="77">
        <f t="shared" si="11"/>
        <v>0</v>
      </c>
      <c r="S41" s="77">
        <f t="shared" si="11"/>
        <v>0.26143999999999995</v>
      </c>
      <c r="T41" s="77">
        <f t="shared" si="11"/>
        <v>0</v>
      </c>
      <c r="U41" s="77">
        <f t="shared" si="11"/>
        <v>0</v>
      </c>
      <c r="AB41" s="59"/>
      <c r="AC41" s="59"/>
      <c r="AD41" s="59"/>
      <c r="AE41" s="59"/>
      <c r="AF41" s="59"/>
      <c r="AG41" s="59"/>
      <c r="AH41" s="59"/>
      <c r="AI41" s="59"/>
    </row>
    <row r="42" spans="1:35" s="72" customFormat="1" ht="13" x14ac:dyDescent="0.35">
      <c r="A42" s="13" t="str">
        <f>N8</f>
        <v>Woodstock 12</v>
      </c>
      <c r="B42" s="15">
        <v>80</v>
      </c>
      <c r="C42" s="77">
        <f t="shared" si="6"/>
        <v>147.232</v>
      </c>
      <c r="D42" s="77">
        <f t="shared" si="7"/>
        <v>79.125641599999994</v>
      </c>
      <c r="E42" s="77">
        <f t="shared" si="8"/>
        <v>11.6231408</v>
      </c>
      <c r="F42" s="77">
        <f t="shared" si="9"/>
        <v>36.958809599999995</v>
      </c>
      <c r="G42" s="77">
        <f t="shared" si="5"/>
        <v>0.73340799999999995</v>
      </c>
      <c r="H42" s="77">
        <f t="shared" si="5"/>
        <v>2.0089599999999996</v>
      </c>
      <c r="I42" s="77">
        <f t="shared" si="5"/>
        <v>0.13622400000000001</v>
      </c>
      <c r="J42" s="77">
        <f t="shared" si="5"/>
        <v>7.5680000000000001E-3</v>
      </c>
      <c r="K42" s="77">
        <f t="shared" si="5"/>
        <v>7.5680000000000001E-3</v>
      </c>
      <c r="L42" s="77">
        <f t="shared" si="5"/>
        <v>0.44582399999999994</v>
      </c>
      <c r="M42" s="77">
        <f t="shared" si="5"/>
        <v>0.29033599999999998</v>
      </c>
      <c r="N42" s="77">
        <f t="shared" si="5"/>
        <v>1747.5199999999998</v>
      </c>
      <c r="O42" s="77">
        <f t="shared" si="5"/>
        <v>370.14400000000001</v>
      </c>
      <c r="P42" s="77">
        <f t="shared" si="5"/>
        <v>0</v>
      </c>
      <c r="Q42" s="77">
        <f t="shared" si="10"/>
        <v>190.92</v>
      </c>
      <c r="R42" s="77">
        <f t="shared" si="11"/>
        <v>0</v>
      </c>
      <c r="S42" s="77">
        <f t="shared" si="11"/>
        <v>0.26143999999999995</v>
      </c>
      <c r="T42" s="77">
        <f t="shared" si="11"/>
        <v>0</v>
      </c>
      <c r="U42" s="77">
        <f t="shared" si="11"/>
        <v>0</v>
      </c>
      <c r="AB42" s="59"/>
      <c r="AC42" s="59"/>
      <c r="AD42" s="59"/>
      <c r="AE42" s="59"/>
      <c r="AF42" s="59"/>
      <c r="AG42" s="59"/>
      <c r="AH42" s="59"/>
      <c r="AI42" s="59"/>
    </row>
    <row r="43" spans="1:35" s="72" customFormat="1" ht="13" x14ac:dyDescent="0.35">
      <c r="A43" s="13" t="str">
        <f>O8</f>
        <v>Woodstock 13/14</v>
      </c>
      <c r="B43" s="15">
        <v>45</v>
      </c>
      <c r="C43" s="77">
        <f t="shared" si="6"/>
        <v>82.817999999999998</v>
      </c>
      <c r="D43" s="77">
        <f t="shared" si="7"/>
        <v>44.508173399999997</v>
      </c>
      <c r="E43" s="77">
        <f t="shared" si="8"/>
        <v>6.5380167</v>
      </c>
      <c r="F43" s="77">
        <f t="shared" si="9"/>
        <v>20.789330400000001</v>
      </c>
      <c r="G43" s="77">
        <f t="shared" si="5"/>
        <v>0.41254199999999996</v>
      </c>
      <c r="H43" s="77">
        <f t="shared" si="5"/>
        <v>1.1300399999999997</v>
      </c>
      <c r="I43" s="77">
        <f t="shared" si="5"/>
        <v>7.6626E-2</v>
      </c>
      <c r="J43" s="77">
        <f t="shared" si="5"/>
        <v>4.2569999999999995E-3</v>
      </c>
      <c r="K43" s="77">
        <f t="shared" si="5"/>
        <v>4.2569999999999995E-3</v>
      </c>
      <c r="L43" s="77">
        <f t="shared" si="5"/>
        <v>0.25077599999999994</v>
      </c>
      <c r="M43" s="77">
        <f t="shared" si="5"/>
        <v>0.16331399999999999</v>
      </c>
      <c r="N43" s="77">
        <f t="shared" si="5"/>
        <v>982.9799999999999</v>
      </c>
      <c r="O43" s="77">
        <f t="shared" si="5"/>
        <v>208.20600000000002</v>
      </c>
      <c r="P43" s="77">
        <f t="shared" si="5"/>
        <v>0</v>
      </c>
      <c r="Q43" s="77">
        <f t="shared" si="10"/>
        <v>107.39249999999998</v>
      </c>
      <c r="R43" s="77">
        <f t="shared" si="11"/>
        <v>0</v>
      </c>
      <c r="S43" s="77">
        <f t="shared" si="11"/>
        <v>0.14706</v>
      </c>
      <c r="T43" s="77">
        <f t="shared" si="11"/>
        <v>0</v>
      </c>
      <c r="U43" s="77">
        <f t="shared" si="11"/>
        <v>0</v>
      </c>
      <c r="AB43" s="59"/>
      <c r="AC43" s="59"/>
      <c r="AD43" s="59"/>
      <c r="AE43" s="59"/>
      <c r="AF43" s="59"/>
      <c r="AG43" s="59"/>
      <c r="AH43" s="59"/>
      <c r="AI43" s="59"/>
    </row>
    <row r="44" spans="1:35" s="72" customFormat="1" ht="13" x14ac:dyDescent="0.35">
      <c r="A44" s="13" t="str">
        <f>P8</f>
        <v>Gwarcoed 16</v>
      </c>
      <c r="B44" s="15">
        <v>80</v>
      </c>
      <c r="C44" s="77">
        <f t="shared" si="6"/>
        <v>147.232</v>
      </c>
      <c r="D44" s="77">
        <f t="shared" si="7"/>
        <v>79.125641599999994</v>
      </c>
      <c r="E44" s="77">
        <f t="shared" si="8"/>
        <v>11.6231408</v>
      </c>
      <c r="F44" s="77">
        <f t="shared" si="9"/>
        <v>36.958809599999995</v>
      </c>
      <c r="G44" s="77">
        <f t="shared" si="5"/>
        <v>0.73340799999999995</v>
      </c>
      <c r="H44" s="77">
        <f t="shared" si="5"/>
        <v>2.0089599999999996</v>
      </c>
      <c r="I44" s="77">
        <f t="shared" si="5"/>
        <v>0.13622400000000001</v>
      </c>
      <c r="J44" s="77">
        <f t="shared" si="5"/>
        <v>7.5680000000000001E-3</v>
      </c>
      <c r="K44" s="77">
        <f t="shared" si="5"/>
        <v>7.5680000000000001E-3</v>
      </c>
      <c r="L44" s="77">
        <f t="shared" si="5"/>
        <v>0.44582399999999994</v>
      </c>
      <c r="M44" s="77">
        <f t="shared" si="5"/>
        <v>0.29033599999999998</v>
      </c>
      <c r="N44" s="77">
        <f t="shared" si="5"/>
        <v>1747.5199999999998</v>
      </c>
      <c r="O44" s="77">
        <f t="shared" si="5"/>
        <v>370.14400000000001</v>
      </c>
      <c r="P44" s="77">
        <f t="shared" si="5"/>
        <v>0</v>
      </c>
      <c r="Q44" s="77">
        <f t="shared" si="10"/>
        <v>190.92</v>
      </c>
      <c r="R44" s="77">
        <f t="shared" si="11"/>
        <v>0</v>
      </c>
      <c r="S44" s="77">
        <f t="shared" si="11"/>
        <v>0.26143999999999995</v>
      </c>
      <c r="T44" s="77">
        <f t="shared" si="11"/>
        <v>0</v>
      </c>
      <c r="U44" s="77">
        <f t="shared" si="11"/>
        <v>0</v>
      </c>
      <c r="AB44" s="59"/>
      <c r="AC44" s="59"/>
      <c r="AD44" s="59"/>
      <c r="AE44" s="59"/>
      <c r="AF44" s="59"/>
      <c r="AG44" s="59"/>
      <c r="AH44" s="59"/>
      <c r="AI44" s="59"/>
    </row>
    <row r="45" spans="1:35" s="72" customFormat="1" ht="13" x14ac:dyDescent="0.35">
      <c r="A45" s="13" t="str">
        <f>Q8</f>
        <v>Gwarcoed 17</v>
      </c>
      <c r="B45" s="15">
        <v>80</v>
      </c>
      <c r="C45" s="77">
        <f t="shared" si="6"/>
        <v>147.232</v>
      </c>
      <c r="D45" s="77">
        <f t="shared" si="7"/>
        <v>79.125641599999994</v>
      </c>
      <c r="E45" s="77">
        <f t="shared" si="8"/>
        <v>11.6231408</v>
      </c>
      <c r="F45" s="77">
        <f t="shared" si="9"/>
        <v>36.958809599999995</v>
      </c>
      <c r="G45" s="77">
        <f t="shared" si="5"/>
        <v>0.73340799999999995</v>
      </c>
      <c r="H45" s="77">
        <f t="shared" si="5"/>
        <v>2.0089599999999996</v>
      </c>
      <c r="I45" s="77">
        <f t="shared" si="5"/>
        <v>0.13622400000000001</v>
      </c>
      <c r="J45" s="77">
        <f t="shared" si="5"/>
        <v>7.5680000000000001E-3</v>
      </c>
      <c r="K45" s="77">
        <f t="shared" si="5"/>
        <v>7.5680000000000001E-3</v>
      </c>
      <c r="L45" s="77">
        <f t="shared" si="5"/>
        <v>0.44582399999999994</v>
      </c>
      <c r="M45" s="77">
        <f t="shared" si="5"/>
        <v>0.29033599999999998</v>
      </c>
      <c r="N45" s="77">
        <f t="shared" si="5"/>
        <v>1747.5199999999998</v>
      </c>
      <c r="O45" s="77">
        <f t="shared" si="5"/>
        <v>370.14400000000001</v>
      </c>
      <c r="P45" s="77">
        <f t="shared" si="5"/>
        <v>0</v>
      </c>
      <c r="Q45" s="77">
        <f t="shared" si="10"/>
        <v>190.92</v>
      </c>
      <c r="R45" s="77">
        <f t="shared" si="11"/>
        <v>0</v>
      </c>
      <c r="S45" s="77">
        <f t="shared" si="11"/>
        <v>0.26143999999999995</v>
      </c>
      <c r="T45" s="77">
        <f t="shared" si="11"/>
        <v>0</v>
      </c>
      <c r="U45" s="77">
        <f t="shared" si="11"/>
        <v>0</v>
      </c>
      <c r="AB45" s="59"/>
      <c r="AC45" s="59"/>
      <c r="AD45" s="59"/>
      <c r="AE45" s="59"/>
      <c r="AF45" s="59"/>
      <c r="AG45" s="59"/>
      <c r="AH45" s="59"/>
      <c r="AI45" s="59"/>
    </row>
    <row r="46" spans="1:35" s="72" customFormat="1" ht="13" x14ac:dyDescent="0.35">
      <c r="A46" s="13" t="str">
        <f>R8</f>
        <v>Gwarcoed 19</v>
      </c>
      <c r="B46" s="15">
        <v>80</v>
      </c>
      <c r="C46" s="77">
        <f t="shared" si="6"/>
        <v>147.232</v>
      </c>
      <c r="D46" s="77">
        <f t="shared" si="7"/>
        <v>79.125641599999994</v>
      </c>
      <c r="E46" s="77">
        <f t="shared" si="8"/>
        <v>11.6231408</v>
      </c>
      <c r="F46" s="77">
        <f t="shared" si="9"/>
        <v>36.958809599999995</v>
      </c>
      <c r="G46" s="77">
        <f t="shared" si="5"/>
        <v>0.73340799999999995</v>
      </c>
      <c r="H46" s="77">
        <f t="shared" si="5"/>
        <v>2.0089599999999996</v>
      </c>
      <c r="I46" s="77">
        <f t="shared" si="5"/>
        <v>0.13622400000000001</v>
      </c>
      <c r="J46" s="77">
        <f t="shared" si="5"/>
        <v>7.5680000000000001E-3</v>
      </c>
      <c r="K46" s="77">
        <f t="shared" si="5"/>
        <v>7.5680000000000001E-3</v>
      </c>
      <c r="L46" s="77">
        <f t="shared" si="5"/>
        <v>0.44582399999999994</v>
      </c>
      <c r="M46" s="77">
        <f t="shared" si="5"/>
        <v>0.29033599999999998</v>
      </c>
      <c r="N46" s="77">
        <f t="shared" si="5"/>
        <v>1747.5199999999998</v>
      </c>
      <c r="O46" s="77">
        <f t="shared" si="5"/>
        <v>370.14400000000001</v>
      </c>
      <c r="P46" s="77">
        <f t="shared" si="5"/>
        <v>0</v>
      </c>
      <c r="Q46" s="77">
        <f t="shared" si="10"/>
        <v>190.92</v>
      </c>
      <c r="R46" s="77">
        <f t="shared" si="11"/>
        <v>0</v>
      </c>
      <c r="S46" s="77">
        <f t="shared" si="11"/>
        <v>0.26143999999999995</v>
      </c>
      <c r="T46" s="77">
        <f t="shared" si="11"/>
        <v>0</v>
      </c>
      <c r="U46" s="77">
        <f t="shared" si="11"/>
        <v>0</v>
      </c>
      <c r="AB46" s="59"/>
      <c r="AC46" s="59"/>
      <c r="AD46" s="59"/>
      <c r="AE46" s="59"/>
      <c r="AF46" s="59"/>
      <c r="AG46" s="59"/>
      <c r="AH46" s="59"/>
      <c r="AI46" s="59"/>
    </row>
    <row r="47" spans="1:35" s="72" customFormat="1" ht="13" x14ac:dyDescent="0.35">
      <c r="A47" s="13" t="str">
        <f>S8</f>
        <v>Gwarcoed 22</v>
      </c>
      <c r="B47" s="15">
        <v>80</v>
      </c>
      <c r="C47" s="77">
        <f t="shared" si="6"/>
        <v>147.232</v>
      </c>
      <c r="D47" s="77">
        <f t="shared" si="7"/>
        <v>79.125641599999994</v>
      </c>
      <c r="E47" s="77">
        <f t="shared" si="8"/>
        <v>11.6231408</v>
      </c>
      <c r="F47" s="77">
        <f t="shared" si="9"/>
        <v>36.958809599999995</v>
      </c>
      <c r="G47" s="77">
        <f t="shared" ref="G47:P50" si="12">IF(G$27="%w/w SAR",((G$28*10)*$B47),IF(G$27="%w/w DM",(((G$28*10)*($B$28/100))*$B47),IF(G$27="kg/t SAR",(G$28*$B47),IF(G$27="kg/t DM",((G$28*($B$28/100))*$B47),IF(G$27="mg/kg SAR",((G$28*0.001)*$B47),IF(G$27="mg/kg DM",(((G$28*0.001)*($B$28/100))*$B47),0))))))</f>
        <v>0.73340799999999995</v>
      </c>
      <c r="H47" s="77">
        <f t="shared" si="12"/>
        <v>2.0089599999999996</v>
      </c>
      <c r="I47" s="77">
        <f t="shared" si="12"/>
        <v>0.13622400000000001</v>
      </c>
      <c r="J47" s="77">
        <f t="shared" si="12"/>
        <v>7.5680000000000001E-3</v>
      </c>
      <c r="K47" s="77">
        <f t="shared" si="12"/>
        <v>7.5680000000000001E-3</v>
      </c>
      <c r="L47" s="77">
        <f t="shared" si="12"/>
        <v>0.44582399999999994</v>
      </c>
      <c r="M47" s="77">
        <f t="shared" si="12"/>
        <v>0.29033599999999998</v>
      </c>
      <c r="N47" s="77">
        <f t="shared" si="12"/>
        <v>1747.5199999999998</v>
      </c>
      <c r="O47" s="77">
        <f t="shared" si="12"/>
        <v>370.14400000000001</v>
      </c>
      <c r="P47" s="77">
        <f t="shared" si="12"/>
        <v>0</v>
      </c>
      <c r="Q47" s="77">
        <f t="shared" si="10"/>
        <v>190.92</v>
      </c>
      <c r="R47" s="77">
        <f t="shared" si="11"/>
        <v>0</v>
      </c>
      <c r="S47" s="77">
        <f t="shared" si="11"/>
        <v>0.26143999999999995</v>
      </c>
      <c r="T47" s="77">
        <f t="shared" si="11"/>
        <v>0</v>
      </c>
      <c r="U47" s="77">
        <f t="shared" si="11"/>
        <v>0</v>
      </c>
      <c r="AB47" s="59"/>
      <c r="AC47" s="59"/>
      <c r="AD47" s="59"/>
      <c r="AE47" s="59"/>
      <c r="AF47" s="59"/>
      <c r="AG47" s="59"/>
      <c r="AH47" s="59"/>
      <c r="AI47" s="59"/>
    </row>
    <row r="48" spans="1:35" s="72" customFormat="1" ht="13" x14ac:dyDescent="0.35">
      <c r="A48" s="13" t="str">
        <f>T8</f>
        <v>Gwarcoed 23</v>
      </c>
      <c r="B48" s="15">
        <v>80</v>
      </c>
      <c r="C48" s="77">
        <f t="shared" si="6"/>
        <v>147.232</v>
      </c>
      <c r="D48" s="77">
        <f t="shared" si="7"/>
        <v>79.125641599999994</v>
      </c>
      <c r="E48" s="77">
        <f t="shared" si="8"/>
        <v>11.6231408</v>
      </c>
      <c r="F48" s="77">
        <f t="shared" si="9"/>
        <v>36.958809599999995</v>
      </c>
      <c r="G48" s="77">
        <f t="shared" si="12"/>
        <v>0.73340799999999995</v>
      </c>
      <c r="H48" s="77">
        <f t="shared" si="12"/>
        <v>2.0089599999999996</v>
      </c>
      <c r="I48" s="77">
        <f t="shared" si="12"/>
        <v>0.13622400000000001</v>
      </c>
      <c r="J48" s="77">
        <f t="shared" si="12"/>
        <v>7.5680000000000001E-3</v>
      </c>
      <c r="K48" s="77">
        <f t="shared" si="12"/>
        <v>7.5680000000000001E-3</v>
      </c>
      <c r="L48" s="77">
        <f t="shared" si="12"/>
        <v>0.44582399999999994</v>
      </c>
      <c r="M48" s="77">
        <f t="shared" si="12"/>
        <v>0.29033599999999998</v>
      </c>
      <c r="N48" s="77">
        <f t="shared" si="12"/>
        <v>1747.5199999999998</v>
      </c>
      <c r="O48" s="77">
        <f t="shared" si="12"/>
        <v>370.14400000000001</v>
      </c>
      <c r="P48" s="77">
        <f t="shared" si="12"/>
        <v>0</v>
      </c>
      <c r="Q48" s="77">
        <f t="shared" si="10"/>
        <v>190.92</v>
      </c>
      <c r="R48" s="77">
        <f t="shared" si="11"/>
        <v>0</v>
      </c>
      <c r="S48" s="77">
        <f t="shared" si="11"/>
        <v>0.26143999999999995</v>
      </c>
      <c r="T48" s="77">
        <f t="shared" si="11"/>
        <v>0</v>
      </c>
      <c r="U48" s="77">
        <f t="shared" si="11"/>
        <v>0</v>
      </c>
      <c r="AB48" s="59"/>
      <c r="AC48" s="59"/>
      <c r="AD48" s="59"/>
      <c r="AE48" s="59"/>
      <c r="AF48" s="59"/>
      <c r="AG48" s="59"/>
      <c r="AH48" s="59"/>
      <c r="AI48" s="59"/>
    </row>
    <row r="49" spans="1:35" s="72" customFormat="1" ht="13" x14ac:dyDescent="0.35">
      <c r="A49" s="13" t="str">
        <f>U8</f>
        <v>Gwarcoed 24</v>
      </c>
      <c r="B49" s="15">
        <v>80</v>
      </c>
      <c r="C49" s="77">
        <f t="shared" si="6"/>
        <v>147.232</v>
      </c>
      <c r="D49" s="77">
        <f t="shared" si="7"/>
        <v>79.125641599999994</v>
      </c>
      <c r="E49" s="77">
        <f t="shared" si="8"/>
        <v>11.6231408</v>
      </c>
      <c r="F49" s="77">
        <f t="shared" si="9"/>
        <v>36.958809599999995</v>
      </c>
      <c r="G49" s="77">
        <f t="shared" si="12"/>
        <v>0.73340799999999995</v>
      </c>
      <c r="H49" s="77">
        <f t="shared" si="12"/>
        <v>2.0089599999999996</v>
      </c>
      <c r="I49" s="77">
        <f t="shared" si="12"/>
        <v>0.13622400000000001</v>
      </c>
      <c r="J49" s="77">
        <f t="shared" si="12"/>
        <v>7.5680000000000001E-3</v>
      </c>
      <c r="K49" s="77">
        <f t="shared" si="12"/>
        <v>7.5680000000000001E-3</v>
      </c>
      <c r="L49" s="77">
        <f t="shared" si="12"/>
        <v>0.44582399999999994</v>
      </c>
      <c r="M49" s="77">
        <f t="shared" si="12"/>
        <v>0.29033599999999998</v>
      </c>
      <c r="N49" s="77">
        <f t="shared" si="12"/>
        <v>1747.5199999999998</v>
      </c>
      <c r="O49" s="77">
        <f t="shared" si="12"/>
        <v>370.14400000000001</v>
      </c>
      <c r="P49" s="77">
        <f t="shared" si="12"/>
        <v>0</v>
      </c>
      <c r="Q49" s="77">
        <f t="shared" si="10"/>
        <v>190.92</v>
      </c>
      <c r="R49" s="77">
        <f t="shared" si="11"/>
        <v>0</v>
      </c>
      <c r="S49" s="77">
        <f t="shared" si="11"/>
        <v>0.26143999999999995</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Woodstock 1</v>
      </c>
      <c r="C57" s="8" t="str">
        <f t="shared" ref="C57:U57" si="13">D8</f>
        <v>Woodstock 2</v>
      </c>
      <c r="D57" s="8" t="str">
        <f t="shared" si="13"/>
        <v>Woodstock 3</v>
      </c>
      <c r="E57" s="8" t="str">
        <f t="shared" si="13"/>
        <v>Woodstock 4</v>
      </c>
      <c r="F57" s="8" t="str">
        <f t="shared" si="13"/>
        <v>Woodstock 5</v>
      </c>
      <c r="G57" s="8" t="str">
        <f t="shared" si="13"/>
        <v>Woodstock 6</v>
      </c>
      <c r="H57" s="8" t="str">
        <f t="shared" si="13"/>
        <v>Woodstock 7</v>
      </c>
      <c r="I57" s="8" t="str">
        <f t="shared" si="13"/>
        <v>Woodstock 8</v>
      </c>
      <c r="J57" s="8" t="str">
        <f t="shared" si="13"/>
        <v>Woodstock 9</v>
      </c>
      <c r="K57" s="8" t="str">
        <f t="shared" si="13"/>
        <v>Woodstock 10</v>
      </c>
      <c r="L57" s="8" t="str">
        <f t="shared" si="13"/>
        <v>Woodstock 11</v>
      </c>
      <c r="M57" s="8" t="str">
        <f t="shared" si="13"/>
        <v>Woodstock 12</v>
      </c>
      <c r="N57" s="8" t="str">
        <f t="shared" si="13"/>
        <v>Woodstock 13/14</v>
      </c>
      <c r="O57" s="8" t="str">
        <f t="shared" si="13"/>
        <v>Gwarcoed 16</v>
      </c>
      <c r="P57" s="8" t="str">
        <f t="shared" si="13"/>
        <v>Gwarcoed 17</v>
      </c>
      <c r="Q57" s="8" t="str">
        <f t="shared" si="13"/>
        <v>Gwarcoed 19</v>
      </c>
      <c r="R57" s="8" t="str">
        <f t="shared" si="13"/>
        <v>Gwarcoed 22</v>
      </c>
      <c r="S57" s="8" t="str">
        <f t="shared" si="13"/>
        <v>Gwarcoed 23</v>
      </c>
      <c r="T57" s="8" t="str">
        <f t="shared" si="13"/>
        <v>Gwarcoed 24</v>
      </c>
      <c r="U57" s="8">
        <f t="shared" si="13"/>
        <v>0</v>
      </c>
    </row>
    <row r="58" spans="1:35" s="19" customFormat="1" ht="13" x14ac:dyDescent="0.35">
      <c r="A58" s="92" t="s">
        <v>136</v>
      </c>
      <c r="B58" s="13" t="str">
        <f>C16&amp;" I "&amp;(VLOOKUP(C14,Table24567[],6,FALSE))</f>
        <v>0 I Grass</v>
      </c>
      <c r="C58" s="13" t="str">
        <f>D16&amp;" I "&amp;(VLOOKUP(D14,Table24567[],6,FALSE))</f>
        <v>0 I Grass</v>
      </c>
      <c r="D58" s="13" t="str">
        <f>E16&amp;" I "&amp;(VLOOKUP(E14,Table24567[],6,FALSE))</f>
        <v>0 I Grass</v>
      </c>
      <c r="E58" s="13" t="str">
        <f>F16&amp;" I "&amp;(VLOOKUP(F14,Table24567[],6,FALSE))</f>
        <v>0 I Grass</v>
      </c>
      <c r="F58" s="13" t="str">
        <f>G16&amp;" I "&amp;(VLOOKUP(G14,Table24567[],6,FALSE))</f>
        <v>0 I Grass</v>
      </c>
      <c r="G58" s="13" t="str">
        <f>H16&amp;" I "&amp;(VLOOKUP(H14,Table24567[],6,FALSE))</f>
        <v>0 I Grass</v>
      </c>
      <c r="H58" s="13" t="str">
        <f>I16&amp;" I "&amp;(VLOOKUP(I14,Table24567[],6,FALSE))</f>
        <v>0 I Arable</v>
      </c>
      <c r="I58" s="13" t="str">
        <f>J16&amp;" I "&amp;(VLOOKUP(J14,Table24567[],6,FALSE))</f>
        <v>0 I Grass</v>
      </c>
      <c r="J58" s="13" t="str">
        <f>K16&amp;" I "&amp;(VLOOKUP(K14,Table24567[],6,FALSE))</f>
        <v>0 I Grass</v>
      </c>
      <c r="K58" s="13" t="str">
        <f>L16&amp;" I "&amp;(VLOOKUP(L14,Table24567[],6,FALSE))</f>
        <v>0 I Grass</v>
      </c>
      <c r="L58" s="13" t="str">
        <f>M16&amp;" I "&amp;(VLOOKUP(M14,Table24567[],6,FALSE))</f>
        <v>0 I Grass</v>
      </c>
      <c r="M58" s="13" t="str">
        <f>N16&amp;" I "&amp;(VLOOKUP(N14,Table24567[],6,FALSE))</f>
        <v>0 I Grass</v>
      </c>
      <c r="N58" s="13" t="str">
        <f>O16&amp;" I "&amp;(VLOOKUP(O14,Table24567[],6,FALSE))</f>
        <v>0 I Arable</v>
      </c>
      <c r="O58" s="13" t="str">
        <f>P16&amp;" I "&amp;(VLOOKUP(P14,Table24567[],6,FALSE))</f>
        <v>0 I Grass</v>
      </c>
      <c r="P58" s="13" t="str">
        <f>Q16&amp;" I "&amp;(VLOOKUP(Q14,Table24567[],6,FALSE))</f>
        <v>0 I Grass</v>
      </c>
      <c r="Q58" s="13" t="str">
        <f>R16&amp;" I "&amp;(VLOOKUP(R14,Table24567[],6,FALSE))</f>
        <v>0 I Grass</v>
      </c>
      <c r="R58" s="13" t="str">
        <f>S16&amp;" I "&amp;(VLOOKUP(S14,Table24567[],6,FALSE))</f>
        <v>0 I Grass</v>
      </c>
      <c r="S58" s="13" t="str">
        <f>T16&amp;" I "&amp;(VLOOKUP(T14,Table24567[],6,FALSE))</f>
        <v>0 I Grass</v>
      </c>
      <c r="T58" s="13" t="str">
        <f>U16&amp;" I "&amp;(VLOOKUP(U14,Table24567[],6,FALSE))</f>
        <v>0 I Grass</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6.7</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6.7</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t="e">
        <f>VLOOKUP(V$14,Table24567[],5,FALSE)</f>
        <v>#N/A</v>
      </c>
    </row>
    <row r="60" spans="1:35" s="19" customFormat="1" ht="13" x14ac:dyDescent="0.3">
      <c r="A60" s="111" t="s">
        <v>4</v>
      </c>
      <c r="B60" s="76">
        <f>C10</f>
        <v>6.5</v>
      </c>
      <c r="C60" s="76">
        <f t="shared" ref="C60:U60" si="14">D10</f>
        <v>6.2</v>
      </c>
      <c r="D60" s="76">
        <f t="shared" si="14"/>
        <v>6.2</v>
      </c>
      <c r="E60" s="76">
        <f t="shared" si="14"/>
        <v>6.2</v>
      </c>
      <c r="F60" s="76">
        <f t="shared" si="14"/>
        <v>6.2</v>
      </c>
      <c r="G60" s="76">
        <f t="shared" si="14"/>
        <v>6.3</v>
      </c>
      <c r="H60" s="76">
        <f t="shared" si="14"/>
        <v>6.3</v>
      </c>
      <c r="I60" s="76">
        <f t="shared" si="14"/>
        <v>6.1</v>
      </c>
      <c r="J60" s="76">
        <f t="shared" si="14"/>
        <v>6.1</v>
      </c>
      <c r="K60" s="76">
        <f t="shared" si="14"/>
        <v>5.9</v>
      </c>
      <c r="L60" s="76">
        <f t="shared" si="14"/>
        <v>6.4</v>
      </c>
      <c r="M60" s="76">
        <f t="shared" si="14"/>
        <v>6.2</v>
      </c>
      <c r="N60" s="76">
        <f t="shared" si="14"/>
        <v>6.3</v>
      </c>
      <c r="O60" s="76">
        <f t="shared" si="14"/>
        <v>6.3</v>
      </c>
      <c r="P60" s="76">
        <f t="shared" si="14"/>
        <v>6.6</v>
      </c>
      <c r="Q60" s="76">
        <f t="shared" si="14"/>
        <v>6.5</v>
      </c>
      <c r="R60" s="76">
        <f t="shared" si="14"/>
        <v>6.6</v>
      </c>
      <c r="S60" s="76">
        <f t="shared" si="14"/>
        <v>6.4</v>
      </c>
      <c r="T60" s="76">
        <f t="shared" si="14"/>
        <v>6.4</v>
      </c>
      <c r="U60" s="76">
        <f t="shared" si="14"/>
        <v>0</v>
      </c>
    </row>
    <row r="61" spans="1:35" s="19" customFormat="1" ht="13" x14ac:dyDescent="0.3">
      <c r="A61" s="111" t="s">
        <v>133</v>
      </c>
      <c r="B61" s="76" t="e">
        <f t="shared" ref="B61:U61" si="15">VLOOKUP(B58,$AD9:$AE18,2,FALSE)</f>
        <v>#N/A</v>
      </c>
      <c r="C61" s="76" t="e">
        <f t="shared" si="15"/>
        <v>#N/A</v>
      </c>
      <c r="D61" s="76" t="e">
        <f t="shared" si="15"/>
        <v>#N/A</v>
      </c>
      <c r="E61" s="76" t="e">
        <f t="shared" si="15"/>
        <v>#N/A</v>
      </c>
      <c r="F61" s="76" t="e">
        <f t="shared" si="15"/>
        <v>#N/A</v>
      </c>
      <c r="G61" s="76" t="e">
        <f t="shared" si="15"/>
        <v>#N/A</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80</v>
      </c>
      <c r="C62" s="77">
        <f>B32</f>
        <v>80</v>
      </c>
      <c r="D62" s="77">
        <f>B33</f>
        <v>80</v>
      </c>
      <c r="E62" s="77">
        <f>B34</f>
        <v>80</v>
      </c>
      <c r="F62" s="77">
        <f>B35</f>
        <v>80</v>
      </c>
      <c r="G62" s="77">
        <f>B36</f>
        <v>80</v>
      </c>
      <c r="H62" s="77">
        <f>B37</f>
        <v>45</v>
      </c>
      <c r="I62" s="77">
        <f>B38</f>
        <v>80</v>
      </c>
      <c r="J62" s="77">
        <f>B39</f>
        <v>80</v>
      </c>
      <c r="K62" s="77">
        <f>B40</f>
        <v>0</v>
      </c>
      <c r="L62" s="77">
        <f>B41</f>
        <v>80</v>
      </c>
      <c r="M62" s="77">
        <f>B42</f>
        <v>80</v>
      </c>
      <c r="N62" s="77">
        <f>B43</f>
        <v>45</v>
      </c>
      <c r="O62" s="77">
        <f>B44</f>
        <v>80</v>
      </c>
      <c r="P62" s="77">
        <f>B45</f>
        <v>80</v>
      </c>
      <c r="Q62" s="77">
        <f>B46</f>
        <v>80</v>
      </c>
      <c r="R62" s="77">
        <f>B47</f>
        <v>80</v>
      </c>
      <c r="S62" s="77">
        <f>B48</f>
        <v>80</v>
      </c>
      <c r="T62" s="77">
        <f>B49</f>
        <v>80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t="e">
        <f>(B59-B60)*B61</f>
        <v>#N/A</v>
      </c>
      <c r="C64" s="77" t="e">
        <f t="shared" ref="C64:U64" si="17">(C59-C60)*C61</f>
        <v>#N/A</v>
      </c>
      <c r="D64" s="77" t="e">
        <f t="shared" si="17"/>
        <v>#N/A</v>
      </c>
      <c r="E64" s="77" t="e">
        <f t="shared" si="17"/>
        <v>#N/A</v>
      </c>
      <c r="F64" s="77" t="e">
        <f t="shared" si="17"/>
        <v>#N/A</v>
      </c>
      <c r="G64" s="77" t="e">
        <f t="shared" si="17"/>
        <v>#N/A</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t="e">
        <f>B63-B64</f>
        <v>#N/A</v>
      </c>
      <c r="C65" s="77" t="e">
        <f t="shared" ref="C65:U65" si="18">C63-C64</f>
        <v>#N/A</v>
      </c>
      <c r="D65" s="77" t="e">
        <f t="shared" si="18"/>
        <v>#N/A</v>
      </c>
      <c r="E65" s="77" t="e">
        <f t="shared" si="18"/>
        <v>#N/A</v>
      </c>
      <c r="F65" s="77" t="e">
        <f t="shared" si="18"/>
        <v>#N/A</v>
      </c>
      <c r="G65" s="77" t="e">
        <f t="shared" si="18"/>
        <v>#N/A</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e">
        <f>IF(B64&lt;=B63,"OVER","UNDER")</f>
        <v>#N/A</v>
      </c>
      <c r="C66" s="78" t="e">
        <f t="shared" ref="C66:U66" si="19">IF(C64&lt;=C63,"OVER","UNDER")</f>
        <v>#N/A</v>
      </c>
      <c r="D66" s="78" t="e">
        <f t="shared" si="19"/>
        <v>#N/A</v>
      </c>
      <c r="E66" s="78" t="e">
        <f t="shared" si="19"/>
        <v>#N/A</v>
      </c>
      <c r="F66" s="78" t="e">
        <f t="shared" si="19"/>
        <v>#N/A</v>
      </c>
      <c r="G66" s="78" t="e">
        <f t="shared" si="19"/>
        <v>#N/A</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Preseli!B29</f>
        <v>Application Rate</v>
      </c>
      <c r="C1" s="38" t="str">
        <f>Preseli!C29</f>
        <v>Nitrogen Addition</v>
      </c>
      <c r="D1" s="38" t="str">
        <f>Preseli!D29</f>
        <v>Phosphate Addition</v>
      </c>
      <c r="E1" s="38" t="str">
        <f>Preseli!E29</f>
        <v>Potash  Addition</v>
      </c>
      <c r="F1" s="38" t="str">
        <f>Preseli!F29</f>
        <v>Mg Oxide Addition</v>
      </c>
      <c r="G1" s="38" t="str">
        <f>Preseli!G29</f>
        <v>Copper Addition</v>
      </c>
      <c r="H1" s="38" t="str">
        <f>Preseli!H29</f>
        <v>Zinc Addition</v>
      </c>
      <c r="I1" s="38" t="str">
        <f>Preseli!I29</f>
        <v>Lead Addition</v>
      </c>
      <c r="J1" s="38" t="str">
        <f>Preseli!J29</f>
        <v>Cadmium Addition</v>
      </c>
      <c r="K1" s="38" t="str">
        <f>Preseli!K29</f>
        <v>Mercury Addition</v>
      </c>
      <c r="L1" s="38" t="str">
        <f>Preseli!L29</f>
        <v>Nickel Addition</v>
      </c>
      <c r="M1" s="38" t="str">
        <f>Preseli!M29</f>
        <v>Chromium Addition</v>
      </c>
      <c r="N1" s="38" t="str">
        <f>Preseli!N29</f>
        <v>Aluminium Addition</v>
      </c>
      <c r="O1" s="38" t="str">
        <f>Preseli!O29</f>
        <v>Iron Addition</v>
      </c>
      <c r="P1" s="38" t="str">
        <f>Preseli!P29</f>
        <v xml:space="preserve">Sodium Addition                 </v>
      </c>
      <c r="Q1" s="38" t="str">
        <f>Preseli!Q29</f>
        <v>SO3  Addition                             kg/ha</v>
      </c>
      <c r="R1" s="38" t="str">
        <f>Preseli!R29</f>
        <v xml:space="preserve">Selenium Addition </v>
      </c>
      <c r="S1" s="38" t="str">
        <f>Preseli!S29</f>
        <v xml:space="preserve">Arsenic  Addition  </v>
      </c>
      <c r="T1" s="38" t="str">
        <f>Preseli!T29</f>
        <v xml:space="preserve">Molybdenum Addition  </v>
      </c>
      <c r="U1" s="38" t="str">
        <f>Preseli!U29</f>
        <v xml:space="preserve">Fluoride Addition </v>
      </c>
    </row>
    <row r="2" spans="1:21" ht="25" x14ac:dyDescent="0.25">
      <c r="A2" s="144"/>
      <c r="B2" s="38" t="str">
        <f>Preseli!B30</f>
        <v>tonnes/ha</v>
      </c>
      <c r="C2" s="38" t="str">
        <f>Preseli!C30</f>
        <v>kg/ha</v>
      </c>
      <c r="D2" s="38" t="str">
        <f>Preseli!D30</f>
        <v>P2O5 
kg/ha</v>
      </c>
      <c r="E2" s="38" t="str">
        <f>Preseli!E30</f>
        <v>K2O 
kg/ha</v>
      </c>
      <c r="F2" s="38" t="str">
        <f>Preseli!F30</f>
        <v>MgO 
kg/ha</v>
      </c>
      <c r="G2" s="38" t="str">
        <f>Preseli!G30</f>
        <v>kg/ha</v>
      </c>
      <c r="H2" s="38" t="str">
        <f>Preseli!H30</f>
        <v>kg/ha</v>
      </c>
      <c r="I2" s="38" t="str">
        <f>Preseli!I30</f>
        <v>kg/ha</v>
      </c>
      <c r="J2" s="38" t="str">
        <f>Preseli!J30</f>
        <v>kg/ha</v>
      </c>
      <c r="K2" s="38" t="str">
        <f>Preseli!K30</f>
        <v>kg/ha</v>
      </c>
      <c r="L2" s="38" t="str">
        <f>Preseli!L30</f>
        <v>kg/ha</v>
      </c>
      <c r="M2" s="38" t="str">
        <f>Preseli!M30</f>
        <v>kg/ha</v>
      </c>
      <c r="N2" s="38" t="str">
        <f>Preseli!N30</f>
        <v>kg/ha</v>
      </c>
      <c r="O2" s="38" t="str">
        <f>Preseli!O30</f>
        <v>kg/ha</v>
      </c>
      <c r="P2" s="38" t="str">
        <f>Preseli!P30</f>
        <v>kg/ha</v>
      </c>
      <c r="Q2" s="38" t="str">
        <f>Preseli!Q30</f>
        <v>kg/ha</v>
      </c>
      <c r="R2" s="38" t="str">
        <f>Preseli!R30</f>
        <v>kg/ha</v>
      </c>
      <c r="S2" s="38" t="str">
        <f>Preseli!S30</f>
        <v>kg/ha</v>
      </c>
      <c r="T2" s="38" t="str">
        <f>Preseli!T30</f>
        <v>kg/ha</v>
      </c>
      <c r="U2" s="38" t="str">
        <f>Preseli!U30</f>
        <v>kg/ha</v>
      </c>
    </row>
    <row r="3" spans="1:21" x14ac:dyDescent="0.25">
      <c r="A3" s="36">
        <v>1</v>
      </c>
      <c r="B3" s="33">
        <f>Preseli!B31</f>
        <v>185</v>
      </c>
      <c r="C3" s="33">
        <f>Preseli!C31</f>
        <v>173.82599999999999</v>
      </c>
      <c r="D3" s="33">
        <f>Preseli!D31</f>
        <v>54.929016000000004</v>
      </c>
      <c r="E3" s="33">
        <f>Preseli!E31</f>
        <v>1.8779202000000004</v>
      </c>
      <c r="F3" s="33">
        <f>Preseli!F31</f>
        <v>3.9917842200000004</v>
      </c>
      <c r="G3" s="33">
        <f>Preseli!G31</f>
        <v>0.20079900000000006</v>
      </c>
      <c r="H3" s="33">
        <f>Preseli!H31</f>
        <v>0.77422500000000005</v>
      </c>
      <c r="I3" s="33">
        <f>Preseli!I31</f>
        <v>2.4075900000000004E-2</v>
      </c>
      <c r="J3" s="33">
        <f>Preseli!J31</f>
        <v>3.5964E-3</v>
      </c>
      <c r="K3" s="33">
        <f>Preseli!K31</f>
        <v>7.4925000000000018E-3</v>
      </c>
      <c r="L3" s="33">
        <f>Preseli!L31</f>
        <v>5.0949000000000008E-2</v>
      </c>
      <c r="M3" s="33">
        <f>Preseli!M31</f>
        <v>4.2957000000000009E-2</v>
      </c>
      <c r="N3" s="33">
        <f>Preseli!N31</f>
        <v>1298.7</v>
      </c>
      <c r="O3" s="33">
        <f>Preseli!O31</f>
        <v>310.68900000000002</v>
      </c>
      <c r="P3" s="33">
        <f>Preseli!P31</f>
        <v>0</v>
      </c>
      <c r="Q3" s="33">
        <f>Preseli!Q31</f>
        <v>108.64125000000003</v>
      </c>
      <c r="R3" s="33">
        <f>Preseli!R31</f>
        <v>0</v>
      </c>
      <c r="S3" s="33">
        <f>Preseli!S31</f>
        <v>0.69030900000000006</v>
      </c>
      <c r="T3" s="33">
        <f>Preseli!T31</f>
        <v>0</v>
      </c>
      <c r="U3" s="33">
        <f>Preseli!U31</f>
        <v>0</v>
      </c>
    </row>
    <row r="4" spans="1:21" x14ac:dyDescent="0.25">
      <c r="A4" s="36">
        <v>2</v>
      </c>
      <c r="B4" s="33">
        <f>Llechryd!B31</f>
        <v>165</v>
      </c>
      <c r="C4" s="33">
        <f>Llechryd!C31</f>
        <v>68.260500000000008</v>
      </c>
      <c r="D4" s="33">
        <f>Llechryd!D31</f>
        <v>32.617402290000001</v>
      </c>
      <c r="E4" s="33">
        <f>Llechryd!E31</f>
        <v>1.6333274924999999</v>
      </c>
      <c r="F4" s="33">
        <f>Llechryd!F31</f>
        <v>5.0444119439999993</v>
      </c>
      <c r="G4" s="33">
        <f>Llechryd!G31</f>
        <v>8.6885864999999993E-2</v>
      </c>
      <c r="H4" s="33">
        <f>Llechryd!H31</f>
        <v>2.0283120000000001</v>
      </c>
      <c r="I4" s="33">
        <f>Llechryd!I31</f>
        <v>0.28376865000000001</v>
      </c>
      <c r="J4" s="33">
        <f>Llechryd!J31</f>
        <v>3.3155100000000002E-3</v>
      </c>
      <c r="K4" s="33">
        <f>Llechryd!K31</f>
        <v>6.6310200000000005E-3</v>
      </c>
      <c r="L4" s="33">
        <f>Llechryd!L31</f>
        <v>0.22916025000000001</v>
      </c>
      <c r="M4" s="33">
        <f>Llechryd!M31</f>
        <v>0.156024</v>
      </c>
      <c r="N4" s="33">
        <f>Llechryd!N31</f>
        <v>28.864440000000002</v>
      </c>
      <c r="O4" s="33">
        <f>Llechryd!O31</f>
        <v>3939.6060000000002</v>
      </c>
      <c r="P4" s="33">
        <f>Llechryd!P31</f>
        <v>0</v>
      </c>
      <c r="Q4" s="33">
        <f>Llechryd!Q31</f>
        <v>118.72451249999999</v>
      </c>
      <c r="R4" s="33">
        <f>Llechryd!R31</f>
        <v>0</v>
      </c>
      <c r="S4" s="33">
        <f>Llechryd!S31</f>
        <v>0.22038389999999999</v>
      </c>
      <c r="T4" s="33">
        <f>Llechryd!T31</f>
        <v>0</v>
      </c>
      <c r="U4" s="33">
        <f>Llechryd!U31</f>
        <v>0</v>
      </c>
    </row>
    <row r="5" spans="1:21" x14ac:dyDescent="0.25">
      <c r="A5" s="36">
        <v>3</v>
      </c>
      <c r="B5" s="33">
        <f>'Bryn Gwyn'!B31</f>
        <v>250</v>
      </c>
      <c r="C5" s="33">
        <f>'Bryn Gwyn'!C31</f>
        <v>40.64575</v>
      </c>
      <c r="D5" s="33">
        <f>'Bryn Gwyn'!D31</f>
        <v>11.853634000000001</v>
      </c>
      <c r="E5" s="33">
        <f>'Bryn Gwyn'!E31</f>
        <v>3.8487097499999998</v>
      </c>
      <c r="F5" s="33">
        <f>'Bryn Gwyn'!F31</f>
        <v>7.0525102500000001</v>
      </c>
      <c r="G5" s="33">
        <f>'Bryn Gwyn'!G31</f>
        <v>0.21790500000000002</v>
      </c>
      <c r="H5" s="33">
        <f>'Bryn Gwyn'!H31</f>
        <v>0.68157500000000015</v>
      </c>
      <c r="I5" s="33">
        <f>'Bryn Gwyn'!I31</f>
        <v>8.2585000000000006E-2</v>
      </c>
      <c r="J5" s="33">
        <f>'Bryn Gwyn'!J31</f>
        <v>1.5920000000000001E-3</v>
      </c>
      <c r="K5" s="33">
        <f>'Bryn Gwyn'!K31</f>
        <v>1.0099249999999999E-2</v>
      </c>
      <c r="L5" s="33">
        <f>'Bryn Gwyn'!L31</f>
        <v>8.9550000000000018E-2</v>
      </c>
      <c r="M5" s="33">
        <f>'Bryn Gwyn'!M31</f>
        <v>3.0496750000000003E-2</v>
      </c>
      <c r="N5" s="33">
        <f>'Bryn Gwyn'!N31</f>
        <v>19.253250000000001</v>
      </c>
      <c r="O5" s="33">
        <f>'Bryn Gwyn'!O31</f>
        <v>2094.4749999999999</v>
      </c>
      <c r="P5" s="33">
        <f>'Bryn Gwyn'!P31</f>
        <v>0</v>
      </c>
      <c r="Q5" s="33">
        <f>'Bryn Gwyn'!Q31</f>
        <v>69.898750000000007</v>
      </c>
      <c r="R5" s="33">
        <f>'Bryn Gwyn'!R31</f>
        <v>0</v>
      </c>
      <c r="S5" s="33">
        <f>'Bryn Gwyn'!S31</f>
        <v>0.31790250000000003</v>
      </c>
      <c r="T5" s="33">
        <f>'Bryn Gwyn'!T31</f>
        <v>0</v>
      </c>
      <c r="U5" s="33">
        <f>'Bryn Gwyn'!U31</f>
        <v>0</v>
      </c>
    </row>
    <row r="6" spans="1:21" x14ac:dyDescent="0.25">
      <c r="A6" s="36">
        <v>4</v>
      </c>
      <c r="B6" s="33">
        <f>'Capel Dewi'!B31</f>
        <v>250</v>
      </c>
      <c r="C6" s="33">
        <f>'Capel Dewi'!C31</f>
        <v>71.170000000000016</v>
      </c>
      <c r="D6" s="33">
        <f>'Capel Dewi'!D31</f>
        <v>40.573610000000009</v>
      </c>
      <c r="E6" s="33">
        <f>'Capel Dewi'!E31</f>
        <v>12.035540000000003</v>
      </c>
      <c r="F6" s="33">
        <f>'Capel Dewi'!F31</f>
        <v>37.752660000000006</v>
      </c>
      <c r="G6" s="33">
        <f>'Capel Dewi'!G31</f>
        <v>0.33550000000000002</v>
      </c>
      <c r="H6" s="33">
        <f>'Capel Dewi'!H31</f>
        <v>1.8480000000000003</v>
      </c>
      <c r="I6" s="33">
        <f>'Capel Dewi'!I31</f>
        <v>0.59070000000000011</v>
      </c>
      <c r="J6" s="33">
        <f>'Capel Dewi'!J31</f>
        <v>2.5300000000000001E-3</v>
      </c>
      <c r="K6" s="33">
        <f>'Capel Dewi'!K31</f>
        <v>1.089E-2</v>
      </c>
      <c r="L6" s="33">
        <f>'Capel Dewi'!L31</f>
        <v>0.1716</v>
      </c>
      <c r="M6" s="33">
        <f>'Capel Dewi'!M31</f>
        <v>0</v>
      </c>
      <c r="N6" s="33">
        <f>'Capel Dewi'!N31</f>
        <v>107.36000000000001</v>
      </c>
      <c r="O6" s="33">
        <f>'Capel Dewi'!O31</f>
        <v>3556.3000000000006</v>
      </c>
      <c r="P6" s="33">
        <f>'Capel Dewi'!P31</f>
        <v>0</v>
      </c>
      <c r="Q6" s="33">
        <f>'Capel Dewi'!Q31</f>
        <v>83.600000000000009</v>
      </c>
      <c r="R6" s="33">
        <f>'Capel Dewi'!R31</f>
        <v>0</v>
      </c>
      <c r="S6" s="33">
        <f>'Capel Dewi'!S31</f>
        <v>0.32450000000000001</v>
      </c>
      <c r="T6" s="33">
        <f>'Capel Dewi'!T31</f>
        <v>0</v>
      </c>
      <c r="U6" s="33">
        <f>'Capel Dewi'!U31</f>
        <v>0</v>
      </c>
    </row>
    <row r="7" spans="1:21" x14ac:dyDescent="0.25">
      <c r="A7" s="36">
        <v>5</v>
      </c>
      <c r="B7" s="33">
        <f>Cray!B31</f>
        <v>250</v>
      </c>
      <c r="C7" s="33">
        <f>Cray!C31</f>
        <v>37.128</v>
      </c>
      <c r="D7" s="33">
        <f>Cray!D31</f>
        <v>9.9198009000000003</v>
      </c>
      <c r="E7" s="33">
        <f>Cray!E31</f>
        <v>0.97713450000000013</v>
      </c>
      <c r="F7" s="33">
        <f>Cray!F31</f>
        <v>5.0312009999999994</v>
      </c>
      <c r="G7" s="33">
        <f>Cray!G31</f>
        <v>0.14331000000000005</v>
      </c>
      <c r="H7" s="33">
        <f>Cray!H31</f>
        <v>0.66300000000000003</v>
      </c>
      <c r="I7" s="33">
        <f>Cray!I31</f>
        <v>4.3860000000000003E-2</v>
      </c>
      <c r="J7" s="33">
        <f>Cray!J31</f>
        <v>3.1110000000000001E-3</v>
      </c>
      <c r="K7" s="33">
        <f>Cray!K31</f>
        <v>5.0490000000000005E-3</v>
      </c>
      <c r="L7" s="33">
        <f>Cray!L31</f>
        <v>4.8959999999999997E-2</v>
      </c>
      <c r="M7" s="33">
        <f>Cray!M31</f>
        <v>7.7010000000000009E-2</v>
      </c>
      <c r="N7" s="33">
        <f>Cray!N31</f>
        <v>15.555000000000003</v>
      </c>
      <c r="O7" s="33">
        <f>Cray!O31</f>
        <v>2300.1</v>
      </c>
      <c r="P7" s="33">
        <f>Cray!P31</f>
        <v>0</v>
      </c>
      <c r="Q7" s="33">
        <f>Cray!Q31</f>
        <v>33.532499999999999</v>
      </c>
      <c r="R7" s="33">
        <f>Cray!R31</f>
        <v>0</v>
      </c>
      <c r="S7" s="33">
        <f>Cray!S31</f>
        <v>0.19737000000000005</v>
      </c>
      <c r="T7" s="33">
        <f>Cray!T31</f>
        <v>0</v>
      </c>
      <c r="U7" s="33">
        <f>Cray!U31</f>
        <v>0</v>
      </c>
    </row>
    <row r="8" spans="1:21" x14ac:dyDescent="0.25">
      <c r="A8" s="36">
        <v>6</v>
      </c>
      <c r="B8" s="33">
        <f>Hirwaun!B31</f>
        <v>250</v>
      </c>
      <c r="C8" s="33">
        <f>Hirwaun!C31</f>
        <v>48.17475000000001</v>
      </c>
      <c r="D8" s="33">
        <f>Hirwaun!D31</f>
        <v>3.8691553499999998</v>
      </c>
      <c r="E8" s="33">
        <f>Hirwaun!E31</f>
        <v>2.8915481250000008</v>
      </c>
      <c r="F8" s="33">
        <f>Hirwaun!F31</f>
        <v>11.281032000000002</v>
      </c>
      <c r="G8" s="33">
        <f>Hirwaun!G31</f>
        <v>0.1451925</v>
      </c>
      <c r="H8" s="33">
        <f>Hirwaun!H31</f>
        <v>1.1117250000000001</v>
      </c>
      <c r="I8" s="33">
        <f>Hirwaun!I31</f>
        <v>0.12575250000000002</v>
      </c>
      <c r="J8" s="33">
        <f>Hirwaun!J31</f>
        <v>3.2197500000000008E-3</v>
      </c>
      <c r="K8" s="33">
        <f>Hirwaun!K31</f>
        <v>4.9815000000000007E-3</v>
      </c>
      <c r="L8" s="33">
        <f>Hirwaun!L31</f>
        <v>9.1732500000000022E-2</v>
      </c>
      <c r="M8" s="33">
        <f>Hirwaun!M31</f>
        <v>0.10752750000000001</v>
      </c>
      <c r="N8" s="33">
        <f>Hirwaun!N31</f>
        <v>12.393000000000001</v>
      </c>
      <c r="O8" s="33">
        <f>Hirwaun!O31</f>
        <v>2636.55</v>
      </c>
      <c r="P8" s="33">
        <f>Hirwaun!P31</f>
        <v>0</v>
      </c>
      <c r="Q8" s="33">
        <f>Hirwaun!Q31</f>
        <v>65.610000000000014</v>
      </c>
      <c r="R8" s="33">
        <f>Hirwaun!R31</f>
        <v>0</v>
      </c>
      <c r="S8" s="33">
        <f>Hirwaun!S31</f>
        <v>0.39973500000000001</v>
      </c>
      <c r="T8" s="33">
        <f>Hirwaun!T31</f>
        <v>0</v>
      </c>
      <c r="U8" s="33">
        <f>Hirwaun!U31</f>
        <v>0</v>
      </c>
    </row>
    <row r="9" spans="1:21" x14ac:dyDescent="0.25">
      <c r="A9" s="36">
        <v>7</v>
      </c>
      <c r="B9" s="33">
        <f>'Cefn Dryscoed'!B31</f>
        <v>250</v>
      </c>
      <c r="C9" s="33">
        <f>'Cefn Dryscoed'!C31</f>
        <v>40.361999999999995</v>
      </c>
      <c r="D9" s="33">
        <f>'Cefn Dryscoed'!D31</f>
        <v>4.2818789999999991</v>
      </c>
      <c r="E9" s="33">
        <f>'Cefn Dryscoed'!E31</f>
        <v>0.44030699999999995</v>
      </c>
      <c r="F9" s="33">
        <f>'Cefn Dryscoed'!F31</f>
        <v>1.5319919999999998</v>
      </c>
      <c r="G9" s="33">
        <f>'Cefn Dryscoed'!G31</f>
        <v>0.18984000000000001</v>
      </c>
      <c r="H9" s="33">
        <f>'Cefn Dryscoed'!H31</f>
        <v>0.44519999999999998</v>
      </c>
      <c r="I9" s="33">
        <f>'Cefn Dryscoed'!I31</f>
        <v>3.2214E-2</v>
      </c>
      <c r="J9" s="33">
        <f>'Cefn Dryscoed'!J31</f>
        <v>2.8140000000000001E-3</v>
      </c>
      <c r="K9" s="33">
        <f>'Cefn Dryscoed'!K31</f>
        <v>4.9559999999999995E-3</v>
      </c>
      <c r="L9" s="33">
        <f>'Cefn Dryscoed'!L31</f>
        <v>2.1294000000000004E-2</v>
      </c>
      <c r="M9" s="33">
        <f>'Cefn Dryscoed'!M31</f>
        <v>1.6841999999999999E-2</v>
      </c>
      <c r="N9" s="33">
        <f>'Cefn Dryscoed'!N31</f>
        <v>768.59999999999991</v>
      </c>
      <c r="O9" s="33">
        <f>'Cefn Dryscoed'!O31</f>
        <v>21.084000000000003</v>
      </c>
      <c r="P9" s="33">
        <f>'Cefn Dryscoed'!P31</f>
        <v>0</v>
      </c>
      <c r="Q9" s="33">
        <f>'Cefn Dryscoed'!Q31</f>
        <v>94.39500000000001</v>
      </c>
      <c r="R9" s="33">
        <f>'Cefn Dryscoed'!R31</f>
        <v>0</v>
      </c>
      <c r="S9" s="33">
        <f>'Cefn Dryscoed'!S31</f>
        <v>0.16968</v>
      </c>
      <c r="T9" s="33">
        <f>'Cefn Dryscoed'!T31</f>
        <v>0</v>
      </c>
      <c r="U9" s="33">
        <f>'Cefn Dryscoed'!U31</f>
        <v>0</v>
      </c>
    </row>
    <row r="10" spans="1:21" x14ac:dyDescent="0.25">
      <c r="A10" s="36">
        <v>8</v>
      </c>
      <c r="B10" s="33">
        <f>'Preseli 2'!B31</f>
        <v>80</v>
      </c>
      <c r="C10" s="33">
        <f>'Preseli 2'!C31</f>
        <v>144.70400000000001</v>
      </c>
      <c r="D10" s="33">
        <f>'Preseli 2'!D31</f>
        <v>61.068896000000009</v>
      </c>
      <c r="E10" s="33">
        <f>'Preseli 2'!E31</f>
        <v>2.1894368000000002</v>
      </c>
      <c r="F10" s="33">
        <f>'Preseli 2'!F31</f>
        <v>4.0768230399999998</v>
      </c>
      <c r="G10" s="33">
        <f>'Preseli 2'!G31</f>
        <v>0.22848000000000004</v>
      </c>
      <c r="H10" s="33">
        <f>'Preseli 2'!H31</f>
        <v>0.86604799999999993</v>
      </c>
      <c r="I10" s="33">
        <f>'Preseli 2'!I31</f>
        <v>0.33728000000000002</v>
      </c>
      <c r="J10" s="33">
        <f>'Preseli 2'!J31</f>
        <v>4.7872000000000001E-3</v>
      </c>
      <c r="K10" s="33">
        <f>'Preseli 2'!K31</f>
        <v>8.1600000000000006E-3</v>
      </c>
      <c r="L10" s="33">
        <f>'Preseli 2'!L31</f>
        <v>5.5487999999999996E-2</v>
      </c>
      <c r="M10" s="33">
        <f>'Preseli 2'!M31</f>
        <v>4.6783999999999999E-2</v>
      </c>
      <c r="N10" s="33">
        <f>'Preseli 2'!N31</f>
        <v>1370.88</v>
      </c>
      <c r="O10" s="33">
        <f>'Preseli 2'!O31</f>
        <v>336.19200000000006</v>
      </c>
      <c r="P10" s="33">
        <f>'Preseli 2'!P31</f>
        <v>0</v>
      </c>
      <c r="Q10" s="33">
        <f>'Preseli 2'!Q31</f>
        <v>116.14400000000003</v>
      </c>
      <c r="R10" s="33">
        <f>'Preseli 2'!R31</f>
        <v>0</v>
      </c>
      <c r="S10" s="33">
        <f>'Preseli 2'!S31</f>
        <v>0.64083200000000007</v>
      </c>
      <c r="T10" s="33">
        <f>'Preseli 2'!T31</f>
        <v>0</v>
      </c>
      <c r="U10" s="33">
        <f>'Preseli 2'!U31</f>
        <v>0</v>
      </c>
    </row>
    <row r="11" spans="1:21" x14ac:dyDescent="0.25">
      <c r="A11" s="36">
        <v>9</v>
      </c>
      <c r="B11" s="33">
        <f>'Bolton Hill'!B31</f>
        <v>80</v>
      </c>
      <c r="C11" s="33">
        <f>'Bolton Hill'!C31</f>
        <v>147.232</v>
      </c>
      <c r="D11" s="33">
        <f>'Bolton Hill'!D31</f>
        <v>79.125641599999994</v>
      </c>
      <c r="E11" s="33">
        <f>'Bolton Hill'!E31</f>
        <v>11.6231408</v>
      </c>
      <c r="F11" s="33">
        <f>'Bolton Hill'!F31</f>
        <v>36.958809599999995</v>
      </c>
      <c r="G11" s="33">
        <f>'Bolton Hill'!G31</f>
        <v>0.73340799999999995</v>
      </c>
      <c r="H11" s="33">
        <f>'Bolton Hill'!H31</f>
        <v>2.0089599999999996</v>
      </c>
      <c r="I11" s="33">
        <f>'Bolton Hill'!I31</f>
        <v>0.13622400000000001</v>
      </c>
      <c r="J11" s="33">
        <f>'Bolton Hill'!J31</f>
        <v>7.5680000000000001E-3</v>
      </c>
      <c r="K11" s="33">
        <f>'Bolton Hill'!K31</f>
        <v>7.5680000000000001E-3</v>
      </c>
      <c r="L11" s="33">
        <f>'Bolton Hill'!L31</f>
        <v>0.44582399999999994</v>
      </c>
      <c r="M11" s="33">
        <f>'Bolton Hill'!M31</f>
        <v>0.29033599999999998</v>
      </c>
      <c r="N11" s="33">
        <f>'Bolton Hill'!N31</f>
        <v>1747.5199999999998</v>
      </c>
      <c r="O11" s="33">
        <f>'Bolton Hill'!O31</f>
        <v>370.14400000000001</v>
      </c>
      <c r="P11" s="33">
        <f>'Bolton Hill'!P31</f>
        <v>0</v>
      </c>
      <c r="Q11" s="33">
        <f>'Bolton Hill'!Q31</f>
        <v>190.92</v>
      </c>
      <c r="R11" s="33">
        <f>'Bolton Hill'!R31</f>
        <v>0</v>
      </c>
      <c r="S11" s="33">
        <f>'Bolton Hill'!S31</f>
        <v>0.26143999999999995</v>
      </c>
      <c r="T11" s="33">
        <f>'Bolton Hill'!T31</f>
        <v>0</v>
      </c>
      <c r="U11" s="33">
        <f>'Bolton Hill'!U31</f>
        <v>0</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Preseli!B29</f>
        <v>Application Rate</v>
      </c>
      <c r="D1" s="35" t="str">
        <f>Preseli!C29</f>
        <v>Nitrogen Addition</v>
      </c>
      <c r="E1" s="35" t="str">
        <f>Preseli!D29</f>
        <v>Phosphate Addition</v>
      </c>
      <c r="F1" s="35" t="str">
        <f>Preseli!E29</f>
        <v>Potash  Addition</v>
      </c>
      <c r="G1" s="35" t="str">
        <f>Preseli!F29</f>
        <v>Mg Oxide Addition</v>
      </c>
      <c r="H1" s="35" t="str">
        <f>Preseli!G29</f>
        <v>Copper Addition</v>
      </c>
      <c r="I1" s="35" t="str">
        <f>Preseli!H29</f>
        <v>Zinc Addition</v>
      </c>
      <c r="J1" s="35" t="str">
        <f>Preseli!I29</f>
        <v>Lead Addition</v>
      </c>
      <c r="K1" s="35" t="str">
        <f>Preseli!J29</f>
        <v>Cadmium Addition</v>
      </c>
      <c r="L1" s="35" t="str">
        <f>Preseli!K29</f>
        <v>Mercury Addition</v>
      </c>
      <c r="M1" s="35" t="str">
        <f>Preseli!L29</f>
        <v>Nickel Addition</v>
      </c>
      <c r="N1" s="35" t="str">
        <f>Preseli!M29</f>
        <v>Chromium Addition</v>
      </c>
      <c r="O1" s="35" t="str">
        <f>Preseli!N29</f>
        <v>Aluminium Addition</v>
      </c>
      <c r="P1" s="35" t="str">
        <f>Preseli!O29</f>
        <v>Iron Addition</v>
      </c>
      <c r="Q1" s="35" t="str">
        <f>Preseli!P29</f>
        <v xml:space="preserve">Sodium Addition                 </v>
      </c>
      <c r="R1" s="35" t="str">
        <f>Preseli!Q29</f>
        <v>SO3  Addition                             kg/ha</v>
      </c>
      <c r="S1" s="35" t="str">
        <f>Preseli!R29</f>
        <v xml:space="preserve">Selenium Addition </v>
      </c>
      <c r="T1" s="35" t="str">
        <f>Preseli!S29</f>
        <v xml:space="preserve">Arsenic  Addition  </v>
      </c>
      <c r="U1" s="35" t="str">
        <f>Preseli!T29</f>
        <v xml:space="preserve">Molybdenum Addition  </v>
      </c>
      <c r="V1" s="35" t="str">
        <f>Preseli!U29</f>
        <v xml:space="preserve">Fluoride Addition </v>
      </c>
    </row>
    <row r="2" spans="1:22" s="83" customFormat="1" ht="25" x14ac:dyDescent="0.35">
      <c r="A2" s="145"/>
      <c r="B2" s="32" t="s">
        <v>46</v>
      </c>
      <c r="C2" s="35" t="str">
        <f>Preseli!B30</f>
        <v>tonnes/ha</v>
      </c>
      <c r="D2" s="35" t="str">
        <f>Preseli!C30</f>
        <v>kg/ha</v>
      </c>
      <c r="E2" s="35" t="str">
        <f>Preseli!D30</f>
        <v>P2O5 
kg/ha</v>
      </c>
      <c r="F2" s="35" t="str">
        <f>Preseli!E30</f>
        <v>K2O 
kg/ha</v>
      </c>
      <c r="G2" s="35" t="str">
        <f>Preseli!F30</f>
        <v>MgO 
kg/ha</v>
      </c>
      <c r="H2" s="35" t="str">
        <f>Preseli!G30</f>
        <v>kg/ha</v>
      </c>
      <c r="I2" s="35" t="str">
        <f>Preseli!H30</f>
        <v>kg/ha</v>
      </c>
      <c r="J2" s="35" t="str">
        <f>Preseli!I30</f>
        <v>kg/ha</v>
      </c>
      <c r="K2" s="35" t="str">
        <f>Preseli!J30</f>
        <v>kg/ha</v>
      </c>
      <c r="L2" s="35" t="str">
        <f>Preseli!K30</f>
        <v>kg/ha</v>
      </c>
      <c r="M2" s="35" t="str">
        <f>Preseli!L30</f>
        <v>kg/ha</v>
      </c>
      <c r="N2" s="35" t="str">
        <f>Preseli!M30</f>
        <v>kg/ha</v>
      </c>
      <c r="O2" s="35" t="str">
        <f>Preseli!N30</f>
        <v>kg/ha</v>
      </c>
      <c r="P2" s="35" t="str">
        <f>Preseli!O30</f>
        <v>kg/ha</v>
      </c>
      <c r="Q2" s="35" t="str">
        <f>Preseli!P30</f>
        <v>kg/ha</v>
      </c>
      <c r="R2" s="35" t="str">
        <f>Preseli!Q30</f>
        <v>kg/ha</v>
      </c>
      <c r="S2" s="35" t="str">
        <f>Preseli!R30</f>
        <v>kg/ha</v>
      </c>
      <c r="T2" s="35" t="str">
        <f>Preseli!S30</f>
        <v>kg/ha</v>
      </c>
      <c r="U2" s="35" t="str">
        <f>Preseli!T30</f>
        <v>kg/ha</v>
      </c>
      <c r="V2" s="35" t="str">
        <f>Preseli!U30</f>
        <v>kg/ha</v>
      </c>
    </row>
    <row r="3" spans="1:22" x14ac:dyDescent="0.25">
      <c r="A3" s="36">
        <v>1</v>
      </c>
      <c r="B3" s="91"/>
      <c r="C3" s="33">
        <f>Preseli!B31</f>
        <v>185</v>
      </c>
      <c r="D3" s="33">
        <f>Preseli!C31</f>
        <v>173.82599999999999</v>
      </c>
      <c r="E3" s="33">
        <f>Preseli!D31</f>
        <v>54.929016000000004</v>
      </c>
      <c r="F3" s="33">
        <f>Preseli!E31</f>
        <v>1.8779202000000004</v>
      </c>
      <c r="G3" s="33">
        <f>Preseli!F31</f>
        <v>3.9917842200000004</v>
      </c>
      <c r="H3" s="33">
        <f>Preseli!G31</f>
        <v>0.20079900000000006</v>
      </c>
      <c r="I3" s="33">
        <f>Preseli!H31</f>
        <v>0.77422500000000005</v>
      </c>
      <c r="J3" s="33">
        <f>Preseli!I31</f>
        <v>2.4075900000000004E-2</v>
      </c>
      <c r="K3" s="33">
        <f>Preseli!J31</f>
        <v>3.5964E-3</v>
      </c>
      <c r="L3" s="33">
        <f>Preseli!K31</f>
        <v>7.4925000000000018E-3</v>
      </c>
      <c r="M3" s="33">
        <f>Preseli!L31</f>
        <v>5.0949000000000008E-2</v>
      </c>
      <c r="N3" s="33">
        <f>Preseli!M31</f>
        <v>4.2957000000000009E-2</v>
      </c>
      <c r="O3" s="33">
        <f>Preseli!N31</f>
        <v>1298.7</v>
      </c>
      <c r="P3" s="33">
        <f>Preseli!O31</f>
        <v>310.68900000000002</v>
      </c>
      <c r="Q3" s="33">
        <f>Preseli!P31</f>
        <v>0</v>
      </c>
      <c r="R3" s="33">
        <f>Preseli!Q31</f>
        <v>108.64125000000003</v>
      </c>
      <c r="S3" s="33">
        <f>Preseli!R31</f>
        <v>0</v>
      </c>
      <c r="T3" s="33">
        <f>Preseli!S31</f>
        <v>0.69030900000000006</v>
      </c>
      <c r="U3" s="33">
        <f>Preseli!T31</f>
        <v>0</v>
      </c>
      <c r="V3" s="33">
        <f>Preseli!U31</f>
        <v>0</v>
      </c>
    </row>
    <row r="4" spans="1:22" x14ac:dyDescent="0.25">
      <c r="A4" s="36">
        <v>2</v>
      </c>
      <c r="B4" s="91"/>
      <c r="C4" s="33">
        <f>Llechryd!B31</f>
        <v>165</v>
      </c>
      <c r="D4" s="33">
        <f>Llechryd!C31</f>
        <v>68.260500000000008</v>
      </c>
      <c r="E4" s="33">
        <f>Llechryd!D31</f>
        <v>32.617402290000001</v>
      </c>
      <c r="F4" s="33">
        <f>Llechryd!E31</f>
        <v>1.6333274924999999</v>
      </c>
      <c r="G4" s="33">
        <f>Llechryd!F31</f>
        <v>5.0444119439999993</v>
      </c>
      <c r="H4" s="33">
        <f>Llechryd!G31</f>
        <v>8.6885864999999993E-2</v>
      </c>
      <c r="I4" s="33">
        <f>Llechryd!H31</f>
        <v>2.0283120000000001</v>
      </c>
      <c r="J4" s="33">
        <f>Llechryd!I31</f>
        <v>0.28376865000000001</v>
      </c>
      <c r="K4" s="33">
        <f>Llechryd!J31</f>
        <v>3.3155100000000002E-3</v>
      </c>
      <c r="L4" s="33">
        <f>Llechryd!K31</f>
        <v>6.6310200000000005E-3</v>
      </c>
      <c r="M4" s="33">
        <f>Llechryd!L31</f>
        <v>0.22916025000000001</v>
      </c>
      <c r="N4" s="33">
        <f>Llechryd!M31</f>
        <v>0.156024</v>
      </c>
      <c r="O4" s="33">
        <f>Llechryd!N31</f>
        <v>28.864440000000002</v>
      </c>
      <c r="P4" s="33">
        <f>Llechryd!O31</f>
        <v>3939.6060000000002</v>
      </c>
      <c r="Q4" s="33">
        <f>Llechryd!P31</f>
        <v>0</v>
      </c>
      <c r="R4" s="33">
        <f>Llechryd!Q31</f>
        <v>118.72451249999999</v>
      </c>
      <c r="S4" s="33">
        <f>Llechryd!R31</f>
        <v>0</v>
      </c>
      <c r="T4" s="33">
        <f>Llechryd!S31</f>
        <v>0.22038389999999999</v>
      </c>
      <c r="U4" s="33">
        <f>Llechryd!T31</f>
        <v>0</v>
      </c>
      <c r="V4" s="33">
        <f>Llechryd!U31</f>
        <v>0</v>
      </c>
    </row>
    <row r="5" spans="1:22" x14ac:dyDescent="0.25">
      <c r="A5" s="36">
        <v>3</v>
      </c>
      <c r="B5" s="91"/>
      <c r="C5" s="33">
        <f>'Bryn Gwyn'!B31</f>
        <v>250</v>
      </c>
      <c r="D5" s="33">
        <f>'Bryn Gwyn'!C31</f>
        <v>40.64575</v>
      </c>
      <c r="E5" s="33">
        <f>'Bryn Gwyn'!D31</f>
        <v>11.853634000000001</v>
      </c>
      <c r="F5" s="33">
        <f>'Bryn Gwyn'!E31</f>
        <v>3.8487097499999998</v>
      </c>
      <c r="G5" s="33">
        <f>'Bryn Gwyn'!F31</f>
        <v>7.0525102500000001</v>
      </c>
      <c r="H5" s="33">
        <f>'Bryn Gwyn'!G31</f>
        <v>0.21790500000000002</v>
      </c>
      <c r="I5" s="33">
        <f>'Bryn Gwyn'!H31</f>
        <v>0.68157500000000015</v>
      </c>
      <c r="J5" s="33">
        <f>'Bryn Gwyn'!I31</f>
        <v>8.2585000000000006E-2</v>
      </c>
      <c r="K5" s="33">
        <f>'Bryn Gwyn'!J31</f>
        <v>1.5920000000000001E-3</v>
      </c>
      <c r="L5" s="33">
        <f>'Bryn Gwyn'!K31</f>
        <v>1.0099249999999999E-2</v>
      </c>
      <c r="M5" s="33">
        <f>'Bryn Gwyn'!L31</f>
        <v>8.9550000000000018E-2</v>
      </c>
      <c r="N5" s="33">
        <f>'Bryn Gwyn'!M31</f>
        <v>3.0496750000000003E-2</v>
      </c>
      <c r="O5" s="33">
        <f>'Bryn Gwyn'!N31</f>
        <v>19.253250000000001</v>
      </c>
      <c r="P5" s="33">
        <f>'Bryn Gwyn'!O31</f>
        <v>2094.4749999999999</v>
      </c>
      <c r="Q5" s="33">
        <f>'Bryn Gwyn'!P31</f>
        <v>0</v>
      </c>
      <c r="R5" s="33">
        <f>'Bryn Gwyn'!Q31</f>
        <v>69.898750000000007</v>
      </c>
      <c r="S5" s="33">
        <f>'Bryn Gwyn'!R31</f>
        <v>0</v>
      </c>
      <c r="T5" s="33">
        <f>'Bryn Gwyn'!S31</f>
        <v>0.31790250000000003</v>
      </c>
      <c r="U5" s="33">
        <f>'Bryn Gwyn'!T31</f>
        <v>0</v>
      </c>
      <c r="V5" s="33">
        <f>'Bryn Gwyn'!U31</f>
        <v>0</v>
      </c>
    </row>
    <row r="6" spans="1:22" x14ac:dyDescent="0.25">
      <c r="A6" s="36">
        <v>4</v>
      </c>
      <c r="B6" s="91"/>
      <c r="C6" s="33">
        <f>'Capel Dewi'!B31</f>
        <v>250</v>
      </c>
      <c r="D6" s="33">
        <f>'Capel Dewi'!C31</f>
        <v>71.170000000000016</v>
      </c>
      <c r="E6" s="33">
        <f>'Capel Dewi'!D31</f>
        <v>40.573610000000009</v>
      </c>
      <c r="F6" s="33">
        <f>'Capel Dewi'!E31</f>
        <v>12.035540000000003</v>
      </c>
      <c r="G6" s="33">
        <f>'Capel Dewi'!F31</f>
        <v>37.752660000000006</v>
      </c>
      <c r="H6" s="33">
        <f>'Capel Dewi'!G31</f>
        <v>0.33550000000000002</v>
      </c>
      <c r="I6" s="33">
        <f>'Capel Dewi'!H31</f>
        <v>1.8480000000000003</v>
      </c>
      <c r="J6" s="33">
        <f>'Capel Dewi'!I31</f>
        <v>0.59070000000000011</v>
      </c>
      <c r="K6" s="33">
        <f>'Capel Dewi'!J31</f>
        <v>2.5300000000000001E-3</v>
      </c>
      <c r="L6" s="33">
        <f>'Capel Dewi'!K31</f>
        <v>1.089E-2</v>
      </c>
      <c r="M6" s="33">
        <f>'Capel Dewi'!L31</f>
        <v>0.1716</v>
      </c>
      <c r="N6" s="33">
        <f>'Capel Dewi'!M31</f>
        <v>0</v>
      </c>
      <c r="O6" s="33">
        <f>'Capel Dewi'!N31</f>
        <v>107.36000000000001</v>
      </c>
      <c r="P6" s="33">
        <f>'Capel Dewi'!O31</f>
        <v>3556.3000000000006</v>
      </c>
      <c r="Q6" s="33">
        <f>'Capel Dewi'!P31</f>
        <v>0</v>
      </c>
      <c r="R6" s="33">
        <f>'Capel Dewi'!Q31</f>
        <v>83.600000000000009</v>
      </c>
      <c r="S6" s="33">
        <f>'Capel Dewi'!R31</f>
        <v>0</v>
      </c>
      <c r="T6" s="33">
        <f>'Capel Dewi'!S31</f>
        <v>0.32450000000000001</v>
      </c>
      <c r="U6" s="33">
        <f>'Capel Dewi'!T31</f>
        <v>0</v>
      </c>
      <c r="V6" s="33">
        <f>'Capel Dewi'!U31</f>
        <v>0</v>
      </c>
    </row>
    <row r="7" spans="1:22" x14ac:dyDescent="0.25">
      <c r="A7" s="36">
        <v>5</v>
      </c>
      <c r="B7" s="91"/>
      <c r="C7" s="33">
        <f>Cray!B31</f>
        <v>250</v>
      </c>
      <c r="D7" s="33">
        <f>Cray!C31</f>
        <v>37.128</v>
      </c>
      <c r="E7" s="33">
        <f>Cray!D31</f>
        <v>9.9198009000000003</v>
      </c>
      <c r="F7" s="33">
        <f>Cray!E31</f>
        <v>0.97713450000000013</v>
      </c>
      <c r="G7" s="33">
        <f>Cray!F31</f>
        <v>5.0312009999999994</v>
      </c>
      <c r="H7" s="33">
        <f>Cray!G31</f>
        <v>0.14331000000000005</v>
      </c>
      <c r="I7" s="33">
        <f>Cray!H31</f>
        <v>0.66300000000000003</v>
      </c>
      <c r="J7" s="33">
        <f>Cray!I31</f>
        <v>4.3860000000000003E-2</v>
      </c>
      <c r="K7" s="33">
        <f>Cray!J31</f>
        <v>3.1110000000000001E-3</v>
      </c>
      <c r="L7" s="33">
        <f>Cray!K31</f>
        <v>5.0490000000000005E-3</v>
      </c>
      <c r="M7" s="33">
        <f>Cray!L31</f>
        <v>4.8959999999999997E-2</v>
      </c>
      <c r="N7" s="33">
        <f>Cray!M31</f>
        <v>7.7010000000000009E-2</v>
      </c>
      <c r="O7" s="33">
        <f>Cray!N31</f>
        <v>15.555000000000003</v>
      </c>
      <c r="P7" s="33">
        <f>Cray!O31</f>
        <v>2300.1</v>
      </c>
      <c r="Q7" s="33">
        <f>Cray!P31</f>
        <v>0</v>
      </c>
      <c r="R7" s="33">
        <f>Cray!Q31</f>
        <v>33.532499999999999</v>
      </c>
      <c r="S7" s="33">
        <f>Cray!R31</f>
        <v>0</v>
      </c>
      <c r="T7" s="33">
        <f>Cray!S31</f>
        <v>0.19737000000000005</v>
      </c>
      <c r="U7" s="33">
        <f>Cray!T31</f>
        <v>0</v>
      </c>
      <c r="V7" s="33">
        <f>Cray!U31</f>
        <v>0</v>
      </c>
    </row>
    <row r="8" spans="1:22" x14ac:dyDescent="0.25">
      <c r="A8" s="36">
        <v>6</v>
      </c>
      <c r="B8" s="91"/>
      <c r="C8" s="33">
        <f>Hirwaun!B31</f>
        <v>250</v>
      </c>
      <c r="D8" s="33">
        <f>Hirwaun!C31</f>
        <v>48.17475000000001</v>
      </c>
      <c r="E8" s="33">
        <f>Hirwaun!D31</f>
        <v>3.8691553499999998</v>
      </c>
      <c r="F8" s="33">
        <f>Hirwaun!E31</f>
        <v>2.8915481250000008</v>
      </c>
      <c r="G8" s="33">
        <f>Hirwaun!F31</f>
        <v>11.281032000000002</v>
      </c>
      <c r="H8" s="33">
        <f>Hirwaun!G31</f>
        <v>0.1451925</v>
      </c>
      <c r="I8" s="33">
        <f>Hirwaun!H31</f>
        <v>1.1117250000000001</v>
      </c>
      <c r="J8" s="33">
        <f>Hirwaun!I31</f>
        <v>0.12575250000000002</v>
      </c>
      <c r="K8" s="33">
        <f>Hirwaun!J31</f>
        <v>3.2197500000000008E-3</v>
      </c>
      <c r="L8" s="33">
        <f>Hirwaun!K31</f>
        <v>4.9815000000000007E-3</v>
      </c>
      <c r="M8" s="33">
        <f>Hirwaun!L31</f>
        <v>9.1732500000000022E-2</v>
      </c>
      <c r="N8" s="33">
        <f>Hirwaun!M31</f>
        <v>0.10752750000000001</v>
      </c>
      <c r="O8" s="33">
        <f>Hirwaun!N31</f>
        <v>12.393000000000001</v>
      </c>
      <c r="P8" s="33">
        <f>Hirwaun!O31</f>
        <v>2636.55</v>
      </c>
      <c r="Q8" s="33">
        <f>Hirwaun!P31</f>
        <v>0</v>
      </c>
      <c r="R8" s="33">
        <f>Hirwaun!Q31</f>
        <v>65.610000000000014</v>
      </c>
      <c r="S8" s="33">
        <f>Hirwaun!R31</f>
        <v>0</v>
      </c>
      <c r="T8" s="33">
        <f>Hirwaun!S31</f>
        <v>0.39973500000000001</v>
      </c>
      <c r="U8" s="33">
        <f>Hirwaun!T31</f>
        <v>0</v>
      </c>
      <c r="V8" s="33">
        <f>Hirwaun!U31</f>
        <v>0</v>
      </c>
    </row>
    <row r="9" spans="1:22" x14ac:dyDescent="0.25">
      <c r="A9" s="36">
        <v>7</v>
      </c>
      <c r="B9" s="91"/>
      <c r="C9" s="33">
        <f>'Cefn Dryscoed'!B31</f>
        <v>250</v>
      </c>
      <c r="D9" s="33">
        <f>'Cefn Dryscoed'!C31</f>
        <v>40.361999999999995</v>
      </c>
      <c r="E9" s="33">
        <f>'Cefn Dryscoed'!D31</f>
        <v>4.2818789999999991</v>
      </c>
      <c r="F9" s="33">
        <f>'Cefn Dryscoed'!E31</f>
        <v>0.44030699999999995</v>
      </c>
      <c r="G9" s="33">
        <f>'Cefn Dryscoed'!F31</f>
        <v>1.5319919999999998</v>
      </c>
      <c r="H9" s="33">
        <f>'Cefn Dryscoed'!G31</f>
        <v>0.18984000000000001</v>
      </c>
      <c r="I9" s="33">
        <f>'Cefn Dryscoed'!H31</f>
        <v>0.44519999999999998</v>
      </c>
      <c r="J9" s="33">
        <f>'Cefn Dryscoed'!I31</f>
        <v>3.2214E-2</v>
      </c>
      <c r="K9" s="33">
        <f>'Cefn Dryscoed'!J31</f>
        <v>2.8140000000000001E-3</v>
      </c>
      <c r="L9" s="33">
        <f>'Cefn Dryscoed'!K31</f>
        <v>4.9559999999999995E-3</v>
      </c>
      <c r="M9" s="33">
        <f>'Cefn Dryscoed'!L31</f>
        <v>2.1294000000000004E-2</v>
      </c>
      <c r="N9" s="33">
        <f>'Cefn Dryscoed'!M31</f>
        <v>1.6841999999999999E-2</v>
      </c>
      <c r="O9" s="33">
        <f>'Cefn Dryscoed'!N31</f>
        <v>768.59999999999991</v>
      </c>
      <c r="P9" s="33">
        <f>'Cefn Dryscoed'!O31</f>
        <v>21.084000000000003</v>
      </c>
      <c r="Q9" s="33">
        <f>'Cefn Dryscoed'!P31</f>
        <v>0</v>
      </c>
      <c r="R9" s="33">
        <f>'Cefn Dryscoed'!Q31</f>
        <v>94.39500000000001</v>
      </c>
      <c r="S9" s="33">
        <f>'Cefn Dryscoed'!R31</f>
        <v>0</v>
      </c>
      <c r="T9" s="33">
        <f>'Cefn Dryscoed'!S31</f>
        <v>0.16968</v>
      </c>
      <c r="U9" s="33">
        <f>'Cefn Dryscoed'!T31</f>
        <v>0</v>
      </c>
      <c r="V9" s="33">
        <f>'Cefn Dryscoed'!U31</f>
        <v>0</v>
      </c>
    </row>
    <row r="10" spans="1:22" x14ac:dyDescent="0.25">
      <c r="A10" s="36">
        <v>8</v>
      </c>
      <c r="B10" s="91"/>
      <c r="C10" s="33">
        <f>'Preseli 2'!B31</f>
        <v>80</v>
      </c>
      <c r="D10" s="33">
        <f>'Preseli 2'!C31</f>
        <v>144.70400000000001</v>
      </c>
      <c r="E10" s="33">
        <f>'Preseli 2'!D31</f>
        <v>61.068896000000009</v>
      </c>
      <c r="F10" s="33">
        <f>'Preseli 2'!E31</f>
        <v>2.1894368000000002</v>
      </c>
      <c r="G10" s="33">
        <f>'Preseli 2'!F31</f>
        <v>4.0768230399999998</v>
      </c>
      <c r="H10" s="33">
        <f>'Preseli 2'!G31</f>
        <v>0.22848000000000004</v>
      </c>
      <c r="I10" s="33">
        <f>'Preseli 2'!H31</f>
        <v>0.86604799999999993</v>
      </c>
      <c r="J10" s="33">
        <f>'Preseli 2'!I31</f>
        <v>0.33728000000000002</v>
      </c>
      <c r="K10" s="33">
        <f>'Preseli 2'!J31</f>
        <v>4.7872000000000001E-3</v>
      </c>
      <c r="L10" s="33">
        <f>'Preseli 2'!K31</f>
        <v>8.1600000000000006E-3</v>
      </c>
      <c r="M10" s="33">
        <f>'Preseli 2'!L31</f>
        <v>5.5487999999999996E-2</v>
      </c>
      <c r="N10" s="33">
        <f>'Preseli 2'!M31</f>
        <v>4.6783999999999999E-2</v>
      </c>
      <c r="O10" s="33">
        <f>'Preseli 2'!N31</f>
        <v>1370.88</v>
      </c>
      <c r="P10" s="33">
        <f>'Preseli 2'!O31</f>
        <v>336.19200000000006</v>
      </c>
      <c r="Q10" s="33">
        <f>'Preseli 2'!P31</f>
        <v>0</v>
      </c>
      <c r="R10" s="33">
        <f>'Preseli 2'!Q31</f>
        <v>116.14400000000003</v>
      </c>
      <c r="S10" s="33">
        <f>'Preseli 2'!R31</f>
        <v>0</v>
      </c>
      <c r="T10" s="33">
        <f>'Preseli 2'!S31</f>
        <v>0.64083200000000007</v>
      </c>
      <c r="U10" s="33">
        <f>'Preseli 2'!T31</f>
        <v>0</v>
      </c>
      <c r="V10" s="33">
        <f>'Preseli 2'!U31</f>
        <v>0</v>
      </c>
    </row>
    <row r="11" spans="1:22" x14ac:dyDescent="0.25">
      <c r="A11" s="36">
        <v>9</v>
      </c>
      <c r="B11" s="91"/>
      <c r="C11" s="33">
        <f>'Bolton Hill'!B31</f>
        <v>80</v>
      </c>
      <c r="D11" s="33">
        <f>'Bolton Hill'!C31</f>
        <v>147.232</v>
      </c>
      <c r="E11" s="33">
        <f>'Bolton Hill'!D31</f>
        <v>79.125641599999994</v>
      </c>
      <c r="F11" s="33">
        <f>'Bolton Hill'!E31</f>
        <v>11.6231408</v>
      </c>
      <c r="G11" s="33">
        <f>'Bolton Hill'!F31</f>
        <v>36.958809599999995</v>
      </c>
      <c r="H11" s="33">
        <f>'Bolton Hill'!G31</f>
        <v>0.73340799999999995</v>
      </c>
      <c r="I11" s="33">
        <f>'Bolton Hill'!H31</f>
        <v>2.0089599999999996</v>
      </c>
      <c r="J11" s="33">
        <f>'Bolton Hill'!I31</f>
        <v>0.13622400000000001</v>
      </c>
      <c r="K11" s="33">
        <f>'Bolton Hill'!J31</f>
        <v>7.5680000000000001E-3</v>
      </c>
      <c r="L11" s="33">
        <f>'Bolton Hill'!K31</f>
        <v>7.5680000000000001E-3</v>
      </c>
      <c r="M11" s="33">
        <f>'Bolton Hill'!L31</f>
        <v>0.44582399999999994</v>
      </c>
      <c r="N11" s="33">
        <f>'Bolton Hill'!M31</f>
        <v>0.29033599999999998</v>
      </c>
      <c r="O11" s="33">
        <f>'Bolton Hill'!N31</f>
        <v>1747.5199999999998</v>
      </c>
      <c r="P11" s="33">
        <f>'Bolton Hill'!O31</f>
        <v>370.14400000000001</v>
      </c>
      <c r="Q11" s="33">
        <f>'Bolton Hill'!P31</f>
        <v>0</v>
      </c>
      <c r="R11" s="33">
        <f>'Bolton Hill'!Q31</f>
        <v>190.92</v>
      </c>
      <c r="S11" s="33">
        <f>'Bolton Hill'!R31</f>
        <v>0</v>
      </c>
      <c r="T11" s="33">
        <f>'Bolton Hill'!S31</f>
        <v>0.26143999999999995</v>
      </c>
      <c r="U11" s="33">
        <f>'Bolton Hill'!T31</f>
        <v>0</v>
      </c>
      <c r="V11" s="33">
        <f>'Bolton Hill'!U31</f>
        <v>0</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Preseli!B43</f>
        <v>150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Preseli!B44</f>
        <v>185</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185</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165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80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80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REGU-195-6582649</_dlc_DocId>
    <_dlc_DocIdUrl xmlns="9be56660-2c31-41ef-bc00-23e72f632f2a">
      <Url>https://cyfoethnaturiolcymru.sharepoint.com/teams/Regulatory/Permitting/_layouts/15/DocIdRedir.aspx?ID=REGU-195-6582649</Url>
      <Description>REGU-195-6582649</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2024-06-17T23:00:00+00:00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6D01BC61-3E21-4EBE-AF1C-51D5405E9B77}"/>
</file>

<file path=customXml/itemProps4.xml><?xml version="1.0" encoding="utf-8"?>
<ds:datastoreItem xmlns:ds="http://schemas.openxmlformats.org/officeDocument/2006/customXml" ds:itemID="{C8299782-C08A-4292-99A6-9A80B638AB64}"/>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Preseli</vt:lpstr>
      <vt:lpstr>Llechryd</vt:lpstr>
      <vt:lpstr>Bryn Gwyn</vt:lpstr>
      <vt:lpstr>Capel Dewi</vt:lpstr>
      <vt:lpstr>Cray</vt:lpstr>
      <vt:lpstr>Hirwaun</vt:lpstr>
      <vt:lpstr>Cefn Dryscoed</vt:lpstr>
      <vt:lpstr>Preseli 2</vt:lpstr>
      <vt:lpstr>Bolton Hill</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2024-06-13T08:50:31Z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bf0c011b-3301-4f29-ac3b-ecc2792e194e</vt:lpwstr>
  </property>
  <property fmtid="{D5CDD505-2E9C-101B-9397-08002B2CF9AE}" pid="4" name="Order">
    <vt:r8>658264900</vt:r8>
  </property>
  <property fmtid="{D5CDD505-2E9C-101B-9397-08002B2CF9AE}" pid="5" name="MediaServiceImageTags">
    <vt:lpwstr/>
  </property>
</Properties>
</file>