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comments11.xml" ContentType="application/vnd.openxmlformats-officedocument.spreadsheetml.comments+xml"/>
  <Override PartName="/docProps/core.xml" ContentType="application/vnd.openxmlformats-package.core-properties+xml"/>
  <Override PartName="/docProps/custom.xml" ContentType="application/vnd.openxmlformats-officedocument.custom-properties+xml"/>
  <Override PartName="/xl/comments8.xml" ContentType="application/vnd.openxmlformats-officedocument.spreadsheetml.comments+xml"/>
  <Override PartName="/xl/comments10.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9.xml" ContentType="application/vnd.openxmlformats-officedocument.spreadsheetml.comments+xml"/>
  <Override PartName="/xl/comments1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app.xml" ContentType="application/vnd.openxmlformats-officedocument.extended-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codeName="{657A6CF4-780A-29F0-665F-34B82A1D2417}"/>
  <workbookPr codeName="ThisWorkbook" defaultThemeVersion="124226"/>
  <mc:AlternateContent xmlns:mc="http://schemas.openxmlformats.org/markup-compatibility/2006">
    <mc:Choice Requires="x15">
      <x15ac:absPath xmlns:x15ac="http://schemas.microsoft.com/office/spreadsheetml/2010/11/ac" url="https://theermgroup.sharepoint.com/sites/Marinespace-MorlaisEnvironmentalMonitoringandMitigationPlanE/Shared Documents/General/Morlais Info and Survey WPs/Work Package deliverables/WP14/Phase 2/For EMMP/"/>
    </mc:Choice>
  </mc:AlternateContent>
  <xr:revisionPtr revIDLastSave="13" documentId="13_ncr:1_{75A9593C-31EA-4D51-80C0-B5A667E3501A}" xr6:coauthVersionLast="47" xr6:coauthVersionMax="47" xr10:uidLastSave="{5CCB7121-881C-4B2C-B587-456B3CE31094}"/>
  <bookViews>
    <workbookView xWindow="28680" yWindow="-120" windowWidth="29040" windowHeight="15840" tabRatio="764" firstSheet="2" activeTab="16" xr2:uid="{00000000-000D-0000-FFFF-FFFF00000000}"/>
  </bookViews>
  <sheets>
    <sheet name="Devices" sheetId="56" r:id="rId1"/>
    <sheet name="Animals" sheetId="55" r:id="rId2"/>
    <sheet name="Swim depths" sheetId="7" r:id="rId3"/>
    <sheet name="Density_1" sheetId="57" r:id="rId4"/>
    <sheet name="ERM_1" sheetId="58" r:id="rId5"/>
    <sheet name="CRM_1" sheetId="59" r:id="rId6"/>
    <sheet name="Density_2" sheetId="60" r:id="rId7"/>
    <sheet name="ERM_2" sheetId="61" r:id="rId8"/>
    <sheet name="CRM_2" sheetId="62" r:id="rId9"/>
    <sheet name="Density_3" sheetId="63" r:id="rId10"/>
    <sheet name="ERM_3" sheetId="64" r:id="rId11"/>
    <sheet name="CRM_3" sheetId="65" r:id="rId12"/>
    <sheet name="Density_4" sheetId="66" r:id="rId13"/>
    <sheet name="ERM_4" sheetId="67" r:id="rId14"/>
    <sheet name="CRM_4" sheetId="68" r:id="rId15"/>
    <sheet name="Results for 1 device" sheetId="69" r:id="rId16"/>
    <sheet name="Results for deployment" sheetId="70" r:id="rId17"/>
  </sheets>
  <externalReferences>
    <externalReference r:id="rId18"/>
    <externalReference r:id="rId19"/>
  </externalReferences>
  <definedNames>
    <definedName name="bladeprofile" localSheetId="1">#REF!</definedName>
    <definedName name="bladeprofile" localSheetId="5">CRM_1!$G$4:$K$24</definedName>
    <definedName name="bladeprofile" localSheetId="8">CRM_2!$G$4:$K$24</definedName>
    <definedName name="bladeprofile" localSheetId="11">CRM_3!$G$4:$K$24</definedName>
    <definedName name="bladeprofile" localSheetId="14">CRM_4!$G$4:$K$24</definedName>
    <definedName name="bladeprofile" localSheetId="0">#REF!</definedName>
    <definedName name="bladeprofile">#REF!</definedName>
    <definedName name="blades" localSheetId="1">#REF!</definedName>
    <definedName name="blades" localSheetId="5">CRM_1!$E$13</definedName>
    <definedName name="blades" localSheetId="8">CRM_2!$E$13</definedName>
    <definedName name="blades" localSheetId="11">CRM_3!$E$13</definedName>
    <definedName name="blades" localSheetId="14">CRM_4!$E$13</definedName>
    <definedName name="blades" localSheetId="0">#REF!</definedName>
    <definedName name="blades">#REF!</definedName>
    <definedName name="chord" localSheetId="1">#REF!</definedName>
    <definedName name="chord" localSheetId="5">CRM_1!$E$14</definedName>
    <definedName name="chord" localSheetId="8">CRM_2!$E$14</definedName>
    <definedName name="chord" localSheetId="11">CRM_3!$E$14</definedName>
    <definedName name="chord" localSheetId="14">CRM_4!$E$14</definedName>
    <definedName name="chord" localSheetId="0">#REF!</definedName>
    <definedName name="chord">#REF!</definedName>
    <definedName name="custom_depth_distribution" localSheetId="1">#REF!</definedName>
    <definedName name="custom_depth_distribution" localSheetId="3">Density_1!#REF!</definedName>
    <definedName name="custom_depth_distribution" localSheetId="6">Density_2!#REF!</definedName>
    <definedName name="custom_depth_distribution" localSheetId="9">Density_3!#REF!</definedName>
    <definedName name="custom_depth_distribution" localSheetId="12">Density_4!#REF!</definedName>
    <definedName name="custom_depth_distribution" localSheetId="0">#REF!</definedName>
    <definedName name="custom_depth_distribution">#REF!</definedName>
    <definedName name="depth_diving_birds" localSheetId="1">#REF!</definedName>
    <definedName name="depth_diving_birds" localSheetId="0">[1]Density!$B$38:$B$40</definedName>
    <definedName name="depth_diving_birds">#REF!</definedName>
    <definedName name="DEPTH_MMS">'[2]Density (marine animals)'!$B$28:$B$34</definedName>
    <definedName name="depth_sea_mammals" localSheetId="1">#REF!</definedName>
    <definedName name="depth_sea_mammals" localSheetId="3">Density_1!#REF!</definedName>
    <definedName name="depth_sea_mammals" localSheetId="6">Density_2!#REF!</definedName>
    <definedName name="depth_sea_mammals" localSheetId="9">Density_3!#REF!</definedName>
    <definedName name="depth_sea_mammals" localSheetId="12">Density_4!#REF!</definedName>
    <definedName name="depth_sea_mammals" localSheetId="0">#REF!</definedName>
    <definedName name="depth_sea_mammals">#REF!</definedName>
    <definedName name="generic_depth_distribution" localSheetId="1">#REF!</definedName>
    <definedName name="generic_depth_distribution" localSheetId="3">Density_1!#REF!</definedName>
    <definedName name="generic_depth_distribution" localSheetId="6">Density_2!#REF!</definedName>
    <definedName name="generic_depth_distribution" localSheetId="9">Density_3!#REF!</definedName>
    <definedName name="generic_depth_distribution" localSheetId="12">Density_4!#REF!</definedName>
    <definedName name="generic_depth_distribution" localSheetId="0">#REF!</definedName>
    <definedName name="generic_depth_distribution">#REF!</definedName>
    <definedName name="gs_dbins" localSheetId="1">#REF!</definedName>
    <definedName name="gs_dbins" localSheetId="0">#REF!</definedName>
    <definedName name="gs_dbins">'Swim depths'!$R$6:$R$21</definedName>
    <definedName name="gs_propdata" localSheetId="1">#REF!</definedName>
    <definedName name="gs_propdata" localSheetId="0">#REF!</definedName>
    <definedName name="gs_propdata">'Swim depths'!$S$6:$X$21</definedName>
    <definedName name="gs_wbins" localSheetId="1">#REF!</definedName>
    <definedName name="gs_wbins" localSheetId="0">#REF!</definedName>
    <definedName name="gs_wbins">'Swim depths'!$S$4:$X$4</definedName>
    <definedName name="hp_dbins" localSheetId="1">#REF!</definedName>
    <definedName name="hp_dbins" localSheetId="0">#REF!</definedName>
    <definedName name="hp_dbins">'Swim depths'!$C$6:$C$25</definedName>
    <definedName name="hp_propdata" localSheetId="1">#REF!</definedName>
    <definedName name="hp_propdata" localSheetId="0">#REF!</definedName>
    <definedName name="hp_propdata">'Swim depths'!$D$6:$H$25</definedName>
    <definedName name="hp_wbins" localSheetId="1">#REF!</definedName>
    <definedName name="hp_wbins" localSheetId="0">#REF!</definedName>
    <definedName name="hp_wbins">'Swim depths'!$D$4:$H$4</definedName>
    <definedName name="hs_dbins" localSheetId="1">#REF!</definedName>
    <definedName name="hs_dbins" localSheetId="0">#REF!</definedName>
    <definedName name="hs_dbins">'Swim depths'!$L$6:$L$14</definedName>
    <definedName name="hs_propdata" localSheetId="1">#REF!</definedName>
    <definedName name="hs_propdata" localSheetId="0">#REF!</definedName>
    <definedName name="hs_propdata">'Swim depths'!$M$6:$N$14</definedName>
    <definedName name="hs_wbins" localSheetId="1">#REF!</definedName>
    <definedName name="hs_wbins" localSheetId="0">#REF!</definedName>
    <definedName name="hs_wbins">'Swim depths'!$M$4:$N$4</definedName>
    <definedName name="omega" localSheetId="1">#REF!</definedName>
    <definedName name="omega" localSheetId="5">CRM_1!$E$17</definedName>
    <definedName name="omega" localSheetId="8">CRM_2!$E$17</definedName>
    <definedName name="omega" localSheetId="11">CRM_3!$E$17</definedName>
    <definedName name="omega" localSheetId="14">CRM_4!$E$17</definedName>
    <definedName name="omega" localSheetId="0">#REF!</definedName>
    <definedName name="omega">#REF!</definedName>
    <definedName name="radius" localSheetId="1">#REF!</definedName>
    <definedName name="radius" localSheetId="5">CRM_1!$E$12</definedName>
    <definedName name="radius" localSheetId="8">CRM_2!$E$12</definedName>
    <definedName name="radius" localSheetId="11">CRM_3!$E$12</definedName>
    <definedName name="radius" localSheetId="14">CRM_4!$E$12</definedName>
    <definedName name="radius" localSheetId="0">#REF!</definedName>
    <definedName name="radius">#REF!</definedName>
    <definedName name="tippitch" localSheetId="1">#REF!</definedName>
    <definedName name="tippitch" localSheetId="5">CRM_1!$E$15</definedName>
    <definedName name="tippitch" localSheetId="8">CRM_2!$E$15</definedName>
    <definedName name="tippitch" localSheetId="11">CRM_3!$E$15</definedName>
    <definedName name="tippitch" localSheetId="14">CRM_4!$E$15</definedName>
    <definedName name="tippitch" localSheetId="0">#REF!</definedName>
    <definedName name="tippitch">#REF!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7" i="68" l="1"/>
  <c r="D6" i="68"/>
  <c r="E7" i="68" s="1"/>
  <c r="L117" i="70"/>
  <c r="K118" i="70"/>
  <c r="L118" i="70"/>
  <c r="J119" i="70"/>
  <c r="K119" i="70"/>
  <c r="L119" i="70"/>
  <c r="M119" i="70"/>
  <c r="J121" i="70"/>
  <c r="K121" i="70"/>
  <c r="L121" i="70"/>
  <c r="M121" i="70"/>
  <c r="L98" i="70"/>
  <c r="K99" i="70"/>
  <c r="L99" i="70"/>
  <c r="J100" i="70"/>
  <c r="K100" i="70"/>
  <c r="L100" i="70"/>
  <c r="M100" i="70"/>
  <c r="J102" i="70"/>
  <c r="K102" i="70"/>
  <c r="L102" i="70"/>
  <c r="M102" i="70"/>
  <c r="L79" i="70"/>
  <c r="K80" i="70"/>
  <c r="L80" i="70"/>
  <c r="J81" i="70"/>
  <c r="K81" i="70"/>
  <c r="L81" i="70"/>
  <c r="M81" i="70"/>
  <c r="J83" i="70"/>
  <c r="K83" i="70"/>
  <c r="L83" i="70"/>
  <c r="M83" i="70"/>
  <c r="L60" i="70"/>
  <c r="K61" i="70"/>
  <c r="L61" i="70"/>
  <c r="J62" i="70"/>
  <c r="K62" i="70"/>
  <c r="L62" i="70"/>
  <c r="M62" i="70"/>
  <c r="J64" i="70"/>
  <c r="K64" i="70"/>
  <c r="L64" i="70"/>
  <c r="M64" i="70"/>
  <c r="L41" i="70"/>
  <c r="K42" i="70"/>
  <c r="L42" i="70"/>
  <c r="J43" i="70"/>
  <c r="K43" i="70"/>
  <c r="L43" i="70"/>
  <c r="M43" i="70"/>
  <c r="J45" i="70"/>
  <c r="K45" i="70"/>
  <c r="L45" i="70"/>
  <c r="M45" i="70"/>
  <c r="L22" i="70"/>
  <c r="K23" i="70"/>
  <c r="L23" i="70"/>
  <c r="J24" i="70"/>
  <c r="K24" i="70"/>
  <c r="L24" i="70"/>
  <c r="M24" i="70"/>
  <c r="J26" i="70"/>
  <c r="K26" i="70"/>
  <c r="L26" i="70"/>
  <c r="M26" i="70"/>
  <c r="L3" i="70"/>
  <c r="K4" i="70"/>
  <c r="L4" i="70"/>
  <c r="J5" i="70"/>
  <c r="K5" i="70"/>
  <c r="L5" i="70"/>
  <c r="M5" i="70"/>
  <c r="J7" i="70"/>
  <c r="K7" i="70"/>
  <c r="L7" i="70"/>
  <c r="M7" i="70"/>
  <c r="E117" i="70"/>
  <c r="D118" i="70"/>
  <c r="E118" i="70"/>
  <c r="C119" i="70"/>
  <c r="D119" i="70"/>
  <c r="E119" i="70"/>
  <c r="F119" i="70"/>
  <c r="C121" i="70"/>
  <c r="D121" i="70"/>
  <c r="E121" i="70"/>
  <c r="F121" i="70"/>
  <c r="E98" i="70"/>
  <c r="D99" i="70"/>
  <c r="E99" i="70"/>
  <c r="C100" i="70"/>
  <c r="D100" i="70"/>
  <c r="E100" i="70"/>
  <c r="F100" i="70"/>
  <c r="C102" i="70"/>
  <c r="D102" i="70"/>
  <c r="E102" i="70"/>
  <c r="F102" i="70"/>
  <c r="E79" i="70"/>
  <c r="D80" i="70"/>
  <c r="E80" i="70"/>
  <c r="C81" i="70"/>
  <c r="D81" i="70"/>
  <c r="E81" i="70"/>
  <c r="F81" i="70"/>
  <c r="C83" i="70"/>
  <c r="D83" i="70"/>
  <c r="E83" i="70"/>
  <c r="F83" i="70"/>
  <c r="E60" i="70"/>
  <c r="D61" i="70"/>
  <c r="E61" i="70"/>
  <c r="C62" i="70"/>
  <c r="D62" i="70"/>
  <c r="E62" i="70"/>
  <c r="F62" i="70"/>
  <c r="C64" i="70"/>
  <c r="D64" i="70"/>
  <c r="E64" i="70"/>
  <c r="F64" i="70"/>
  <c r="E41" i="70"/>
  <c r="D42" i="70"/>
  <c r="E42" i="70"/>
  <c r="C43" i="70"/>
  <c r="D43" i="70"/>
  <c r="E43" i="70"/>
  <c r="F43" i="70"/>
  <c r="C45" i="70"/>
  <c r="D45" i="70"/>
  <c r="E45" i="70"/>
  <c r="F45" i="70"/>
  <c r="E22" i="70"/>
  <c r="D23" i="70"/>
  <c r="E23" i="70"/>
  <c r="C24" i="70"/>
  <c r="D24" i="70"/>
  <c r="E24" i="70"/>
  <c r="F24" i="70"/>
  <c r="C26" i="70"/>
  <c r="D26" i="70"/>
  <c r="E26" i="70"/>
  <c r="F26" i="70"/>
  <c r="C3" i="70"/>
  <c r="J117" i="70" s="1"/>
  <c r="D3" i="70"/>
  <c r="K117" i="70" s="1"/>
  <c r="E3" i="70"/>
  <c r="F3" i="70"/>
  <c r="M60" i="70" s="1"/>
  <c r="C4" i="70"/>
  <c r="D4" i="70"/>
  <c r="E4" i="70"/>
  <c r="C5" i="70"/>
  <c r="D5" i="70"/>
  <c r="E5" i="70"/>
  <c r="F5" i="70"/>
  <c r="C7" i="70"/>
  <c r="D7" i="70"/>
  <c r="E7" i="70"/>
  <c r="F7" i="70"/>
  <c r="J117" i="69"/>
  <c r="K117" i="69"/>
  <c r="L117" i="69"/>
  <c r="M117" i="69"/>
  <c r="J118" i="69"/>
  <c r="K118" i="69"/>
  <c r="L118" i="69"/>
  <c r="M118" i="69"/>
  <c r="J119" i="69"/>
  <c r="K119" i="69"/>
  <c r="L119" i="69"/>
  <c r="M119" i="69"/>
  <c r="J121" i="69"/>
  <c r="K121" i="69"/>
  <c r="L121" i="69"/>
  <c r="M121" i="69"/>
  <c r="J98" i="69"/>
  <c r="K98" i="69"/>
  <c r="L98" i="69"/>
  <c r="M98" i="69"/>
  <c r="J99" i="69"/>
  <c r="K99" i="69"/>
  <c r="L99" i="69"/>
  <c r="M99" i="69"/>
  <c r="J100" i="69"/>
  <c r="K100" i="69"/>
  <c r="L100" i="69"/>
  <c r="M100" i="69"/>
  <c r="J102" i="69"/>
  <c r="K102" i="69"/>
  <c r="L102" i="69"/>
  <c r="M102" i="69"/>
  <c r="J79" i="69"/>
  <c r="K79" i="69"/>
  <c r="L79" i="69"/>
  <c r="M79" i="69"/>
  <c r="J80" i="69"/>
  <c r="K80" i="69"/>
  <c r="L80" i="69"/>
  <c r="M80" i="69"/>
  <c r="J81" i="69"/>
  <c r="K81" i="69"/>
  <c r="L81" i="69"/>
  <c r="M81" i="69"/>
  <c r="J83" i="69"/>
  <c r="K83" i="69"/>
  <c r="L83" i="69"/>
  <c r="M83" i="69"/>
  <c r="J60" i="69"/>
  <c r="K60" i="69"/>
  <c r="L60" i="69"/>
  <c r="M60" i="69"/>
  <c r="J61" i="69"/>
  <c r="K61" i="69"/>
  <c r="L61" i="69"/>
  <c r="M61" i="69"/>
  <c r="J62" i="69"/>
  <c r="K62" i="69"/>
  <c r="L62" i="69"/>
  <c r="M62" i="69"/>
  <c r="J64" i="69"/>
  <c r="K64" i="69"/>
  <c r="L64" i="69"/>
  <c r="M64" i="69"/>
  <c r="J41" i="69"/>
  <c r="K41" i="69"/>
  <c r="L41" i="69"/>
  <c r="M41" i="69"/>
  <c r="J42" i="69"/>
  <c r="K42" i="69"/>
  <c r="L42" i="69"/>
  <c r="M42" i="69"/>
  <c r="J43" i="69"/>
  <c r="K43" i="69"/>
  <c r="L43" i="69"/>
  <c r="M43" i="69"/>
  <c r="J45" i="69"/>
  <c r="K45" i="69"/>
  <c r="L45" i="69"/>
  <c r="M45" i="69"/>
  <c r="J22" i="69"/>
  <c r="K22" i="69"/>
  <c r="L22" i="69"/>
  <c r="M22" i="69"/>
  <c r="J23" i="69"/>
  <c r="K23" i="69"/>
  <c r="L23" i="69"/>
  <c r="M23" i="69"/>
  <c r="J24" i="69"/>
  <c r="K24" i="69"/>
  <c r="L24" i="69"/>
  <c r="M24" i="69"/>
  <c r="J26" i="69"/>
  <c r="K26" i="69"/>
  <c r="L26" i="69"/>
  <c r="M26" i="69"/>
  <c r="J3" i="69"/>
  <c r="K3" i="69"/>
  <c r="L3" i="69"/>
  <c r="M3" i="69"/>
  <c r="J4" i="69"/>
  <c r="K4" i="69"/>
  <c r="L4" i="69"/>
  <c r="M4" i="69"/>
  <c r="J5" i="69"/>
  <c r="K5" i="69"/>
  <c r="L5" i="69"/>
  <c r="M5" i="69"/>
  <c r="J7" i="69"/>
  <c r="K7" i="69"/>
  <c r="L7" i="69"/>
  <c r="M7" i="69"/>
  <c r="C117" i="69"/>
  <c r="D117" i="69"/>
  <c r="E117" i="69"/>
  <c r="F117" i="69"/>
  <c r="C118" i="69"/>
  <c r="D118" i="69"/>
  <c r="E118" i="69"/>
  <c r="F118" i="69"/>
  <c r="C119" i="69"/>
  <c r="D119" i="69"/>
  <c r="E119" i="69"/>
  <c r="F119" i="69"/>
  <c r="C121" i="69"/>
  <c r="D121" i="69"/>
  <c r="E121" i="69"/>
  <c r="F121" i="69"/>
  <c r="C98" i="69"/>
  <c r="D98" i="69"/>
  <c r="E98" i="69"/>
  <c r="F98" i="69"/>
  <c r="C99" i="69"/>
  <c r="D99" i="69"/>
  <c r="E99" i="69"/>
  <c r="F99" i="69"/>
  <c r="C100" i="69"/>
  <c r="D100" i="69"/>
  <c r="E100" i="69"/>
  <c r="F100" i="69"/>
  <c r="C102" i="69"/>
  <c r="D102" i="69"/>
  <c r="E102" i="69"/>
  <c r="F102" i="69"/>
  <c r="C79" i="69"/>
  <c r="D79" i="69"/>
  <c r="E79" i="69"/>
  <c r="F79" i="69"/>
  <c r="C80" i="69"/>
  <c r="D80" i="69"/>
  <c r="E80" i="69"/>
  <c r="F80" i="69"/>
  <c r="C81" i="69"/>
  <c r="D81" i="69"/>
  <c r="E81" i="69"/>
  <c r="F81" i="69"/>
  <c r="C83" i="69"/>
  <c r="D83" i="69"/>
  <c r="E83" i="69"/>
  <c r="F83" i="69"/>
  <c r="C60" i="69"/>
  <c r="D60" i="69"/>
  <c r="E60" i="69"/>
  <c r="F60" i="69"/>
  <c r="C61" i="69"/>
  <c r="D61" i="69"/>
  <c r="E61" i="69"/>
  <c r="F61" i="69"/>
  <c r="C62" i="69"/>
  <c r="D62" i="69"/>
  <c r="E62" i="69"/>
  <c r="F62" i="69"/>
  <c r="C64" i="69"/>
  <c r="D64" i="69"/>
  <c r="E64" i="69"/>
  <c r="F64" i="69"/>
  <c r="C41" i="69"/>
  <c r="D41" i="69"/>
  <c r="E41" i="69"/>
  <c r="F41" i="69"/>
  <c r="C42" i="69"/>
  <c r="D42" i="69"/>
  <c r="E42" i="69"/>
  <c r="F42" i="69"/>
  <c r="C43" i="69"/>
  <c r="D43" i="69"/>
  <c r="E43" i="69"/>
  <c r="F43" i="69"/>
  <c r="C45" i="69"/>
  <c r="D45" i="69"/>
  <c r="E45" i="69"/>
  <c r="F45" i="69"/>
  <c r="C22" i="69"/>
  <c r="D22" i="69"/>
  <c r="E22" i="69"/>
  <c r="F22" i="69"/>
  <c r="C23" i="69"/>
  <c r="D23" i="69"/>
  <c r="E23" i="69"/>
  <c r="F23" i="69"/>
  <c r="C24" i="69"/>
  <c r="D24" i="69"/>
  <c r="E24" i="69"/>
  <c r="F24" i="69"/>
  <c r="C26" i="69"/>
  <c r="D26" i="69"/>
  <c r="E26" i="69"/>
  <c r="F26" i="69"/>
  <c r="C4" i="69"/>
  <c r="D4" i="69"/>
  <c r="E4" i="69"/>
  <c r="F4" i="69"/>
  <c r="C5" i="69"/>
  <c r="D5" i="69"/>
  <c r="E5" i="69"/>
  <c r="F5" i="69"/>
  <c r="C7" i="69"/>
  <c r="D7" i="69"/>
  <c r="E7" i="69"/>
  <c r="F7" i="69"/>
  <c r="B2" i="68"/>
  <c r="G4" i="68"/>
  <c r="G5" i="68"/>
  <c r="G6" i="68" s="1"/>
  <c r="G7" i="68" s="1"/>
  <c r="G8" i="68" s="1"/>
  <c r="G9" i="68" s="1"/>
  <c r="G10" i="68" s="1"/>
  <c r="G11" i="68" s="1"/>
  <c r="G12" i="68" s="1"/>
  <c r="G13" i="68" s="1"/>
  <c r="G14" i="68" s="1"/>
  <c r="G15" i="68" s="1"/>
  <c r="G16" i="68" s="1"/>
  <c r="G17" i="68" s="1"/>
  <c r="G18" i="68" s="1"/>
  <c r="G19" i="68" s="1"/>
  <c r="G20" i="68" s="1"/>
  <c r="G21" i="68" s="1"/>
  <c r="G22" i="68" s="1"/>
  <c r="E6" i="68"/>
  <c r="E10" i="68"/>
  <c r="E12" i="68"/>
  <c r="E11" i="68" s="1"/>
  <c r="E13" i="68"/>
  <c r="E14" i="68"/>
  <c r="E15" i="68"/>
  <c r="E18" i="68"/>
  <c r="E22" i="68"/>
  <c r="K35" i="68" s="1"/>
  <c r="I29" i="68"/>
  <c r="I33" i="68" s="1"/>
  <c r="K29" i="68"/>
  <c r="M29" i="68"/>
  <c r="O29" i="68"/>
  <c r="O33" i="68" s="1"/>
  <c r="Q29" i="68"/>
  <c r="S29" i="68"/>
  <c r="U29" i="68"/>
  <c r="I30" i="68"/>
  <c r="I34" i="68" s="1"/>
  <c r="K30" i="68"/>
  <c r="M30" i="68"/>
  <c r="M34" i="68" s="1"/>
  <c r="O30" i="68"/>
  <c r="O34" i="68" s="1"/>
  <c r="Q30" i="68"/>
  <c r="Q34" i="68" s="1"/>
  <c r="S30" i="68"/>
  <c r="U30" i="68"/>
  <c r="K33" i="68"/>
  <c r="M33" i="68"/>
  <c r="Q33" i="68"/>
  <c r="S33" i="68"/>
  <c r="U33" i="68"/>
  <c r="S34" i="68"/>
  <c r="U34" i="68"/>
  <c r="F46" i="68"/>
  <c r="F54" i="68"/>
  <c r="C3" i="67"/>
  <c r="C4" i="67"/>
  <c r="E7" i="67"/>
  <c r="E11" i="67"/>
  <c r="E13" i="67"/>
  <c r="E12" i="67" s="1"/>
  <c r="E14" i="67"/>
  <c r="E15" i="67"/>
  <c r="E16" i="67"/>
  <c r="E18" i="67"/>
  <c r="E19" i="67"/>
  <c r="I26" i="67"/>
  <c r="K26" i="67"/>
  <c r="M26" i="67"/>
  <c r="M33" i="67" s="1"/>
  <c r="O26" i="67"/>
  <c r="O33" i="67" s="1"/>
  <c r="Q26" i="67"/>
  <c r="S26" i="67"/>
  <c r="S33" i="67" s="1"/>
  <c r="U26" i="67"/>
  <c r="U33" i="67" s="1"/>
  <c r="I27" i="67"/>
  <c r="K27" i="67"/>
  <c r="M27" i="67"/>
  <c r="O27" i="67"/>
  <c r="Q27" i="67"/>
  <c r="S27" i="67"/>
  <c r="U27" i="67"/>
  <c r="I28" i="67"/>
  <c r="K28" i="67"/>
  <c r="M28" i="67"/>
  <c r="O28" i="67"/>
  <c r="O35" i="67" s="1"/>
  <c r="Q28" i="67"/>
  <c r="Q35" i="67" s="1"/>
  <c r="S28" i="67"/>
  <c r="S35" i="67" s="1"/>
  <c r="U28" i="67"/>
  <c r="U35" i="67" s="1"/>
  <c r="I29" i="67"/>
  <c r="K29" i="67"/>
  <c r="M29" i="67"/>
  <c r="O29" i="67"/>
  <c r="Q29" i="67"/>
  <c r="S29" i="67"/>
  <c r="U29" i="67"/>
  <c r="I30" i="67"/>
  <c r="I33" i="67" s="1"/>
  <c r="K30" i="67"/>
  <c r="M30" i="67"/>
  <c r="O30" i="67"/>
  <c r="Q30" i="67"/>
  <c r="S30" i="67"/>
  <c r="U30" i="67"/>
  <c r="Q33" i="67"/>
  <c r="I35" i="67"/>
  <c r="K35" i="67"/>
  <c r="M35" i="67"/>
  <c r="F46" i="67"/>
  <c r="F64" i="67" s="1"/>
  <c r="F54" i="67"/>
  <c r="C4" i="66"/>
  <c r="C5" i="66"/>
  <c r="E8" i="66"/>
  <c r="E9" i="66" s="1"/>
  <c r="E10" i="66"/>
  <c r="E11" i="66"/>
  <c r="G14" i="66"/>
  <c r="I14" i="66"/>
  <c r="K14" i="66"/>
  <c r="M14" i="66"/>
  <c r="O14" i="66"/>
  <c r="Q14" i="66"/>
  <c r="S14" i="66"/>
  <c r="G15" i="66"/>
  <c r="I15" i="66"/>
  <c r="K15" i="66"/>
  <c r="M15" i="66"/>
  <c r="O15" i="66"/>
  <c r="Q15" i="66"/>
  <c r="S15" i="66"/>
  <c r="G16" i="66"/>
  <c r="I16" i="66"/>
  <c r="K16" i="66"/>
  <c r="K19" i="66" s="1"/>
  <c r="M16" i="66"/>
  <c r="O16" i="66"/>
  <c r="Q16" i="66"/>
  <c r="S16" i="66"/>
  <c r="G17" i="66"/>
  <c r="I17" i="66"/>
  <c r="K17" i="66"/>
  <c r="M17" i="66"/>
  <c r="O17" i="66"/>
  <c r="Q17" i="66"/>
  <c r="S17" i="66"/>
  <c r="G18" i="66"/>
  <c r="I18" i="66"/>
  <c r="K18" i="66"/>
  <c r="M18" i="66"/>
  <c r="O18" i="66"/>
  <c r="Q18" i="66"/>
  <c r="S18" i="66"/>
  <c r="G19" i="66"/>
  <c r="I19" i="66"/>
  <c r="M19" i="66"/>
  <c r="O19" i="66"/>
  <c r="Q19" i="66"/>
  <c r="S19" i="66"/>
  <c r="B2" i="65"/>
  <c r="G4" i="65"/>
  <c r="G5" i="65"/>
  <c r="G6" i="65" s="1"/>
  <c r="D6" i="65"/>
  <c r="E6" i="65"/>
  <c r="E7" i="65"/>
  <c r="G7" i="65"/>
  <c r="G8" i="65"/>
  <c r="G9" i="65"/>
  <c r="G10" i="65" s="1"/>
  <c r="G11" i="65" s="1"/>
  <c r="G12" i="65" s="1"/>
  <c r="G13" i="65" s="1"/>
  <c r="G14" i="65" s="1"/>
  <c r="G15" i="65" s="1"/>
  <c r="G16" i="65" s="1"/>
  <c r="G17" i="65" s="1"/>
  <c r="G18" i="65" s="1"/>
  <c r="G19" i="65" s="1"/>
  <c r="G20" i="65" s="1"/>
  <c r="G21" i="65" s="1"/>
  <c r="G22" i="65" s="1"/>
  <c r="E10" i="65"/>
  <c r="E12" i="65"/>
  <c r="E11" i="65" s="1"/>
  <c r="E13" i="65"/>
  <c r="E14" i="65"/>
  <c r="E15" i="65"/>
  <c r="E17" i="65"/>
  <c r="E18" i="65"/>
  <c r="E22" i="65"/>
  <c r="I35" i="65" s="1"/>
  <c r="I29" i="65"/>
  <c r="K29" i="65"/>
  <c r="M29" i="65"/>
  <c r="M33" i="65" s="1"/>
  <c r="O29" i="65"/>
  <c r="O33" i="65" s="1"/>
  <c r="Q29" i="65"/>
  <c r="Q33" i="65" s="1"/>
  <c r="S29" i="65"/>
  <c r="S33" i="65" s="1"/>
  <c r="U29" i="65"/>
  <c r="U33" i="65" s="1"/>
  <c r="I30" i="65"/>
  <c r="I34" i="65" s="1"/>
  <c r="K30" i="65"/>
  <c r="M30" i="65"/>
  <c r="O30" i="65"/>
  <c r="Q30" i="65"/>
  <c r="S30" i="65"/>
  <c r="U30" i="65"/>
  <c r="I33" i="65"/>
  <c r="K33" i="65"/>
  <c r="M34" i="65"/>
  <c r="O34" i="65"/>
  <c r="Q34" i="65"/>
  <c r="S34" i="65"/>
  <c r="U34" i="65"/>
  <c r="K35" i="65"/>
  <c r="M35" i="65"/>
  <c r="O35" i="65"/>
  <c r="F46" i="65"/>
  <c r="F91" i="65" s="1"/>
  <c r="F54" i="65"/>
  <c r="F55" i="65"/>
  <c r="C3" i="64"/>
  <c r="C4" i="64"/>
  <c r="D7" i="64"/>
  <c r="E7" i="64"/>
  <c r="E11" i="64"/>
  <c r="E13" i="64"/>
  <c r="E14" i="64"/>
  <c r="Q34" i="64" s="1"/>
  <c r="E15" i="64"/>
  <c r="O34" i="64" s="1"/>
  <c r="E16" i="64"/>
  <c r="E18" i="64"/>
  <c r="E19" i="64"/>
  <c r="I26" i="64"/>
  <c r="K26" i="64"/>
  <c r="M26" i="64"/>
  <c r="M33" i="64" s="1"/>
  <c r="O26" i="64"/>
  <c r="O33" i="64" s="1"/>
  <c r="Q26" i="64"/>
  <c r="Q33" i="64" s="1"/>
  <c r="S26" i="64"/>
  <c r="S33" i="64" s="1"/>
  <c r="U26" i="64"/>
  <c r="I27" i="64"/>
  <c r="K27" i="64"/>
  <c r="M27" i="64"/>
  <c r="O27" i="64"/>
  <c r="Q27" i="64"/>
  <c r="S27" i="64"/>
  <c r="U27" i="64"/>
  <c r="I28" i="64"/>
  <c r="I35" i="64" s="1"/>
  <c r="K28" i="64"/>
  <c r="M28" i="64"/>
  <c r="O28" i="64"/>
  <c r="Q28" i="64"/>
  <c r="S28" i="64"/>
  <c r="U28" i="64"/>
  <c r="U35" i="64" s="1"/>
  <c r="I29" i="64"/>
  <c r="K29" i="64"/>
  <c r="M29" i="64"/>
  <c r="O29" i="64"/>
  <c r="Q29" i="64"/>
  <c r="S29" i="64"/>
  <c r="U29" i="64"/>
  <c r="I30" i="64"/>
  <c r="K30" i="64"/>
  <c r="M30" i="64"/>
  <c r="O30" i="64"/>
  <c r="Q30" i="64"/>
  <c r="S30" i="64"/>
  <c r="U30" i="64"/>
  <c r="U33" i="64"/>
  <c r="K35" i="64"/>
  <c r="M35" i="64"/>
  <c r="O35" i="64"/>
  <c r="Q35" i="64"/>
  <c r="S35" i="64"/>
  <c r="F46" i="64"/>
  <c r="F54" i="64"/>
  <c r="F55" i="64" s="1"/>
  <c r="F64" i="64"/>
  <c r="F82" i="64"/>
  <c r="C4" i="63"/>
  <c r="C5" i="63"/>
  <c r="E8" i="63"/>
  <c r="E9" i="63" s="1"/>
  <c r="E10" i="63"/>
  <c r="E11" i="63"/>
  <c r="G14" i="63"/>
  <c r="I14" i="63"/>
  <c r="K14" i="63"/>
  <c r="M14" i="63"/>
  <c r="O14" i="63"/>
  <c r="Q14" i="63"/>
  <c r="S14" i="63"/>
  <c r="G15" i="63"/>
  <c r="I15" i="63"/>
  <c r="K15" i="63"/>
  <c r="M15" i="63"/>
  <c r="O15" i="63"/>
  <c r="Q15" i="63"/>
  <c r="S15" i="63"/>
  <c r="G16" i="63"/>
  <c r="I16" i="63"/>
  <c r="K16" i="63"/>
  <c r="K19" i="63" s="1"/>
  <c r="M16" i="63"/>
  <c r="O16" i="63"/>
  <c r="Q16" i="63"/>
  <c r="S16" i="63"/>
  <c r="G17" i="63"/>
  <c r="I17" i="63"/>
  <c r="K17" i="63"/>
  <c r="M17" i="63"/>
  <c r="O17" i="63"/>
  <c r="Q17" i="63"/>
  <c r="S17" i="63"/>
  <c r="G18" i="63"/>
  <c r="I18" i="63"/>
  <c r="K18" i="63"/>
  <c r="M18" i="63"/>
  <c r="O18" i="63"/>
  <c r="Q18" i="63"/>
  <c r="S18" i="63"/>
  <c r="G19" i="63"/>
  <c r="I19" i="63"/>
  <c r="M19" i="63"/>
  <c r="O19" i="63"/>
  <c r="Q19" i="63"/>
  <c r="S19" i="63"/>
  <c r="B2" i="62"/>
  <c r="G4" i="62"/>
  <c r="G5" i="62"/>
  <c r="D6" i="62"/>
  <c r="E7" i="62" s="1"/>
  <c r="E6" i="62"/>
  <c r="G6" i="62"/>
  <c r="G7" i="62" s="1"/>
  <c r="G8" i="62"/>
  <c r="G9" i="62" s="1"/>
  <c r="G10" i="62" s="1"/>
  <c r="G11" i="62" s="1"/>
  <c r="G12" i="62" s="1"/>
  <c r="G13" i="62" s="1"/>
  <c r="G14" i="62" s="1"/>
  <c r="G15" i="62" s="1"/>
  <c r="G16" i="62" s="1"/>
  <c r="G17" i="62" s="1"/>
  <c r="G18" i="62" s="1"/>
  <c r="G19" i="62" s="1"/>
  <c r="G20" i="62" s="1"/>
  <c r="G21" i="62" s="1"/>
  <c r="G22" i="62" s="1"/>
  <c r="E10" i="62"/>
  <c r="E12" i="62"/>
  <c r="E11" i="62" s="1"/>
  <c r="E13" i="62"/>
  <c r="E14" i="62"/>
  <c r="E15" i="62"/>
  <c r="E17" i="62"/>
  <c r="E18" i="62"/>
  <c r="E22" i="62"/>
  <c r="I35" i="62" s="1"/>
  <c r="I29" i="62"/>
  <c r="I33" i="62" s="1"/>
  <c r="K29" i="62"/>
  <c r="K33" i="62" s="1"/>
  <c r="M29" i="62"/>
  <c r="M33" i="62" s="1"/>
  <c r="O29" i="62"/>
  <c r="O33" i="62" s="1"/>
  <c r="Q29" i="62"/>
  <c r="Q33" i="62" s="1"/>
  <c r="S29" i="62"/>
  <c r="S33" i="62" s="1"/>
  <c r="U29" i="62"/>
  <c r="U33" i="62" s="1"/>
  <c r="I30" i="62"/>
  <c r="I34" i="62" s="1"/>
  <c r="K30" i="62"/>
  <c r="M30" i="62"/>
  <c r="M34" i="62" s="1"/>
  <c r="O30" i="62"/>
  <c r="Q30" i="62"/>
  <c r="Q34" i="62" s="1"/>
  <c r="S30" i="62"/>
  <c r="U30" i="62"/>
  <c r="O34" i="62"/>
  <c r="S34" i="62"/>
  <c r="U34" i="62"/>
  <c r="K35" i="62"/>
  <c r="M35" i="62"/>
  <c r="F46" i="62"/>
  <c r="F54" i="62"/>
  <c r="F91" i="62"/>
  <c r="C3" i="61"/>
  <c r="C4" i="61"/>
  <c r="D7" i="61"/>
  <c r="E7" i="61"/>
  <c r="E8" i="61"/>
  <c r="E11" i="61"/>
  <c r="E13" i="61"/>
  <c r="E14" i="61"/>
  <c r="I34" i="61" s="1"/>
  <c r="E15" i="61"/>
  <c r="E16" i="61"/>
  <c r="E18" i="61"/>
  <c r="E19" i="61"/>
  <c r="I26" i="61"/>
  <c r="K26" i="61"/>
  <c r="M26" i="61"/>
  <c r="M33" i="61" s="1"/>
  <c r="O26" i="61"/>
  <c r="O33" i="61" s="1"/>
  <c r="Q26" i="61"/>
  <c r="Q33" i="61" s="1"/>
  <c r="S26" i="61"/>
  <c r="S33" i="61" s="1"/>
  <c r="U26" i="61"/>
  <c r="U33" i="61" s="1"/>
  <c r="I27" i="61"/>
  <c r="K27" i="61"/>
  <c r="M27" i="61"/>
  <c r="O27" i="61"/>
  <c r="Q27" i="61"/>
  <c r="S27" i="61"/>
  <c r="U27" i="61"/>
  <c r="I28" i="61"/>
  <c r="K28" i="61"/>
  <c r="K35" i="61" s="1"/>
  <c r="M28" i="61"/>
  <c r="M35" i="61" s="1"/>
  <c r="O28" i="61"/>
  <c r="O35" i="61" s="1"/>
  <c r="Q28" i="61"/>
  <c r="Q35" i="61" s="1"/>
  <c r="S28" i="61"/>
  <c r="S35" i="61" s="1"/>
  <c r="U28" i="61"/>
  <c r="U35" i="61" s="1"/>
  <c r="I29" i="61"/>
  <c r="K29" i="61"/>
  <c r="M29" i="61"/>
  <c r="O29" i="61"/>
  <c r="Q29" i="61"/>
  <c r="S29" i="61"/>
  <c r="U29" i="61"/>
  <c r="I30" i="61"/>
  <c r="I33" i="61" s="1"/>
  <c r="K30" i="61"/>
  <c r="M30" i="61"/>
  <c r="O30" i="61"/>
  <c r="Q30" i="61"/>
  <c r="S30" i="61"/>
  <c r="U30" i="61"/>
  <c r="I35" i="61"/>
  <c r="F46" i="61"/>
  <c r="F54" i="61"/>
  <c r="F82" i="61"/>
  <c r="C4" i="60"/>
  <c r="C5" i="60"/>
  <c r="E8" i="60"/>
  <c r="E9" i="60" s="1"/>
  <c r="E10" i="60"/>
  <c r="E11" i="60"/>
  <c r="G14" i="60"/>
  <c r="I14" i="60"/>
  <c r="K14" i="60"/>
  <c r="M14" i="60"/>
  <c r="O14" i="60"/>
  <c r="Q14" i="60"/>
  <c r="S14" i="60"/>
  <c r="G15" i="60"/>
  <c r="I15" i="60"/>
  <c r="K15" i="60"/>
  <c r="M15" i="60"/>
  <c r="O15" i="60"/>
  <c r="Q15" i="60"/>
  <c r="S15" i="60"/>
  <c r="G16" i="60"/>
  <c r="I16" i="60"/>
  <c r="K16" i="60"/>
  <c r="K19" i="60" s="1"/>
  <c r="M16" i="60"/>
  <c r="O16" i="60"/>
  <c r="Q16" i="60"/>
  <c r="S16" i="60"/>
  <c r="G17" i="60"/>
  <c r="I17" i="60"/>
  <c r="K17" i="60"/>
  <c r="M17" i="60"/>
  <c r="O17" i="60"/>
  <c r="Q17" i="60"/>
  <c r="S17" i="60"/>
  <c r="G18" i="60"/>
  <c r="I18" i="60"/>
  <c r="K18" i="60"/>
  <c r="M18" i="60"/>
  <c r="O18" i="60"/>
  <c r="Q18" i="60"/>
  <c r="S18" i="60"/>
  <c r="G19" i="60"/>
  <c r="I19" i="60"/>
  <c r="M19" i="60"/>
  <c r="O19" i="60"/>
  <c r="Q19" i="60"/>
  <c r="S19" i="60"/>
  <c r="B2" i="59"/>
  <c r="G4" i="59"/>
  <c r="G5" i="59"/>
  <c r="D6" i="59"/>
  <c r="E7" i="59" s="1"/>
  <c r="E6" i="59"/>
  <c r="G6" i="59"/>
  <c r="G7" i="59"/>
  <c r="G8" i="59"/>
  <c r="G9" i="59"/>
  <c r="G10" i="59" s="1"/>
  <c r="G11" i="59" s="1"/>
  <c r="G12" i="59" s="1"/>
  <c r="G13" i="59" s="1"/>
  <c r="G14" i="59" s="1"/>
  <c r="G15" i="59" s="1"/>
  <c r="G16" i="59" s="1"/>
  <c r="G17" i="59" s="1"/>
  <c r="G18" i="59" s="1"/>
  <c r="G19" i="59" s="1"/>
  <c r="G20" i="59" s="1"/>
  <c r="G21" i="59" s="1"/>
  <c r="G22" i="59" s="1"/>
  <c r="E10" i="59"/>
  <c r="E12" i="59"/>
  <c r="E11" i="59" s="1"/>
  <c r="E13" i="59"/>
  <c r="E14" i="59"/>
  <c r="E15" i="59"/>
  <c r="E17" i="59"/>
  <c r="E18" i="59"/>
  <c r="E22" i="59"/>
  <c r="S35" i="59" s="1"/>
  <c r="I29" i="59"/>
  <c r="K29" i="59"/>
  <c r="M29" i="59"/>
  <c r="O29" i="59"/>
  <c r="O33" i="59" s="1"/>
  <c r="Q29" i="59"/>
  <c r="Q33" i="59" s="1"/>
  <c r="S29" i="59"/>
  <c r="S33" i="59" s="1"/>
  <c r="U29" i="59"/>
  <c r="U33" i="59" s="1"/>
  <c r="I30" i="59"/>
  <c r="I34" i="59" s="1"/>
  <c r="K30" i="59"/>
  <c r="M30" i="59"/>
  <c r="M34" i="59" s="1"/>
  <c r="O30" i="59"/>
  <c r="Q30" i="59"/>
  <c r="S30" i="59"/>
  <c r="U30" i="59"/>
  <c r="I33" i="59"/>
  <c r="K33" i="59"/>
  <c r="M33" i="59"/>
  <c r="O34" i="59"/>
  <c r="Q34" i="59"/>
  <c r="S34" i="59"/>
  <c r="U34" i="59"/>
  <c r="M35" i="59"/>
  <c r="O35" i="59"/>
  <c r="Q35" i="59"/>
  <c r="F46" i="59"/>
  <c r="F54" i="59"/>
  <c r="C3" i="58"/>
  <c r="C4" i="58"/>
  <c r="D7" i="58"/>
  <c r="E8" i="58" s="1"/>
  <c r="E7" i="58"/>
  <c r="E11" i="58"/>
  <c r="E13" i="58"/>
  <c r="E12" i="58" s="1"/>
  <c r="E14" i="58"/>
  <c r="E15" i="58"/>
  <c r="E16" i="58"/>
  <c r="E18" i="58"/>
  <c r="E19" i="58"/>
  <c r="I26" i="58"/>
  <c r="K26" i="58"/>
  <c r="K33" i="58" s="1"/>
  <c r="M26" i="58"/>
  <c r="M33" i="58" s="1"/>
  <c r="O26" i="58"/>
  <c r="Q26" i="58"/>
  <c r="S26" i="58"/>
  <c r="S33" i="58" s="1"/>
  <c r="U26" i="58"/>
  <c r="U33" i="58" s="1"/>
  <c r="I27" i="58"/>
  <c r="K27" i="58"/>
  <c r="M27" i="58"/>
  <c r="O27" i="58"/>
  <c r="Q27" i="58"/>
  <c r="S27" i="58"/>
  <c r="U27" i="58"/>
  <c r="I28" i="58"/>
  <c r="K28" i="58"/>
  <c r="M28" i="58"/>
  <c r="O28" i="58"/>
  <c r="Q28" i="58"/>
  <c r="Q35" i="58" s="1"/>
  <c r="S28" i="58"/>
  <c r="S35" i="58" s="1"/>
  <c r="U28" i="58"/>
  <c r="U35" i="58" s="1"/>
  <c r="I29" i="58"/>
  <c r="K29" i="58"/>
  <c r="M29" i="58"/>
  <c r="O29" i="58"/>
  <c r="Q29" i="58"/>
  <c r="S29" i="58"/>
  <c r="U29" i="58"/>
  <c r="I30" i="58"/>
  <c r="I33" i="58" s="1"/>
  <c r="K30" i="58"/>
  <c r="M30" i="58"/>
  <c r="O30" i="58"/>
  <c r="O33" i="58" s="1"/>
  <c r="Q30" i="58"/>
  <c r="Q33" i="58" s="1"/>
  <c r="S30" i="58"/>
  <c r="U30" i="58"/>
  <c r="I35" i="58"/>
  <c r="K35" i="58"/>
  <c r="M35" i="58"/>
  <c r="O35" i="58"/>
  <c r="F46" i="58"/>
  <c r="F91" i="58" s="1"/>
  <c r="F54" i="58"/>
  <c r="F55" i="58" s="1"/>
  <c r="F64" i="58"/>
  <c r="F82" i="58"/>
  <c r="C4" i="57"/>
  <c r="C5" i="57"/>
  <c r="E8" i="57"/>
  <c r="E9" i="57" s="1"/>
  <c r="E10" i="57"/>
  <c r="E11" i="57"/>
  <c r="G14" i="57"/>
  <c r="I14" i="57"/>
  <c r="K14" i="57"/>
  <c r="M14" i="57"/>
  <c r="O14" i="57"/>
  <c r="Q14" i="57"/>
  <c r="S14" i="57"/>
  <c r="G15" i="57"/>
  <c r="I15" i="57"/>
  <c r="K15" i="57"/>
  <c r="M15" i="57"/>
  <c r="O15" i="57"/>
  <c r="Q15" i="57"/>
  <c r="S15" i="57"/>
  <c r="G16" i="57"/>
  <c r="I16" i="57"/>
  <c r="K16" i="57"/>
  <c r="M16" i="57"/>
  <c r="O16" i="57"/>
  <c r="Q16" i="57"/>
  <c r="S16" i="57"/>
  <c r="G17" i="57"/>
  <c r="I17" i="57"/>
  <c r="K17" i="57"/>
  <c r="M17" i="57"/>
  <c r="O17" i="57"/>
  <c r="Q17" i="57"/>
  <c r="S17" i="57"/>
  <c r="G18" i="57"/>
  <c r="I18" i="57"/>
  <c r="K18" i="57"/>
  <c r="M18" i="57"/>
  <c r="O18" i="57"/>
  <c r="Q18" i="57"/>
  <c r="S18" i="57"/>
  <c r="G19" i="57"/>
  <c r="I19" i="57"/>
  <c r="K19" i="57"/>
  <c r="M19" i="57"/>
  <c r="O19" i="57"/>
  <c r="Q19" i="57"/>
  <c r="S19" i="57"/>
  <c r="E32" i="56"/>
  <c r="E34" i="56" s="1"/>
  <c r="E25" i="56"/>
  <c r="E24" i="56"/>
  <c r="E21" i="56"/>
  <c r="E20" i="56"/>
  <c r="E16" i="56"/>
  <c r="E15" i="56"/>
  <c r="E14" i="56"/>
  <c r="E23" i="56" s="1"/>
  <c r="E12" i="56"/>
  <c r="E9" i="56"/>
  <c r="S16" i="55"/>
  <c r="S17" i="55" s="1"/>
  <c r="Q16" i="55"/>
  <c r="Q17" i="55" s="1"/>
  <c r="O16" i="55"/>
  <c r="O17" i="55" s="1"/>
  <c r="M16" i="55"/>
  <c r="M17" i="55" s="1"/>
  <c r="K16" i="55"/>
  <c r="K17" i="55" s="1"/>
  <c r="I16" i="55"/>
  <c r="I17" i="55" s="1"/>
  <c r="G16" i="55"/>
  <c r="S6" i="55"/>
  <c r="S18" i="55" s="1"/>
  <c r="Q6" i="55"/>
  <c r="Q18" i="55" s="1"/>
  <c r="O6" i="55"/>
  <c r="O18" i="55" s="1"/>
  <c r="M6" i="55"/>
  <c r="K6" i="55"/>
  <c r="K18" i="55" s="1"/>
  <c r="I6" i="55"/>
  <c r="I18" i="55" s="1"/>
  <c r="G6" i="55"/>
  <c r="G18" i="55" s="1"/>
  <c r="S5" i="55"/>
  <c r="Q5" i="55"/>
  <c r="O5" i="55"/>
  <c r="M5" i="55"/>
  <c r="K5" i="55"/>
  <c r="I5" i="55"/>
  <c r="G5" i="55"/>
  <c r="G17" i="55" s="1"/>
  <c r="G20" i="63"/>
  <c r="G20" i="60"/>
  <c r="G20" i="57"/>
  <c r="V37" i="65"/>
  <c r="Q20" i="63"/>
  <c r="Q20" i="66"/>
  <c r="K20" i="57"/>
  <c r="K20" i="66"/>
  <c r="I20" i="63"/>
  <c r="K20" i="60"/>
  <c r="M20" i="57"/>
  <c r="O20" i="57"/>
  <c r="I20" i="57"/>
  <c r="S20" i="57"/>
  <c r="I20" i="66"/>
  <c r="K20" i="63"/>
  <c r="M20" i="60"/>
  <c r="O20" i="60"/>
  <c r="V37" i="62"/>
  <c r="S20" i="66"/>
  <c r="G20" i="66"/>
  <c r="M20" i="63"/>
  <c r="S20" i="60"/>
  <c r="S20" i="63"/>
  <c r="V37" i="59"/>
  <c r="M20" i="66"/>
  <c r="O20" i="63"/>
  <c r="Q20" i="60"/>
  <c r="Q20" i="57"/>
  <c r="O20" i="66"/>
  <c r="V37" i="68"/>
  <c r="I20" i="60"/>
  <c r="F118" i="70" l="1"/>
  <c r="B31" i="56"/>
  <c r="D7" i="67"/>
  <c r="E8" i="67" s="1"/>
  <c r="M3" i="70"/>
  <c r="F4" i="70"/>
  <c r="I35" i="68"/>
  <c r="F61" i="70"/>
  <c r="F79" i="70"/>
  <c r="M80" i="70"/>
  <c r="M98" i="70"/>
  <c r="F22" i="70"/>
  <c r="M23" i="70"/>
  <c r="M41" i="70"/>
  <c r="F99" i="70"/>
  <c r="F117" i="70"/>
  <c r="M118" i="70"/>
  <c r="O34" i="67"/>
  <c r="F42" i="70"/>
  <c r="F60" i="70"/>
  <c r="M61" i="70"/>
  <c r="M79" i="70"/>
  <c r="F82" i="67"/>
  <c r="M4" i="70"/>
  <c r="M22" i="70"/>
  <c r="Q34" i="67"/>
  <c r="F80" i="70"/>
  <c r="F98" i="70"/>
  <c r="M99" i="70"/>
  <c r="M117" i="70"/>
  <c r="F55" i="67"/>
  <c r="F23" i="70"/>
  <c r="F41" i="70"/>
  <c r="M42" i="70"/>
  <c r="S34" i="58"/>
  <c r="C23" i="70"/>
  <c r="C42" i="70"/>
  <c r="C61" i="70"/>
  <c r="C80" i="70"/>
  <c r="C99" i="70"/>
  <c r="C118" i="70"/>
  <c r="J4" i="70"/>
  <c r="J23" i="70"/>
  <c r="J42" i="70"/>
  <c r="J61" i="70"/>
  <c r="J80" i="70"/>
  <c r="J99" i="70"/>
  <c r="J118" i="70"/>
  <c r="K35" i="59"/>
  <c r="I35" i="59"/>
  <c r="D22" i="70"/>
  <c r="D41" i="70"/>
  <c r="D60" i="70"/>
  <c r="D79" i="70"/>
  <c r="D98" i="70"/>
  <c r="D117" i="70"/>
  <c r="K3" i="70"/>
  <c r="K22" i="70"/>
  <c r="K41" i="70"/>
  <c r="K60" i="70"/>
  <c r="K79" i="70"/>
  <c r="K98" i="70"/>
  <c r="M36" i="59"/>
  <c r="C22" i="70"/>
  <c r="C41" i="70"/>
  <c r="C60" i="70"/>
  <c r="C79" i="70"/>
  <c r="C98" i="70"/>
  <c r="C117" i="70"/>
  <c r="J3" i="70"/>
  <c r="J22" i="70"/>
  <c r="J41" i="70"/>
  <c r="J60" i="70"/>
  <c r="J79" i="70"/>
  <c r="J98" i="70"/>
  <c r="S35" i="68"/>
  <c r="U35" i="68"/>
  <c r="Q35" i="68"/>
  <c r="O35" i="68"/>
  <c r="M35" i="68"/>
  <c r="I36" i="68"/>
  <c r="K36" i="68"/>
  <c r="M36" i="68"/>
  <c r="O36" i="68"/>
  <c r="Q36" i="68"/>
  <c r="S36" i="68"/>
  <c r="U36" i="68"/>
  <c r="F55" i="68"/>
  <c r="F73" i="68"/>
  <c r="F91" i="68"/>
  <c r="F64" i="68"/>
  <c r="F82" i="68"/>
  <c r="K33" i="67"/>
  <c r="M34" i="67"/>
  <c r="K34" i="67"/>
  <c r="I34" i="67"/>
  <c r="F73" i="67"/>
  <c r="F91" i="67"/>
  <c r="S34" i="67"/>
  <c r="E17" i="67"/>
  <c r="E20" i="67" s="1"/>
  <c r="U34" i="67"/>
  <c r="S21" i="66"/>
  <c r="Q21" i="66"/>
  <c r="O21" i="66"/>
  <c r="M21" i="66"/>
  <c r="I21" i="66"/>
  <c r="K21" i="66"/>
  <c r="G21" i="66"/>
  <c r="F64" i="65"/>
  <c r="F82" i="65"/>
  <c r="Q35" i="65"/>
  <c r="I36" i="65"/>
  <c r="K36" i="65"/>
  <c r="M36" i="65"/>
  <c r="O36" i="65"/>
  <c r="Q36" i="65"/>
  <c r="S36" i="65"/>
  <c r="U36" i="65"/>
  <c r="S35" i="65"/>
  <c r="U35" i="65"/>
  <c r="F73" i="65"/>
  <c r="K34" i="64"/>
  <c r="M34" i="64"/>
  <c r="I33" i="64"/>
  <c r="I34" i="64" s="1"/>
  <c r="E17" i="64"/>
  <c r="E20" i="64" s="1"/>
  <c r="E12" i="64"/>
  <c r="U34" i="64"/>
  <c r="U36" i="64" s="1"/>
  <c r="E8" i="64"/>
  <c r="F73" i="64"/>
  <c r="F91" i="64"/>
  <c r="S34" i="64"/>
  <c r="K33" i="64"/>
  <c r="S21" i="63"/>
  <c r="Q21" i="63"/>
  <c r="O21" i="63"/>
  <c r="M21" i="63"/>
  <c r="K21" i="63"/>
  <c r="I21" i="63"/>
  <c r="G21" i="63"/>
  <c r="S35" i="62"/>
  <c r="U35" i="62"/>
  <c r="F64" i="62"/>
  <c r="F82" i="62"/>
  <c r="F73" i="62"/>
  <c r="F55" i="62"/>
  <c r="Q35" i="62"/>
  <c r="O35" i="62"/>
  <c r="I36" i="62"/>
  <c r="K36" i="62"/>
  <c r="M36" i="62"/>
  <c r="Q36" i="62"/>
  <c r="S36" i="62"/>
  <c r="O36" i="62"/>
  <c r="U36" i="62"/>
  <c r="O34" i="61"/>
  <c r="S34" i="61"/>
  <c r="Q34" i="61"/>
  <c r="M34" i="61"/>
  <c r="F73" i="61"/>
  <c r="F91" i="61"/>
  <c r="E17" i="61"/>
  <c r="E20" i="61" s="1"/>
  <c r="E12" i="61"/>
  <c r="K34" i="61"/>
  <c r="F55" i="61"/>
  <c r="K33" i="61"/>
  <c r="F64" i="61"/>
  <c r="U34" i="61"/>
  <c r="S21" i="60"/>
  <c r="O21" i="60"/>
  <c r="M21" i="60"/>
  <c r="K21" i="60"/>
  <c r="G21" i="60"/>
  <c r="I21" i="60"/>
  <c r="Q21" i="60"/>
  <c r="I36" i="59"/>
  <c r="F64" i="59"/>
  <c r="F82" i="59"/>
  <c r="F73" i="59"/>
  <c r="F55" i="59"/>
  <c r="F91" i="59"/>
  <c r="Q36" i="59"/>
  <c r="U36" i="59"/>
  <c r="S36" i="59"/>
  <c r="O36" i="59"/>
  <c r="K36" i="59"/>
  <c r="U35" i="59"/>
  <c r="U34" i="58"/>
  <c r="Q34" i="58"/>
  <c r="O34" i="58"/>
  <c r="K34" i="58"/>
  <c r="I34" i="58"/>
  <c r="F73" i="58"/>
  <c r="M34" i="58"/>
  <c r="E17" i="58"/>
  <c r="E20" i="58" s="1"/>
  <c r="O21" i="57"/>
  <c r="M21" i="57"/>
  <c r="G21" i="57"/>
  <c r="K21" i="57"/>
  <c r="S21" i="57"/>
  <c r="I21" i="57"/>
  <c r="Q21" i="57"/>
  <c r="M18" i="55"/>
  <c r="I36" i="64" l="1"/>
  <c r="M24" i="67"/>
  <c r="M27" i="68"/>
  <c r="M38" i="68" s="1"/>
  <c r="K24" i="67"/>
  <c r="K27" i="68"/>
  <c r="K38" i="68" s="1"/>
  <c r="K40" i="68" s="1"/>
  <c r="S24" i="67"/>
  <c r="S27" i="68"/>
  <c r="S38" i="68" s="1"/>
  <c r="I24" i="67"/>
  <c r="I27" i="68"/>
  <c r="I38" i="68" s="1"/>
  <c r="U24" i="67"/>
  <c r="U27" i="68"/>
  <c r="U38" i="68" s="1"/>
  <c r="O24" i="67"/>
  <c r="O27" i="68"/>
  <c r="O38" i="68" s="1"/>
  <c r="Q24" i="67"/>
  <c r="Q27" i="68"/>
  <c r="Q38" i="68" s="1"/>
  <c r="I36" i="67"/>
  <c r="M36" i="67"/>
  <c r="Q36" i="67"/>
  <c r="U36" i="67"/>
  <c r="S36" i="67"/>
  <c r="K36" i="67"/>
  <c r="O36" i="67"/>
  <c r="I24" i="64"/>
  <c r="I37" i="64" s="1"/>
  <c r="I38" i="64" s="1"/>
  <c r="I27" i="65"/>
  <c r="I38" i="65" s="1"/>
  <c r="K24" i="64"/>
  <c r="K27" i="65"/>
  <c r="K38" i="65" s="1"/>
  <c r="O24" i="64"/>
  <c r="O27" i="65"/>
  <c r="O38" i="65" s="1"/>
  <c r="O39" i="65" s="1"/>
  <c r="O41" i="65" s="1"/>
  <c r="M24" i="64"/>
  <c r="M27" i="65"/>
  <c r="M38" i="65" s="1"/>
  <c r="Q24" i="64"/>
  <c r="Q27" i="65"/>
  <c r="Q38" i="65" s="1"/>
  <c r="Q39" i="65" s="1"/>
  <c r="Q41" i="65" s="1"/>
  <c r="S24" i="64"/>
  <c r="S27" i="65"/>
  <c r="S38" i="65" s="1"/>
  <c r="U24" i="64"/>
  <c r="U37" i="64" s="1"/>
  <c r="U38" i="64" s="1"/>
  <c r="U27" i="65"/>
  <c r="U38" i="65" s="1"/>
  <c r="M36" i="64"/>
  <c r="Q36" i="64"/>
  <c r="O36" i="64"/>
  <c r="K36" i="64"/>
  <c r="S36" i="64"/>
  <c r="K24" i="61"/>
  <c r="K27" i="62"/>
  <c r="K38" i="62" s="1"/>
  <c r="K40" i="62" s="1"/>
  <c r="O24" i="61"/>
  <c r="O27" i="62"/>
  <c r="O38" i="62" s="1"/>
  <c r="O39" i="62" s="1"/>
  <c r="O41" i="62" s="1"/>
  <c r="I24" i="61"/>
  <c r="I27" i="62"/>
  <c r="I38" i="62" s="1"/>
  <c r="I39" i="62" s="1"/>
  <c r="I41" i="62" s="1"/>
  <c r="M24" i="61"/>
  <c r="M27" i="62"/>
  <c r="M38" i="62" s="1"/>
  <c r="M39" i="62" s="1"/>
  <c r="M41" i="62" s="1"/>
  <c r="Q24" i="61"/>
  <c r="Q27" i="62"/>
  <c r="Q38" i="62" s="1"/>
  <c r="U24" i="61"/>
  <c r="U27" i="62"/>
  <c r="U38" i="62" s="1"/>
  <c r="S24" i="61"/>
  <c r="S27" i="62"/>
  <c r="S38" i="62" s="1"/>
  <c r="K36" i="61"/>
  <c r="O36" i="61"/>
  <c r="M36" i="61"/>
  <c r="S36" i="61"/>
  <c r="I36" i="61"/>
  <c r="Q36" i="61"/>
  <c r="U36" i="61"/>
  <c r="S24" i="58"/>
  <c r="S27" i="59"/>
  <c r="S38" i="59" s="1"/>
  <c r="K24" i="58"/>
  <c r="K27" i="59"/>
  <c r="K38" i="59" s="1"/>
  <c r="U24" i="58"/>
  <c r="U27" i="59"/>
  <c r="U38" i="59" s="1"/>
  <c r="M24" i="58"/>
  <c r="M27" i="59"/>
  <c r="M38" i="59" s="1"/>
  <c r="M40" i="59" s="1"/>
  <c r="I24" i="58"/>
  <c r="I27" i="59"/>
  <c r="I38" i="59" s="1"/>
  <c r="O24" i="58"/>
  <c r="O27" i="59"/>
  <c r="O38" i="59" s="1"/>
  <c r="O39" i="59" s="1"/>
  <c r="O41" i="59" s="1"/>
  <c r="Q24" i="58"/>
  <c r="Q27" i="59"/>
  <c r="Q38" i="59" s="1"/>
  <c r="M36" i="58"/>
  <c r="I36" i="58"/>
  <c r="K36" i="58"/>
  <c r="O36" i="58"/>
  <c r="Q36" i="58"/>
  <c r="U36" i="58"/>
  <c r="S36" i="58"/>
  <c r="S37" i="58" l="1"/>
  <c r="S38" i="58" s="1"/>
  <c r="U37" i="67"/>
  <c r="U38" i="67" s="1"/>
  <c r="U63" i="67" s="1"/>
  <c r="O37" i="67"/>
  <c r="O38" i="67" s="1"/>
  <c r="K37" i="67"/>
  <c r="K38" i="67" s="1"/>
  <c r="K54" i="67" s="1"/>
  <c r="Q37" i="67"/>
  <c r="Q38" i="67" s="1"/>
  <c r="M37" i="67"/>
  <c r="M38" i="67" s="1"/>
  <c r="M63" i="67" s="1"/>
  <c r="S37" i="67"/>
  <c r="S38" i="67" s="1"/>
  <c r="S54" i="67" s="1"/>
  <c r="O40" i="68"/>
  <c r="O39" i="68"/>
  <c r="O41" i="68" s="1"/>
  <c r="O54" i="68" s="1"/>
  <c r="I40" i="68"/>
  <c r="I39" i="68"/>
  <c r="I41" i="68" s="1"/>
  <c r="I45" i="68" s="1"/>
  <c r="I37" i="67"/>
  <c r="I38" i="67" s="1"/>
  <c r="I54" i="67" s="1"/>
  <c r="K39" i="68"/>
  <c r="K41" i="68" s="1"/>
  <c r="K45" i="68" s="1"/>
  <c r="Q39" i="68"/>
  <c r="Q41" i="68" s="1"/>
  <c r="Q40" i="68"/>
  <c r="M40" i="68"/>
  <c r="M39" i="68"/>
  <c r="M41" i="68" s="1"/>
  <c r="S39" i="68"/>
  <c r="S41" i="68" s="1"/>
  <c r="S40" i="68"/>
  <c r="U39" i="68"/>
  <c r="U41" i="68" s="1"/>
  <c r="U40" i="68"/>
  <c r="O54" i="67"/>
  <c r="O72" i="67"/>
  <c r="O90" i="67"/>
  <c r="O63" i="67"/>
  <c r="O45" i="67"/>
  <c r="O81" i="67"/>
  <c r="Q54" i="67"/>
  <c r="Q72" i="67"/>
  <c r="Q90" i="67"/>
  <c r="Q81" i="67"/>
  <c r="Q63" i="67"/>
  <c r="Q45" i="67"/>
  <c r="K90" i="67"/>
  <c r="K39" i="65"/>
  <c r="K41" i="65" s="1"/>
  <c r="K54" i="65" s="1"/>
  <c r="K40" i="65"/>
  <c r="I39" i="65"/>
  <c r="I41" i="65" s="1"/>
  <c r="I54" i="65" s="1"/>
  <c r="I40" i="65"/>
  <c r="I54" i="64"/>
  <c r="I58" i="64" s="1"/>
  <c r="I90" i="64"/>
  <c r="I92" i="64" s="1"/>
  <c r="I72" i="64"/>
  <c r="I76" i="64" s="1"/>
  <c r="I45" i="64"/>
  <c r="E8" i="70" s="1"/>
  <c r="I63" i="64"/>
  <c r="I67" i="64" s="1"/>
  <c r="I81" i="64"/>
  <c r="I83" i="64" s="1"/>
  <c r="K37" i="64"/>
  <c r="K38" i="64" s="1"/>
  <c r="K54" i="64" s="1"/>
  <c r="O37" i="64"/>
  <c r="O38" i="64" s="1"/>
  <c r="O81" i="64" s="1"/>
  <c r="U40" i="65"/>
  <c r="U39" i="65"/>
  <c r="U41" i="65" s="1"/>
  <c r="U63" i="65" s="1"/>
  <c r="S39" i="65"/>
  <c r="S41" i="65" s="1"/>
  <c r="S63" i="65" s="1"/>
  <c r="S40" i="65"/>
  <c r="M39" i="65"/>
  <c r="M41" i="65" s="1"/>
  <c r="M45" i="65" s="1"/>
  <c r="M40" i="65"/>
  <c r="S37" i="64"/>
  <c r="S38" i="64" s="1"/>
  <c r="S54" i="64" s="1"/>
  <c r="M37" i="61"/>
  <c r="M38" i="61" s="1"/>
  <c r="M72" i="61" s="1"/>
  <c r="O37" i="61"/>
  <c r="O38" i="61" s="1"/>
  <c r="O81" i="61" s="1"/>
  <c r="Q37" i="64"/>
  <c r="Q38" i="64" s="1"/>
  <c r="Q54" i="64" s="1"/>
  <c r="Q40" i="65"/>
  <c r="K37" i="61"/>
  <c r="K38" i="61" s="1"/>
  <c r="K72" i="61" s="1"/>
  <c r="M37" i="64"/>
  <c r="M38" i="64" s="1"/>
  <c r="M90" i="64" s="1"/>
  <c r="O40" i="65"/>
  <c r="O54" i="65"/>
  <c r="O72" i="65"/>
  <c r="O90" i="65"/>
  <c r="O45" i="65"/>
  <c r="O63" i="65"/>
  <c r="O81" i="65"/>
  <c r="Q54" i="65"/>
  <c r="Q72" i="65"/>
  <c r="Q90" i="65"/>
  <c r="Q45" i="65"/>
  <c r="Q63" i="65"/>
  <c r="Q81" i="65"/>
  <c r="U37" i="61"/>
  <c r="U38" i="61" s="1"/>
  <c r="U54" i="61" s="1"/>
  <c r="I37" i="61"/>
  <c r="I38" i="61" s="1"/>
  <c r="I81" i="61" s="1"/>
  <c r="U45" i="64"/>
  <c r="U81" i="64"/>
  <c r="U54" i="64"/>
  <c r="U90" i="64"/>
  <c r="U72" i="64"/>
  <c r="U63" i="64"/>
  <c r="Q37" i="61"/>
  <c r="Q38" i="61" s="1"/>
  <c r="Q90" i="61" s="1"/>
  <c r="O40" i="62"/>
  <c r="K39" i="62"/>
  <c r="K41" i="62" s="1"/>
  <c r="K45" i="62" s="1"/>
  <c r="S37" i="61"/>
  <c r="S38" i="61" s="1"/>
  <c r="S45" i="61" s="1"/>
  <c r="M40" i="62"/>
  <c r="I40" i="62"/>
  <c r="O72" i="62"/>
  <c r="O90" i="62"/>
  <c r="O54" i="62"/>
  <c r="O81" i="62"/>
  <c r="O45" i="62"/>
  <c r="O63" i="62"/>
  <c r="S39" i="62"/>
  <c r="S41" i="62" s="1"/>
  <c r="S40" i="62"/>
  <c r="I54" i="62"/>
  <c r="I72" i="62"/>
  <c r="I90" i="62"/>
  <c r="I81" i="62"/>
  <c r="I45" i="62"/>
  <c r="I63" i="62"/>
  <c r="Q39" i="62"/>
  <c r="Q41" i="62" s="1"/>
  <c r="Q40" i="62"/>
  <c r="M54" i="62"/>
  <c r="M72" i="62"/>
  <c r="M90" i="62"/>
  <c r="M81" i="62"/>
  <c r="M45" i="62"/>
  <c r="M63" i="62"/>
  <c r="U39" i="62"/>
  <c r="U41" i="62" s="1"/>
  <c r="U40" i="62"/>
  <c r="U37" i="58"/>
  <c r="U38" i="58" s="1"/>
  <c r="U72" i="58" s="1"/>
  <c r="I40" i="59"/>
  <c r="I39" i="59"/>
  <c r="I41" i="59" s="1"/>
  <c r="I63" i="59" s="1"/>
  <c r="Q37" i="58"/>
  <c r="Q38" i="58" s="1"/>
  <c r="Q90" i="58" s="1"/>
  <c r="O37" i="58"/>
  <c r="O38" i="58" s="1"/>
  <c r="O72" i="58" s="1"/>
  <c r="K37" i="58"/>
  <c r="K38" i="58" s="1"/>
  <c r="K63" i="58" s="1"/>
  <c r="I37" i="58"/>
  <c r="I38" i="58" s="1"/>
  <c r="I63" i="58" s="1"/>
  <c r="M37" i="58"/>
  <c r="M38" i="58" s="1"/>
  <c r="M63" i="58" s="1"/>
  <c r="Q39" i="59"/>
  <c r="Q41" i="59" s="1"/>
  <c r="Q63" i="59" s="1"/>
  <c r="Q40" i="59"/>
  <c r="U39" i="59"/>
  <c r="U41" i="59" s="1"/>
  <c r="U54" i="59" s="1"/>
  <c r="U40" i="59"/>
  <c r="S39" i="59"/>
  <c r="S41" i="59" s="1"/>
  <c r="S54" i="59" s="1"/>
  <c r="S40" i="59"/>
  <c r="K39" i="59"/>
  <c r="K41" i="59" s="1"/>
  <c r="K54" i="59" s="1"/>
  <c r="K40" i="59"/>
  <c r="M39" i="59"/>
  <c r="M41" i="59" s="1"/>
  <c r="M54" i="59" s="1"/>
  <c r="O40" i="59"/>
  <c r="O54" i="59"/>
  <c r="O72" i="59"/>
  <c r="O90" i="59"/>
  <c r="O63" i="59"/>
  <c r="O81" i="59"/>
  <c r="O45" i="59"/>
  <c r="S45" i="58"/>
  <c r="S81" i="58"/>
  <c r="S54" i="58"/>
  <c r="S72" i="58"/>
  <c r="S90" i="58"/>
  <c r="S63" i="58"/>
  <c r="U81" i="67" l="1"/>
  <c r="U88" i="67" s="1"/>
  <c r="K27" i="69"/>
  <c r="K37" i="69" s="1"/>
  <c r="K27" i="70"/>
  <c r="U45" i="67"/>
  <c r="U47" i="67" s="1"/>
  <c r="C103" i="69"/>
  <c r="C104" i="69" s="1"/>
  <c r="C103" i="70"/>
  <c r="U90" i="67"/>
  <c r="K81" i="68"/>
  <c r="K84" i="68" s="1"/>
  <c r="U72" i="67"/>
  <c r="U75" i="67" s="1"/>
  <c r="K8" i="69"/>
  <c r="K15" i="69" s="1"/>
  <c r="K8" i="70"/>
  <c r="L65" i="69"/>
  <c r="L65" i="70"/>
  <c r="L84" i="69"/>
  <c r="L84" i="70"/>
  <c r="U54" i="67"/>
  <c r="U60" i="67" s="1"/>
  <c r="F84" i="69"/>
  <c r="F86" i="69" s="1"/>
  <c r="F84" i="70"/>
  <c r="J65" i="69"/>
  <c r="J67" i="69" s="1"/>
  <c r="J65" i="70"/>
  <c r="D103" i="69"/>
  <c r="D111" i="69" s="1"/>
  <c r="D103" i="70"/>
  <c r="K45" i="67"/>
  <c r="M27" i="69"/>
  <c r="M30" i="69" s="1"/>
  <c r="M27" i="70"/>
  <c r="E122" i="69"/>
  <c r="E122" i="70"/>
  <c r="L46" i="69"/>
  <c r="L46" i="70"/>
  <c r="K65" i="69"/>
  <c r="K68" i="69" s="1"/>
  <c r="K65" i="70"/>
  <c r="E14" i="70"/>
  <c r="E15" i="70"/>
  <c r="E18" i="70"/>
  <c r="E10" i="70"/>
  <c r="E16" i="70"/>
  <c r="E9" i="70"/>
  <c r="E13" i="70"/>
  <c r="E12" i="70"/>
  <c r="E11" i="70"/>
  <c r="E17" i="70"/>
  <c r="K72" i="67"/>
  <c r="K76" i="67" s="1"/>
  <c r="F65" i="69"/>
  <c r="F75" i="69" s="1"/>
  <c r="F65" i="70"/>
  <c r="M8" i="69"/>
  <c r="M15" i="69" s="1"/>
  <c r="M8" i="70"/>
  <c r="K46" i="69"/>
  <c r="K56" i="69" s="1"/>
  <c r="K46" i="70"/>
  <c r="C111" i="69"/>
  <c r="C109" i="69"/>
  <c r="S63" i="67"/>
  <c r="S68" i="67" s="1"/>
  <c r="I48" i="64"/>
  <c r="E8" i="69"/>
  <c r="D105" i="69"/>
  <c r="D108" i="69"/>
  <c r="D112" i="69"/>
  <c r="D113" i="69"/>
  <c r="K32" i="69"/>
  <c r="K34" i="69"/>
  <c r="K35" i="69"/>
  <c r="K31" i="69"/>
  <c r="K33" i="69"/>
  <c r="M9" i="69"/>
  <c r="M10" i="69"/>
  <c r="M12" i="69"/>
  <c r="M11" i="69"/>
  <c r="M14" i="69"/>
  <c r="S90" i="67"/>
  <c r="S96" i="67" s="1"/>
  <c r="S72" i="67"/>
  <c r="S79" i="67" s="1"/>
  <c r="K11" i="69"/>
  <c r="K18" i="69"/>
  <c r="K12" i="69"/>
  <c r="K13" i="69"/>
  <c r="J73" i="69"/>
  <c r="J75" i="69"/>
  <c r="J68" i="69"/>
  <c r="J72" i="69"/>
  <c r="J69" i="69"/>
  <c r="L67" i="69"/>
  <c r="L73" i="69"/>
  <c r="L70" i="69"/>
  <c r="L75" i="69"/>
  <c r="L66" i="69"/>
  <c r="L71" i="69"/>
  <c r="L68" i="69"/>
  <c r="L69" i="69"/>
  <c r="L72" i="69"/>
  <c r="L74" i="69"/>
  <c r="L47" i="69"/>
  <c r="L54" i="69"/>
  <c r="L48" i="69"/>
  <c r="L55" i="69"/>
  <c r="L49" i="69"/>
  <c r="L50" i="69"/>
  <c r="L56" i="69"/>
  <c r="L53" i="69"/>
  <c r="L51" i="69"/>
  <c r="L52" i="69"/>
  <c r="F94" i="69"/>
  <c r="F88" i="69"/>
  <c r="F89" i="69"/>
  <c r="F91" i="69"/>
  <c r="F87" i="69"/>
  <c r="E130" i="69"/>
  <c r="E124" i="69"/>
  <c r="E129" i="69"/>
  <c r="E126" i="69"/>
  <c r="E131" i="69"/>
  <c r="E123" i="69"/>
  <c r="E127" i="69"/>
  <c r="E132" i="69"/>
  <c r="E128" i="69"/>
  <c r="E125" i="69"/>
  <c r="F70" i="69"/>
  <c r="F72" i="69"/>
  <c r="F69" i="69"/>
  <c r="F74" i="69"/>
  <c r="F68" i="69"/>
  <c r="L85" i="69"/>
  <c r="L91" i="69"/>
  <c r="L92" i="69"/>
  <c r="L88" i="69"/>
  <c r="L86" i="69"/>
  <c r="L87" i="69"/>
  <c r="L93" i="69"/>
  <c r="L89" i="69"/>
  <c r="L90" i="69"/>
  <c r="L94" i="69"/>
  <c r="I84" i="64"/>
  <c r="K63" i="61"/>
  <c r="K68" i="61" s="1"/>
  <c r="I72" i="65"/>
  <c r="O72" i="68"/>
  <c r="O78" i="68" s="1"/>
  <c r="K90" i="61"/>
  <c r="K97" i="61" s="1"/>
  <c r="K81" i="67"/>
  <c r="K86" i="67" s="1"/>
  <c r="M81" i="67"/>
  <c r="M84" i="67" s="1"/>
  <c r="M90" i="67"/>
  <c r="M96" i="67" s="1"/>
  <c r="M72" i="67"/>
  <c r="M79" i="67" s="1"/>
  <c r="M54" i="67"/>
  <c r="M59" i="67" s="1"/>
  <c r="K54" i="68"/>
  <c r="K57" i="68" s="1"/>
  <c r="S81" i="67"/>
  <c r="S87" i="67" s="1"/>
  <c r="S45" i="67"/>
  <c r="F103" i="70" s="1"/>
  <c r="K63" i="67"/>
  <c r="K66" i="67" s="1"/>
  <c r="I81" i="67"/>
  <c r="I83" i="67" s="1"/>
  <c r="I63" i="67"/>
  <c r="I66" i="67" s="1"/>
  <c r="K45" i="61"/>
  <c r="D27" i="70" s="1"/>
  <c r="I45" i="67"/>
  <c r="O63" i="64"/>
  <c r="O67" i="64" s="1"/>
  <c r="I63" i="68"/>
  <c r="I69" i="68" s="1"/>
  <c r="U90" i="61"/>
  <c r="U94" i="61" s="1"/>
  <c r="O72" i="64"/>
  <c r="O76" i="64" s="1"/>
  <c r="K90" i="68"/>
  <c r="K96" i="68" s="1"/>
  <c r="S90" i="64"/>
  <c r="S93" i="64" s="1"/>
  <c r="K72" i="68"/>
  <c r="K75" i="68" s="1"/>
  <c r="O63" i="68"/>
  <c r="O70" i="68" s="1"/>
  <c r="O45" i="68"/>
  <c r="M65" i="70" s="1"/>
  <c r="M45" i="67"/>
  <c r="F46" i="70" s="1"/>
  <c r="O81" i="68"/>
  <c r="O87" i="68" s="1"/>
  <c r="K63" i="68"/>
  <c r="K65" i="68" s="1"/>
  <c r="O90" i="68"/>
  <c r="O92" i="68" s="1"/>
  <c r="I90" i="68"/>
  <c r="I94" i="68" s="1"/>
  <c r="I72" i="68"/>
  <c r="I79" i="68" s="1"/>
  <c r="I54" i="68"/>
  <c r="I56" i="68" s="1"/>
  <c r="I81" i="68"/>
  <c r="I85" i="68" s="1"/>
  <c r="K81" i="61"/>
  <c r="K87" i="61" s="1"/>
  <c r="I72" i="67"/>
  <c r="I76" i="67" s="1"/>
  <c r="I90" i="67"/>
  <c r="I94" i="67" s="1"/>
  <c r="I90" i="65"/>
  <c r="I96" i="65" s="1"/>
  <c r="I88" i="64"/>
  <c r="M54" i="61"/>
  <c r="M61" i="61" s="1"/>
  <c r="O45" i="64"/>
  <c r="E65" i="70" s="1"/>
  <c r="M54" i="65"/>
  <c r="M60" i="65" s="1"/>
  <c r="O90" i="64"/>
  <c r="O97" i="64" s="1"/>
  <c r="O54" i="64"/>
  <c r="O58" i="64" s="1"/>
  <c r="I63" i="65"/>
  <c r="I68" i="65" s="1"/>
  <c r="M72" i="65"/>
  <c r="M74" i="65" s="1"/>
  <c r="Q54" i="68"/>
  <c r="Q72" i="68"/>
  <c r="Q90" i="68"/>
  <c r="Q81" i="68"/>
  <c r="Q45" i="68"/>
  <c r="Q63" i="68"/>
  <c r="M45" i="68"/>
  <c r="M54" i="68"/>
  <c r="M72" i="68"/>
  <c r="M90" i="68"/>
  <c r="M81" i="68"/>
  <c r="M63" i="68"/>
  <c r="O61" i="68"/>
  <c r="O56" i="68"/>
  <c r="O57" i="68"/>
  <c r="O60" i="68"/>
  <c r="O58" i="68"/>
  <c r="O59" i="68"/>
  <c r="K51" i="68"/>
  <c r="K47" i="68"/>
  <c r="K50" i="68"/>
  <c r="K48" i="68"/>
  <c r="K49" i="68"/>
  <c r="K52" i="68"/>
  <c r="I49" i="68"/>
  <c r="I47" i="68"/>
  <c r="I50" i="68"/>
  <c r="I48" i="68"/>
  <c r="I51" i="68"/>
  <c r="I52" i="68"/>
  <c r="U54" i="68"/>
  <c r="U72" i="68"/>
  <c r="U90" i="68"/>
  <c r="U81" i="68"/>
  <c r="U45" i="68"/>
  <c r="U63" i="68"/>
  <c r="S54" i="68"/>
  <c r="S72" i="68"/>
  <c r="S90" i="68"/>
  <c r="S81" i="68"/>
  <c r="S45" i="68"/>
  <c r="S63" i="68"/>
  <c r="M81" i="64"/>
  <c r="M83" i="64" s="1"/>
  <c r="M63" i="64"/>
  <c r="M68" i="64" s="1"/>
  <c r="S90" i="61"/>
  <c r="S94" i="61" s="1"/>
  <c r="S72" i="61"/>
  <c r="S75" i="61" s="1"/>
  <c r="S54" i="61"/>
  <c r="S60" i="61" s="1"/>
  <c r="I57" i="64"/>
  <c r="S81" i="61"/>
  <c r="S83" i="61" s="1"/>
  <c r="I60" i="64"/>
  <c r="K81" i="65"/>
  <c r="K84" i="65" s="1"/>
  <c r="S63" i="61"/>
  <c r="S67" i="61" s="1"/>
  <c r="I59" i="64"/>
  <c r="S63" i="64"/>
  <c r="S66" i="64" s="1"/>
  <c r="K90" i="65"/>
  <c r="K94" i="65" s="1"/>
  <c r="I72" i="61"/>
  <c r="I74" i="61" s="1"/>
  <c r="I56" i="64"/>
  <c r="S81" i="64"/>
  <c r="S84" i="64" s="1"/>
  <c r="K63" i="65"/>
  <c r="K66" i="65" s="1"/>
  <c r="U81" i="61"/>
  <c r="U88" i="61" s="1"/>
  <c r="I61" i="64"/>
  <c r="S45" i="64"/>
  <c r="E103" i="70" s="1"/>
  <c r="K72" i="65"/>
  <c r="K74" i="65" s="1"/>
  <c r="K54" i="61"/>
  <c r="K56" i="61" s="1"/>
  <c r="I52" i="64"/>
  <c r="K45" i="65"/>
  <c r="L27" i="70" s="1"/>
  <c r="I97" i="64"/>
  <c r="I77" i="64"/>
  <c r="I74" i="64"/>
  <c r="U90" i="65"/>
  <c r="U96" i="65" s="1"/>
  <c r="I81" i="65"/>
  <c r="I87" i="65" s="1"/>
  <c r="S85" i="67"/>
  <c r="K48" i="67"/>
  <c r="K51" i="67"/>
  <c r="K49" i="67"/>
  <c r="K47" i="67"/>
  <c r="K50" i="67"/>
  <c r="K52" i="67"/>
  <c r="K94" i="67"/>
  <c r="K97" i="67"/>
  <c r="K92" i="67"/>
  <c r="K96" i="67"/>
  <c r="K93" i="67"/>
  <c r="K95" i="67"/>
  <c r="O83" i="67"/>
  <c r="O86" i="67"/>
  <c r="O84" i="67"/>
  <c r="O87" i="67"/>
  <c r="O88" i="67"/>
  <c r="O85" i="67"/>
  <c r="O50" i="67"/>
  <c r="O48" i="67"/>
  <c r="O51" i="67"/>
  <c r="O52" i="67"/>
  <c r="O47" i="67"/>
  <c r="O49" i="67"/>
  <c r="O94" i="67"/>
  <c r="O97" i="67"/>
  <c r="O95" i="67"/>
  <c r="O93" i="67"/>
  <c r="O96" i="67"/>
  <c r="O92" i="67"/>
  <c r="I58" i="67"/>
  <c r="I61" i="67"/>
  <c r="I56" i="67"/>
  <c r="I59" i="67"/>
  <c r="I60" i="67"/>
  <c r="I57" i="67"/>
  <c r="O58" i="67"/>
  <c r="O61" i="67"/>
  <c r="O60" i="67"/>
  <c r="O56" i="67"/>
  <c r="O57" i="67"/>
  <c r="O59" i="67"/>
  <c r="M68" i="67"/>
  <c r="M66" i="67"/>
  <c r="M69" i="67"/>
  <c r="M70" i="67"/>
  <c r="M65" i="67"/>
  <c r="M67" i="67"/>
  <c r="Q47" i="67"/>
  <c r="Q50" i="67"/>
  <c r="Q48" i="67"/>
  <c r="Q51" i="67"/>
  <c r="Q52" i="67"/>
  <c r="Q49" i="67"/>
  <c r="M61" i="67"/>
  <c r="Q65" i="67"/>
  <c r="Q68" i="67"/>
  <c r="Q66" i="67"/>
  <c r="Q69" i="67"/>
  <c r="Q67" i="67"/>
  <c r="Q70" i="67"/>
  <c r="S94" i="67"/>
  <c r="S97" i="67"/>
  <c r="S78" i="67"/>
  <c r="S60" i="67"/>
  <c r="S58" i="67"/>
  <c r="S61" i="67"/>
  <c r="S56" i="67"/>
  <c r="S59" i="67"/>
  <c r="S57" i="67"/>
  <c r="K74" i="67"/>
  <c r="K77" i="67"/>
  <c r="K75" i="67"/>
  <c r="K78" i="67"/>
  <c r="K58" i="67"/>
  <c r="K61" i="67"/>
  <c r="K56" i="67"/>
  <c r="K59" i="67"/>
  <c r="K60" i="67"/>
  <c r="K57" i="67"/>
  <c r="O65" i="67"/>
  <c r="O68" i="67"/>
  <c r="O66" i="67"/>
  <c r="O69" i="67"/>
  <c r="O67" i="67"/>
  <c r="O70" i="67"/>
  <c r="O76" i="67"/>
  <c r="O79" i="67"/>
  <c r="O75" i="67"/>
  <c r="O78" i="67"/>
  <c r="O74" i="67"/>
  <c r="O77" i="67"/>
  <c r="U65" i="67"/>
  <c r="U68" i="67"/>
  <c r="U67" i="67"/>
  <c r="U69" i="67"/>
  <c r="U70" i="67"/>
  <c r="U66" i="67"/>
  <c r="Q83" i="67"/>
  <c r="Q86" i="67"/>
  <c r="Q84" i="67"/>
  <c r="Q87" i="67"/>
  <c r="Q88" i="67"/>
  <c r="Q85" i="67"/>
  <c r="U83" i="67"/>
  <c r="U86" i="67"/>
  <c r="Q94" i="67"/>
  <c r="Q97" i="67"/>
  <c r="Q95" i="67"/>
  <c r="Q92" i="67"/>
  <c r="Q96" i="67"/>
  <c r="Q93" i="67"/>
  <c r="U48" i="67"/>
  <c r="U52" i="67"/>
  <c r="U49" i="67"/>
  <c r="U51" i="67"/>
  <c r="Q76" i="67"/>
  <c r="Q79" i="67"/>
  <c r="Q77" i="67"/>
  <c r="Q75" i="67"/>
  <c r="Q78" i="67"/>
  <c r="Q74" i="67"/>
  <c r="U93" i="67"/>
  <c r="U96" i="67"/>
  <c r="U94" i="67"/>
  <c r="U97" i="67"/>
  <c r="U95" i="67"/>
  <c r="U92" i="67"/>
  <c r="Q58" i="67"/>
  <c r="Q61" i="67"/>
  <c r="Q60" i="67"/>
  <c r="Q56" i="67"/>
  <c r="Q57" i="67"/>
  <c r="Q59" i="67"/>
  <c r="U76" i="67"/>
  <c r="U79" i="67"/>
  <c r="U77" i="67"/>
  <c r="U74" i="67"/>
  <c r="M81" i="61"/>
  <c r="M86" i="61" s="1"/>
  <c r="K72" i="62"/>
  <c r="K79" i="62" s="1"/>
  <c r="I69" i="64"/>
  <c r="I78" i="64"/>
  <c r="U54" i="65"/>
  <c r="U57" i="65" s="1"/>
  <c r="Q63" i="61"/>
  <c r="Q66" i="61" s="1"/>
  <c r="K81" i="62"/>
  <c r="K88" i="62" s="1"/>
  <c r="I65" i="64"/>
  <c r="M45" i="61"/>
  <c r="D46" i="70" s="1"/>
  <c r="K90" i="62"/>
  <c r="K95" i="62" s="1"/>
  <c r="I70" i="64"/>
  <c r="I94" i="64"/>
  <c r="U72" i="65"/>
  <c r="U78" i="65" s="1"/>
  <c r="M63" i="61"/>
  <c r="M67" i="61" s="1"/>
  <c r="K54" i="62"/>
  <c r="K60" i="62" s="1"/>
  <c r="I66" i="64"/>
  <c r="I75" i="64"/>
  <c r="I45" i="65"/>
  <c r="L8" i="70" s="1"/>
  <c r="I87" i="64"/>
  <c r="K81" i="64"/>
  <c r="K85" i="64" s="1"/>
  <c r="I86" i="64"/>
  <c r="I79" i="64"/>
  <c r="K63" i="64"/>
  <c r="K65" i="64" s="1"/>
  <c r="I85" i="64"/>
  <c r="K45" i="64"/>
  <c r="E27" i="70" s="1"/>
  <c r="K90" i="64"/>
  <c r="K97" i="64" s="1"/>
  <c r="K72" i="64"/>
  <c r="K76" i="64" s="1"/>
  <c r="Q81" i="61"/>
  <c r="Q88" i="61" s="1"/>
  <c r="I50" i="64"/>
  <c r="S81" i="65"/>
  <c r="S88" i="65" s="1"/>
  <c r="I51" i="64"/>
  <c r="I93" i="64"/>
  <c r="M45" i="64"/>
  <c r="E46" i="70" s="1"/>
  <c r="S45" i="65"/>
  <c r="L103" i="70" s="1"/>
  <c r="I47" i="64"/>
  <c r="I49" i="64"/>
  <c r="S72" i="64"/>
  <c r="S74" i="64" s="1"/>
  <c r="I96" i="64"/>
  <c r="M72" i="64"/>
  <c r="M74" i="64" s="1"/>
  <c r="S54" i="65"/>
  <c r="S61" i="65" s="1"/>
  <c r="K63" i="62"/>
  <c r="K69" i="62" s="1"/>
  <c r="I68" i="64"/>
  <c r="I95" i="64"/>
  <c r="M54" i="64"/>
  <c r="M61" i="64" s="1"/>
  <c r="U45" i="65"/>
  <c r="L122" i="70" s="1"/>
  <c r="M81" i="65"/>
  <c r="M83" i="65" s="1"/>
  <c r="U81" i="65"/>
  <c r="U88" i="65" s="1"/>
  <c r="M90" i="65"/>
  <c r="M93" i="65" s="1"/>
  <c r="M45" i="58"/>
  <c r="C46" i="70" s="1"/>
  <c r="I72" i="58"/>
  <c r="I74" i="58" s="1"/>
  <c r="I90" i="58"/>
  <c r="I97" i="58" s="1"/>
  <c r="Q81" i="64"/>
  <c r="Q88" i="64" s="1"/>
  <c r="I54" i="58"/>
  <c r="I58" i="58" s="1"/>
  <c r="Q72" i="64"/>
  <c r="Q79" i="64" s="1"/>
  <c r="I90" i="61"/>
  <c r="I94" i="61" s="1"/>
  <c r="U63" i="58"/>
  <c r="U66" i="58" s="1"/>
  <c r="U81" i="58"/>
  <c r="U85" i="58" s="1"/>
  <c r="O72" i="61"/>
  <c r="O74" i="61" s="1"/>
  <c r="S90" i="65"/>
  <c r="S93" i="65" s="1"/>
  <c r="Q45" i="64"/>
  <c r="E84" i="70" s="1"/>
  <c r="O45" i="61"/>
  <c r="D65" i="70" s="1"/>
  <c r="I63" i="61"/>
  <c r="I65" i="61" s="1"/>
  <c r="O90" i="61"/>
  <c r="O94" i="61" s="1"/>
  <c r="O54" i="61"/>
  <c r="O61" i="61" s="1"/>
  <c r="Q45" i="61"/>
  <c r="D84" i="70" s="1"/>
  <c r="S72" i="65"/>
  <c r="S76" i="65" s="1"/>
  <c r="M90" i="61"/>
  <c r="M92" i="61" s="1"/>
  <c r="M63" i="65"/>
  <c r="M66" i="65" s="1"/>
  <c r="I54" i="59"/>
  <c r="I61" i="59" s="1"/>
  <c r="Q90" i="64"/>
  <c r="Q97" i="64" s="1"/>
  <c r="Q63" i="64"/>
  <c r="Q69" i="64" s="1"/>
  <c r="I81" i="58"/>
  <c r="I87" i="58" s="1"/>
  <c r="I54" i="61"/>
  <c r="I57" i="61" s="1"/>
  <c r="Q45" i="58"/>
  <c r="C84" i="70" s="1"/>
  <c r="O63" i="61"/>
  <c r="O69" i="61" s="1"/>
  <c r="I45" i="61"/>
  <c r="D8" i="70" s="1"/>
  <c r="U54" i="58"/>
  <c r="U60" i="58" s="1"/>
  <c r="M57" i="65"/>
  <c r="Q47" i="65"/>
  <c r="Q50" i="65"/>
  <c r="Q49" i="65"/>
  <c r="Q48" i="65"/>
  <c r="Q52" i="65"/>
  <c r="Q51" i="65"/>
  <c r="Q93" i="65"/>
  <c r="Q96" i="65"/>
  <c r="Q94" i="65"/>
  <c r="Q97" i="65"/>
  <c r="Q92" i="65"/>
  <c r="Q95" i="65"/>
  <c r="Q75" i="65"/>
  <c r="Q78" i="65"/>
  <c r="Q76" i="65"/>
  <c r="Q79" i="65"/>
  <c r="Q77" i="65"/>
  <c r="Q74" i="65"/>
  <c r="M47" i="65"/>
  <c r="M50" i="65"/>
  <c r="M48" i="65"/>
  <c r="M52" i="65"/>
  <c r="M49" i="65"/>
  <c r="M51" i="65"/>
  <c r="Q88" i="65"/>
  <c r="Q83" i="65"/>
  <c r="Q86" i="65"/>
  <c r="Q85" i="65"/>
  <c r="Q87" i="65"/>
  <c r="Q84" i="65"/>
  <c r="I76" i="65"/>
  <c r="I79" i="65"/>
  <c r="I78" i="65"/>
  <c r="I74" i="65"/>
  <c r="I77" i="65"/>
  <c r="I75" i="65"/>
  <c r="M77" i="65"/>
  <c r="K87" i="65"/>
  <c r="I58" i="65"/>
  <c r="I61" i="65"/>
  <c r="I59" i="65"/>
  <c r="I57" i="65"/>
  <c r="I56" i="65"/>
  <c r="I60" i="65"/>
  <c r="Q70" i="65"/>
  <c r="Q65" i="65"/>
  <c r="Q68" i="65"/>
  <c r="Q66" i="65"/>
  <c r="Q67" i="65"/>
  <c r="Q69" i="65"/>
  <c r="K92" i="65"/>
  <c r="Q57" i="65"/>
  <c r="Q60" i="65"/>
  <c r="Q58" i="65"/>
  <c r="Q59" i="65"/>
  <c r="Q56" i="65"/>
  <c r="Q61" i="65"/>
  <c r="K60" i="65"/>
  <c r="K58" i="65"/>
  <c r="K61" i="65"/>
  <c r="K59" i="65"/>
  <c r="K56" i="65"/>
  <c r="K57" i="65"/>
  <c r="U67" i="65"/>
  <c r="U70" i="65"/>
  <c r="U65" i="65"/>
  <c r="U68" i="65"/>
  <c r="U66" i="65"/>
  <c r="U69" i="65"/>
  <c r="S67" i="65"/>
  <c r="S70" i="65"/>
  <c r="S65" i="65"/>
  <c r="S68" i="65"/>
  <c r="S66" i="65"/>
  <c r="S69" i="65"/>
  <c r="O85" i="65"/>
  <c r="O87" i="65"/>
  <c r="O83" i="65"/>
  <c r="O84" i="65"/>
  <c r="O88" i="65"/>
  <c r="O86" i="65"/>
  <c r="O68" i="65"/>
  <c r="O66" i="65"/>
  <c r="O67" i="65"/>
  <c r="O69" i="65"/>
  <c r="O65" i="65"/>
  <c r="O70" i="65"/>
  <c r="O47" i="65"/>
  <c r="O50" i="65"/>
  <c r="O48" i="65"/>
  <c r="O49" i="65"/>
  <c r="O51" i="65"/>
  <c r="O52" i="65"/>
  <c r="O93" i="65"/>
  <c r="O96" i="65"/>
  <c r="O94" i="65"/>
  <c r="O97" i="65"/>
  <c r="O92" i="65"/>
  <c r="O95" i="65"/>
  <c r="O75" i="65"/>
  <c r="O78" i="65"/>
  <c r="O76" i="65"/>
  <c r="O79" i="65"/>
  <c r="O77" i="65"/>
  <c r="O74" i="65"/>
  <c r="I84" i="65"/>
  <c r="O57" i="65"/>
  <c r="O60" i="65"/>
  <c r="O58" i="65"/>
  <c r="O61" i="65"/>
  <c r="O59" i="65"/>
  <c r="O56" i="65"/>
  <c r="K72" i="59"/>
  <c r="K78" i="59" s="1"/>
  <c r="Q72" i="61"/>
  <c r="Q77" i="61" s="1"/>
  <c r="I90" i="59"/>
  <c r="I92" i="59" s="1"/>
  <c r="Q54" i="61"/>
  <c r="Q59" i="61" s="1"/>
  <c r="I45" i="59"/>
  <c r="J8" i="70" s="1"/>
  <c r="I72" i="59"/>
  <c r="I76" i="59" s="1"/>
  <c r="U63" i="61"/>
  <c r="U66" i="61" s="1"/>
  <c r="O54" i="58"/>
  <c r="O56" i="58" s="1"/>
  <c r="Q81" i="58"/>
  <c r="Q87" i="58" s="1"/>
  <c r="Q63" i="58"/>
  <c r="Q69" i="58" s="1"/>
  <c r="Q72" i="58"/>
  <c r="Q74" i="58" s="1"/>
  <c r="U45" i="61"/>
  <c r="D122" i="70" s="1"/>
  <c r="U72" i="61"/>
  <c r="U76" i="61" s="1"/>
  <c r="Q54" i="58"/>
  <c r="Q59" i="58" s="1"/>
  <c r="O83" i="64"/>
  <c r="O86" i="64"/>
  <c r="O84" i="64"/>
  <c r="O87" i="64"/>
  <c r="O88" i="64"/>
  <c r="O85" i="64"/>
  <c r="U75" i="64"/>
  <c r="U78" i="64"/>
  <c r="U76" i="64"/>
  <c r="U79" i="64"/>
  <c r="U74" i="64"/>
  <c r="U77" i="64"/>
  <c r="Q61" i="64"/>
  <c r="Q56" i="64"/>
  <c r="Q57" i="64"/>
  <c r="Q58" i="64"/>
  <c r="Q60" i="64"/>
  <c r="Q59" i="64"/>
  <c r="O50" i="64"/>
  <c r="O52" i="64"/>
  <c r="U65" i="64"/>
  <c r="U68" i="64"/>
  <c r="U66" i="64"/>
  <c r="U67" i="64"/>
  <c r="U69" i="64"/>
  <c r="U70" i="64"/>
  <c r="U93" i="64"/>
  <c r="U96" i="64"/>
  <c r="U94" i="64"/>
  <c r="U97" i="64"/>
  <c r="U95" i="64"/>
  <c r="U92" i="64"/>
  <c r="U57" i="64"/>
  <c r="U60" i="64"/>
  <c r="U58" i="64"/>
  <c r="U61" i="64"/>
  <c r="U56" i="64"/>
  <c r="U59" i="64"/>
  <c r="U83" i="64"/>
  <c r="U86" i="64"/>
  <c r="U84" i="64"/>
  <c r="U85" i="64"/>
  <c r="U87" i="64"/>
  <c r="U88" i="64"/>
  <c r="O66" i="64"/>
  <c r="O74" i="64"/>
  <c r="O78" i="64"/>
  <c r="U47" i="64"/>
  <c r="U50" i="64"/>
  <c r="U48" i="64"/>
  <c r="U51" i="64"/>
  <c r="U52" i="64"/>
  <c r="U49" i="64"/>
  <c r="M65" i="64"/>
  <c r="M70" i="64"/>
  <c r="K92" i="64"/>
  <c r="M94" i="64"/>
  <c r="M97" i="64"/>
  <c r="M92" i="64"/>
  <c r="M96" i="64"/>
  <c r="M93" i="64"/>
  <c r="M95" i="64"/>
  <c r="K58" i="64"/>
  <c r="K61" i="64"/>
  <c r="K56" i="64"/>
  <c r="K59" i="64"/>
  <c r="K60" i="64"/>
  <c r="K57" i="64"/>
  <c r="M78" i="64"/>
  <c r="M56" i="64"/>
  <c r="S86" i="64"/>
  <c r="S97" i="64"/>
  <c r="S95" i="64"/>
  <c r="S60" i="64"/>
  <c r="S58" i="64"/>
  <c r="S61" i="64"/>
  <c r="S56" i="64"/>
  <c r="S57" i="64"/>
  <c r="S59" i="64"/>
  <c r="S81" i="59"/>
  <c r="S85" i="59" s="1"/>
  <c r="M81" i="58"/>
  <c r="M88" i="58" s="1"/>
  <c r="M90" i="58"/>
  <c r="M94" i="58" s="1"/>
  <c r="M72" i="58"/>
  <c r="M76" i="58" s="1"/>
  <c r="M54" i="58"/>
  <c r="M61" i="58" s="1"/>
  <c r="I45" i="58"/>
  <c r="C8" i="70" s="1"/>
  <c r="U90" i="59"/>
  <c r="U97" i="59" s="1"/>
  <c r="U45" i="58"/>
  <c r="C122" i="70" s="1"/>
  <c r="U90" i="58"/>
  <c r="U93" i="58" s="1"/>
  <c r="U45" i="59"/>
  <c r="J122" i="70" s="1"/>
  <c r="M75" i="62"/>
  <c r="M78" i="62"/>
  <c r="M79" i="62"/>
  <c r="M76" i="62"/>
  <c r="M74" i="62"/>
  <c r="M77" i="62"/>
  <c r="K47" i="62"/>
  <c r="K50" i="62"/>
  <c r="K48" i="62"/>
  <c r="K51" i="62"/>
  <c r="K49" i="62"/>
  <c r="K52" i="62"/>
  <c r="I58" i="62"/>
  <c r="I61" i="62"/>
  <c r="I57" i="62"/>
  <c r="I60" i="62"/>
  <c r="I59" i="62"/>
  <c r="I56" i="62"/>
  <c r="M65" i="62"/>
  <c r="M66" i="62"/>
  <c r="M68" i="62"/>
  <c r="M67" i="62"/>
  <c r="M69" i="62"/>
  <c r="M70" i="62"/>
  <c r="O57" i="62"/>
  <c r="O60" i="62"/>
  <c r="O58" i="62"/>
  <c r="O61" i="62"/>
  <c r="O59" i="62"/>
  <c r="O56" i="62"/>
  <c r="M83" i="62"/>
  <c r="M86" i="62"/>
  <c r="M88" i="62"/>
  <c r="M84" i="62"/>
  <c r="M85" i="62"/>
  <c r="M87" i="62"/>
  <c r="O93" i="62"/>
  <c r="O96" i="62"/>
  <c r="O94" i="62"/>
  <c r="O97" i="62"/>
  <c r="O95" i="62"/>
  <c r="O92" i="62"/>
  <c r="O75" i="62"/>
  <c r="O78" i="62"/>
  <c r="O76" i="62"/>
  <c r="O79" i="62"/>
  <c r="O74" i="62"/>
  <c r="O77" i="62"/>
  <c r="M57" i="62"/>
  <c r="M60" i="62"/>
  <c r="M58" i="62"/>
  <c r="M61" i="62"/>
  <c r="M59" i="62"/>
  <c r="M56" i="62"/>
  <c r="Q72" i="62"/>
  <c r="Q54" i="62"/>
  <c r="Q90" i="62"/>
  <c r="Q63" i="62"/>
  <c r="Q81" i="62"/>
  <c r="Q45" i="62"/>
  <c r="I65" i="62"/>
  <c r="I68" i="62"/>
  <c r="I69" i="62"/>
  <c r="I66" i="62"/>
  <c r="I67" i="62"/>
  <c r="I70" i="62"/>
  <c r="I79" i="62"/>
  <c r="I76" i="62"/>
  <c r="I74" i="62"/>
  <c r="I75" i="62"/>
  <c r="I77" i="62"/>
  <c r="I78" i="62"/>
  <c r="S54" i="62"/>
  <c r="S72" i="62"/>
  <c r="S90" i="62"/>
  <c r="S63" i="62"/>
  <c r="S81" i="62"/>
  <c r="S45" i="62"/>
  <c r="O65" i="62"/>
  <c r="O68" i="62"/>
  <c r="O70" i="62"/>
  <c r="O66" i="62"/>
  <c r="O67" i="62"/>
  <c r="O69" i="62"/>
  <c r="O47" i="62"/>
  <c r="O50" i="62"/>
  <c r="O48" i="62"/>
  <c r="O49" i="62"/>
  <c r="O52" i="62"/>
  <c r="O51" i="62"/>
  <c r="O83" i="62"/>
  <c r="O86" i="62"/>
  <c r="O88" i="62"/>
  <c r="O84" i="62"/>
  <c r="O85" i="62"/>
  <c r="O87" i="62"/>
  <c r="M47" i="62"/>
  <c r="M50" i="62"/>
  <c r="M51" i="62"/>
  <c r="M48" i="62"/>
  <c r="M49" i="62"/>
  <c r="M52" i="62"/>
  <c r="M93" i="62"/>
  <c r="M96" i="62"/>
  <c r="M94" i="62"/>
  <c r="M97" i="62"/>
  <c r="M95" i="62"/>
  <c r="M92" i="62"/>
  <c r="I47" i="62"/>
  <c r="I50" i="62"/>
  <c r="I48" i="62"/>
  <c r="I51" i="62"/>
  <c r="I49" i="62"/>
  <c r="I52" i="62"/>
  <c r="I83" i="62"/>
  <c r="I86" i="62"/>
  <c r="I84" i="62"/>
  <c r="I87" i="62"/>
  <c r="I88" i="62"/>
  <c r="I85" i="62"/>
  <c r="U54" i="62"/>
  <c r="U72" i="62"/>
  <c r="U90" i="62"/>
  <c r="U63" i="62"/>
  <c r="U81" i="62"/>
  <c r="U45" i="62"/>
  <c r="I97" i="62"/>
  <c r="I94" i="62"/>
  <c r="I92" i="62"/>
  <c r="I93" i="62"/>
  <c r="I95" i="62"/>
  <c r="I96" i="62"/>
  <c r="U72" i="59"/>
  <c r="U78" i="59" s="1"/>
  <c r="M81" i="59"/>
  <c r="M87" i="59" s="1"/>
  <c r="O63" i="58"/>
  <c r="O66" i="58" s="1"/>
  <c r="Q90" i="59"/>
  <c r="Q92" i="59" s="1"/>
  <c r="O45" i="58"/>
  <c r="C65" i="70" s="1"/>
  <c r="O81" i="58"/>
  <c r="O83" i="58" s="1"/>
  <c r="O90" i="58"/>
  <c r="O96" i="58" s="1"/>
  <c r="Q72" i="59"/>
  <c r="Q79" i="59" s="1"/>
  <c r="M45" i="59"/>
  <c r="J46" i="70" s="1"/>
  <c r="K81" i="58"/>
  <c r="K83" i="58" s="1"/>
  <c r="K45" i="58"/>
  <c r="C27" i="70" s="1"/>
  <c r="K45" i="59"/>
  <c r="J27" i="70" s="1"/>
  <c r="Q54" i="59"/>
  <c r="Q57" i="59" s="1"/>
  <c r="K67" i="61"/>
  <c r="K66" i="61"/>
  <c r="K69" i="61"/>
  <c r="K65" i="61"/>
  <c r="K76" i="61"/>
  <c r="K79" i="61"/>
  <c r="K74" i="61"/>
  <c r="K77" i="61"/>
  <c r="K78" i="61"/>
  <c r="K75" i="61"/>
  <c r="O85" i="61"/>
  <c r="O83" i="61"/>
  <c r="O86" i="61"/>
  <c r="O84" i="61"/>
  <c r="O87" i="61"/>
  <c r="O88" i="61"/>
  <c r="I85" i="61"/>
  <c r="I88" i="61"/>
  <c r="I84" i="61"/>
  <c r="I87" i="61"/>
  <c r="I83" i="61"/>
  <c r="I86" i="61"/>
  <c r="Q95" i="61"/>
  <c r="Q92" i="61"/>
  <c r="Q94" i="61"/>
  <c r="Q97" i="61"/>
  <c r="Q93" i="61"/>
  <c r="Q96" i="61"/>
  <c r="M76" i="61"/>
  <c r="M74" i="61"/>
  <c r="M79" i="61"/>
  <c r="M77" i="61"/>
  <c r="M78" i="61"/>
  <c r="M75" i="61"/>
  <c r="S47" i="61"/>
  <c r="S50" i="61"/>
  <c r="S48" i="61"/>
  <c r="S51" i="61"/>
  <c r="S52" i="61"/>
  <c r="S49" i="61"/>
  <c r="U59" i="61"/>
  <c r="U57" i="61"/>
  <c r="U60" i="61"/>
  <c r="U58" i="61"/>
  <c r="U61" i="61"/>
  <c r="U56" i="61"/>
  <c r="K90" i="59"/>
  <c r="K92" i="59" s="1"/>
  <c r="U81" i="59"/>
  <c r="U84" i="59" s="1"/>
  <c r="U63" i="59"/>
  <c r="U67" i="59" s="1"/>
  <c r="K81" i="59"/>
  <c r="K84" i="59" s="1"/>
  <c r="K63" i="59"/>
  <c r="K70" i="59" s="1"/>
  <c r="S63" i="59"/>
  <c r="S65" i="59" s="1"/>
  <c r="S45" i="59"/>
  <c r="J103" i="70" s="1"/>
  <c r="K90" i="58"/>
  <c r="K95" i="58" s="1"/>
  <c r="K72" i="58"/>
  <c r="K77" i="58" s="1"/>
  <c r="S90" i="59"/>
  <c r="S96" i="59" s="1"/>
  <c r="S72" i="59"/>
  <c r="S77" i="59" s="1"/>
  <c r="Q45" i="59"/>
  <c r="J84" i="70" s="1"/>
  <c r="K54" i="58"/>
  <c r="K59" i="58" s="1"/>
  <c r="I81" i="59"/>
  <c r="I86" i="59" s="1"/>
  <c r="Q81" i="59"/>
  <c r="Q83" i="59" s="1"/>
  <c r="M63" i="59"/>
  <c r="M68" i="59" s="1"/>
  <c r="M90" i="59"/>
  <c r="M92" i="59" s="1"/>
  <c r="M72" i="59"/>
  <c r="M76" i="59" s="1"/>
  <c r="M57" i="59"/>
  <c r="M60" i="59"/>
  <c r="M58" i="59"/>
  <c r="M61" i="59"/>
  <c r="M56" i="59"/>
  <c r="M59" i="59"/>
  <c r="S57" i="59"/>
  <c r="S60" i="59"/>
  <c r="S58" i="59"/>
  <c r="S61" i="59"/>
  <c r="S56" i="59"/>
  <c r="S59" i="59"/>
  <c r="O47" i="59"/>
  <c r="O50" i="59"/>
  <c r="O48" i="59"/>
  <c r="O51" i="59"/>
  <c r="O52" i="59"/>
  <c r="O49" i="59"/>
  <c r="I65" i="59"/>
  <c r="I68" i="59"/>
  <c r="I69" i="59"/>
  <c r="I66" i="59"/>
  <c r="I70" i="59"/>
  <c r="I67" i="59"/>
  <c r="O86" i="59"/>
  <c r="O84" i="59"/>
  <c r="O85" i="59"/>
  <c r="O87" i="59"/>
  <c r="O83" i="59"/>
  <c r="O88" i="59"/>
  <c r="O65" i="59"/>
  <c r="O68" i="59"/>
  <c r="O69" i="59"/>
  <c r="O67" i="59"/>
  <c r="O66" i="59"/>
  <c r="O70" i="59"/>
  <c r="O93" i="59"/>
  <c r="O96" i="59"/>
  <c r="O94" i="59"/>
  <c r="O97" i="59"/>
  <c r="O92" i="59"/>
  <c r="O95" i="59"/>
  <c r="O75" i="59"/>
  <c r="O78" i="59"/>
  <c r="O76" i="59"/>
  <c r="O79" i="59"/>
  <c r="O77" i="59"/>
  <c r="O74" i="59"/>
  <c r="O57" i="59"/>
  <c r="O60" i="59"/>
  <c r="O61" i="59"/>
  <c r="O58" i="59"/>
  <c r="O56" i="59"/>
  <c r="O59" i="59"/>
  <c r="Q70" i="59"/>
  <c r="Q65" i="59"/>
  <c r="Q68" i="59"/>
  <c r="Q69" i="59"/>
  <c r="Q66" i="59"/>
  <c r="Q67" i="59"/>
  <c r="K60" i="59"/>
  <c r="K61" i="59"/>
  <c r="K58" i="59"/>
  <c r="K56" i="59"/>
  <c r="K57" i="59"/>
  <c r="K59" i="59"/>
  <c r="U57" i="59"/>
  <c r="U60" i="59"/>
  <c r="U61" i="59"/>
  <c r="U56" i="59"/>
  <c r="U58" i="59"/>
  <c r="U59" i="59"/>
  <c r="Q92" i="58"/>
  <c r="Q95" i="58"/>
  <c r="Q97" i="58"/>
  <c r="Q94" i="58"/>
  <c r="Q96" i="58"/>
  <c r="Q93" i="58"/>
  <c r="U77" i="58"/>
  <c r="U75" i="58"/>
  <c r="U78" i="58"/>
  <c r="U74" i="58"/>
  <c r="U79" i="58"/>
  <c r="U76" i="58"/>
  <c r="K67" i="58"/>
  <c r="K69" i="58"/>
  <c r="K70" i="58"/>
  <c r="K66" i="58"/>
  <c r="K65" i="58"/>
  <c r="K68" i="58"/>
  <c r="S60" i="58"/>
  <c r="S59" i="58"/>
  <c r="S56" i="58"/>
  <c r="S58" i="58"/>
  <c r="S61" i="58"/>
  <c r="S57" i="58"/>
  <c r="O76" i="58"/>
  <c r="O79" i="58"/>
  <c r="O74" i="58"/>
  <c r="O77" i="58"/>
  <c r="O75" i="58"/>
  <c r="O78" i="58"/>
  <c r="I67" i="58"/>
  <c r="I70" i="58"/>
  <c r="I65" i="58"/>
  <c r="I66" i="58"/>
  <c r="I69" i="58"/>
  <c r="I68" i="58"/>
  <c r="S66" i="58"/>
  <c r="S65" i="58"/>
  <c r="S68" i="58"/>
  <c r="S69" i="58"/>
  <c r="S67" i="58"/>
  <c r="S70" i="58"/>
  <c r="S96" i="58"/>
  <c r="S92" i="58"/>
  <c r="S94" i="58"/>
  <c r="S97" i="58"/>
  <c r="S95" i="58"/>
  <c r="S93" i="58"/>
  <c r="S78" i="58"/>
  <c r="S76" i="58"/>
  <c r="S74" i="58"/>
  <c r="S79" i="58"/>
  <c r="S77" i="58"/>
  <c r="S75" i="58"/>
  <c r="M67" i="58"/>
  <c r="M68" i="58"/>
  <c r="M70" i="58"/>
  <c r="M66" i="58"/>
  <c r="M69" i="58"/>
  <c r="M65" i="58"/>
  <c r="S84" i="58"/>
  <c r="S83" i="58"/>
  <c r="S86" i="58"/>
  <c r="S85" i="58"/>
  <c r="S87" i="58"/>
  <c r="S88" i="58"/>
  <c r="S51" i="58"/>
  <c r="S52" i="58"/>
  <c r="S47" i="58"/>
  <c r="S50" i="58"/>
  <c r="S49" i="58"/>
  <c r="S48" i="58"/>
  <c r="K96" i="61" l="1"/>
  <c r="K85" i="68"/>
  <c r="K97" i="68"/>
  <c r="K95" i="61"/>
  <c r="K92" i="61"/>
  <c r="K95" i="68"/>
  <c r="U95" i="61"/>
  <c r="K94" i="61"/>
  <c r="K92" i="68"/>
  <c r="K70" i="69"/>
  <c r="K50" i="61"/>
  <c r="K72" i="69"/>
  <c r="K75" i="69"/>
  <c r="M17" i="69"/>
  <c r="D109" i="69"/>
  <c r="D107" i="69"/>
  <c r="C113" i="69"/>
  <c r="S74" i="67"/>
  <c r="K71" i="69"/>
  <c r="K69" i="69"/>
  <c r="M16" i="69"/>
  <c r="D104" i="69"/>
  <c r="C106" i="69"/>
  <c r="K66" i="69"/>
  <c r="S77" i="67"/>
  <c r="K73" i="69"/>
  <c r="M13" i="69"/>
  <c r="D106" i="69"/>
  <c r="C105" i="69"/>
  <c r="K74" i="69"/>
  <c r="C110" i="69"/>
  <c r="S75" i="67"/>
  <c r="K67" i="69"/>
  <c r="M18" i="69"/>
  <c r="D110" i="69"/>
  <c r="C107" i="69"/>
  <c r="C108" i="69"/>
  <c r="S76" i="67"/>
  <c r="C112" i="69"/>
  <c r="U78" i="67"/>
  <c r="U50" i="67"/>
  <c r="U87" i="67"/>
  <c r="K79" i="67"/>
  <c r="O74" i="68"/>
  <c r="F67" i="69"/>
  <c r="F92" i="69"/>
  <c r="F90" i="69"/>
  <c r="J74" i="69"/>
  <c r="J66" i="69"/>
  <c r="K17" i="69"/>
  <c r="K36" i="69"/>
  <c r="K28" i="69"/>
  <c r="U85" i="67"/>
  <c r="O52" i="68"/>
  <c r="F71" i="69"/>
  <c r="F85" i="69"/>
  <c r="J71" i="69"/>
  <c r="K14" i="69"/>
  <c r="K10" i="69"/>
  <c r="K30" i="69"/>
  <c r="S70" i="67"/>
  <c r="U84" i="67"/>
  <c r="F66" i="69"/>
  <c r="F93" i="69"/>
  <c r="J70" i="69"/>
  <c r="K16" i="69"/>
  <c r="K9" i="69"/>
  <c r="K29" i="69"/>
  <c r="S65" i="67"/>
  <c r="F73" i="69"/>
  <c r="K55" i="69"/>
  <c r="K48" i="69"/>
  <c r="I59" i="58"/>
  <c r="C66" i="70"/>
  <c r="C67" i="70"/>
  <c r="C69" i="70"/>
  <c r="C75" i="70"/>
  <c r="C73" i="70"/>
  <c r="C70" i="70"/>
  <c r="C72" i="70"/>
  <c r="C68" i="70"/>
  <c r="C74" i="70"/>
  <c r="C71" i="70"/>
  <c r="U57" i="67"/>
  <c r="E106" i="70"/>
  <c r="E110" i="70"/>
  <c r="E108" i="70"/>
  <c r="E107" i="70"/>
  <c r="E109" i="70"/>
  <c r="E113" i="70"/>
  <c r="E104" i="70"/>
  <c r="E111" i="70"/>
  <c r="E105" i="70"/>
  <c r="E112" i="70"/>
  <c r="E66" i="70"/>
  <c r="E72" i="70"/>
  <c r="E74" i="70"/>
  <c r="E69" i="70"/>
  <c r="E70" i="70"/>
  <c r="E67" i="70"/>
  <c r="E75" i="70"/>
  <c r="E73" i="70"/>
  <c r="E68" i="70"/>
  <c r="E71" i="70"/>
  <c r="F8" i="69"/>
  <c r="F13" i="69" s="1"/>
  <c r="F8" i="70"/>
  <c r="M36" i="69"/>
  <c r="K49" i="69"/>
  <c r="M28" i="70"/>
  <c r="M36" i="70"/>
  <c r="M34" i="70"/>
  <c r="M31" i="70"/>
  <c r="M35" i="70"/>
  <c r="M32" i="70"/>
  <c r="M30" i="70"/>
  <c r="M33" i="70"/>
  <c r="M37" i="70"/>
  <c r="M29" i="70"/>
  <c r="J28" i="70"/>
  <c r="J29" i="70"/>
  <c r="J34" i="70"/>
  <c r="J35" i="70"/>
  <c r="J37" i="70"/>
  <c r="J32" i="70"/>
  <c r="J36" i="70"/>
  <c r="J31" i="70"/>
  <c r="J33" i="70"/>
  <c r="J30" i="70"/>
  <c r="M29" i="69"/>
  <c r="J104" i="70"/>
  <c r="J105" i="70"/>
  <c r="J106" i="70"/>
  <c r="J112" i="70"/>
  <c r="J107" i="70"/>
  <c r="J110" i="70"/>
  <c r="J111" i="70"/>
  <c r="J113" i="70"/>
  <c r="J108" i="70"/>
  <c r="J109" i="70"/>
  <c r="K49" i="61"/>
  <c r="C28" i="70"/>
  <c r="C37" i="70"/>
  <c r="C34" i="70"/>
  <c r="C32" i="70"/>
  <c r="C29" i="70"/>
  <c r="C33" i="70"/>
  <c r="C35" i="70"/>
  <c r="C30" i="70"/>
  <c r="C36" i="70"/>
  <c r="C31" i="70"/>
  <c r="D14" i="70"/>
  <c r="D16" i="70"/>
  <c r="D15" i="70"/>
  <c r="D13" i="70"/>
  <c r="D12" i="70"/>
  <c r="D17" i="70"/>
  <c r="D11" i="70"/>
  <c r="D9" i="70"/>
  <c r="D10" i="70"/>
  <c r="D18" i="70"/>
  <c r="E85" i="70"/>
  <c r="E93" i="70"/>
  <c r="E92" i="70"/>
  <c r="E86" i="70"/>
  <c r="E88" i="70"/>
  <c r="E87" i="70"/>
  <c r="E91" i="70"/>
  <c r="E94" i="70"/>
  <c r="E89" i="70"/>
  <c r="E90" i="70"/>
  <c r="I78" i="68"/>
  <c r="K88" i="68"/>
  <c r="M37" i="69"/>
  <c r="K70" i="70"/>
  <c r="K75" i="70"/>
  <c r="K68" i="70"/>
  <c r="K69" i="70"/>
  <c r="K66" i="70"/>
  <c r="K73" i="70"/>
  <c r="K71" i="70"/>
  <c r="K72" i="70"/>
  <c r="K67" i="70"/>
  <c r="K74" i="70"/>
  <c r="F27" i="69"/>
  <c r="F27" i="70"/>
  <c r="L85" i="70"/>
  <c r="L91" i="70"/>
  <c r="L94" i="70"/>
  <c r="L88" i="70"/>
  <c r="L92" i="70"/>
  <c r="L93" i="70"/>
  <c r="L87" i="70"/>
  <c r="L86" i="70"/>
  <c r="L89" i="70"/>
  <c r="L90" i="70"/>
  <c r="K48" i="61"/>
  <c r="K122" i="69"/>
  <c r="K122" i="70"/>
  <c r="K103" i="69"/>
  <c r="K111" i="69" s="1"/>
  <c r="K103" i="70"/>
  <c r="C123" i="70"/>
  <c r="C124" i="70"/>
  <c r="C129" i="70"/>
  <c r="C125" i="70"/>
  <c r="C132" i="70"/>
  <c r="C130" i="70"/>
  <c r="C126" i="70"/>
  <c r="C131" i="70"/>
  <c r="C127" i="70"/>
  <c r="C128" i="70"/>
  <c r="J16" i="70"/>
  <c r="J9" i="70"/>
  <c r="J12" i="70"/>
  <c r="J17" i="70"/>
  <c r="J10" i="70"/>
  <c r="J13" i="70"/>
  <c r="J15" i="70"/>
  <c r="J18" i="70"/>
  <c r="J11" i="70"/>
  <c r="J14" i="70"/>
  <c r="U56" i="67"/>
  <c r="M122" i="69"/>
  <c r="M130" i="69" s="1"/>
  <c r="M122" i="70"/>
  <c r="K86" i="68"/>
  <c r="M34" i="69"/>
  <c r="K52" i="69"/>
  <c r="K54" i="69"/>
  <c r="M9" i="70"/>
  <c r="M12" i="70"/>
  <c r="M16" i="70"/>
  <c r="M13" i="70"/>
  <c r="M18" i="70"/>
  <c r="M11" i="70"/>
  <c r="M14" i="70"/>
  <c r="M15" i="70"/>
  <c r="M10" i="70"/>
  <c r="M17" i="70"/>
  <c r="D106" i="70"/>
  <c r="D104" i="70"/>
  <c r="D111" i="70"/>
  <c r="D108" i="70"/>
  <c r="D107" i="70"/>
  <c r="D112" i="70"/>
  <c r="D105" i="70"/>
  <c r="D109" i="70"/>
  <c r="D110" i="70"/>
  <c r="D113" i="70"/>
  <c r="C104" i="70"/>
  <c r="C111" i="70"/>
  <c r="C105" i="70"/>
  <c r="C113" i="70"/>
  <c r="C106" i="70"/>
  <c r="C108" i="70"/>
  <c r="C110" i="70"/>
  <c r="C112" i="70"/>
  <c r="C107" i="70"/>
  <c r="C109" i="70"/>
  <c r="L124" i="70"/>
  <c r="L128" i="70"/>
  <c r="L132" i="70"/>
  <c r="L125" i="70"/>
  <c r="L129" i="70"/>
  <c r="L130" i="70"/>
  <c r="L126" i="70"/>
  <c r="L127" i="70"/>
  <c r="L131" i="70"/>
  <c r="L123" i="70"/>
  <c r="D28" i="70"/>
  <c r="D37" i="70"/>
  <c r="D30" i="70"/>
  <c r="D33" i="70"/>
  <c r="D31" i="70"/>
  <c r="D36" i="70"/>
  <c r="D34" i="70"/>
  <c r="D32" i="70"/>
  <c r="D35" i="70"/>
  <c r="D29" i="70"/>
  <c r="K49" i="70"/>
  <c r="K53" i="70"/>
  <c r="K54" i="70"/>
  <c r="K52" i="70"/>
  <c r="K56" i="70"/>
  <c r="K50" i="70"/>
  <c r="K55" i="70"/>
  <c r="K47" i="70"/>
  <c r="K51" i="70"/>
  <c r="K48" i="70"/>
  <c r="K52" i="61"/>
  <c r="J53" i="70"/>
  <c r="J49" i="70"/>
  <c r="J51" i="70"/>
  <c r="J54" i="70"/>
  <c r="J50" i="70"/>
  <c r="J55" i="70"/>
  <c r="J47" i="70"/>
  <c r="J52" i="70"/>
  <c r="J56" i="70"/>
  <c r="J48" i="70"/>
  <c r="D128" i="70"/>
  <c r="D132" i="70"/>
  <c r="D123" i="70"/>
  <c r="D125" i="70"/>
  <c r="D131" i="70"/>
  <c r="D130" i="70"/>
  <c r="D124" i="70"/>
  <c r="D126" i="70"/>
  <c r="D129" i="70"/>
  <c r="D127" i="70"/>
  <c r="C87" i="70"/>
  <c r="C86" i="70"/>
  <c r="C92" i="70"/>
  <c r="C88" i="70"/>
  <c r="C90" i="70"/>
  <c r="C93" i="70"/>
  <c r="C85" i="70"/>
  <c r="C94" i="70"/>
  <c r="C91" i="70"/>
  <c r="C89" i="70"/>
  <c r="L110" i="70"/>
  <c r="L113" i="70"/>
  <c r="L109" i="70"/>
  <c r="L111" i="70"/>
  <c r="L106" i="70"/>
  <c r="L104" i="70"/>
  <c r="L105" i="70"/>
  <c r="L112" i="70"/>
  <c r="L108" i="70"/>
  <c r="L107" i="70"/>
  <c r="L13" i="70"/>
  <c r="L12" i="70"/>
  <c r="L10" i="70"/>
  <c r="L9" i="70"/>
  <c r="L14" i="70"/>
  <c r="L15" i="70"/>
  <c r="L18" i="70"/>
  <c r="L16" i="70"/>
  <c r="L11" i="70"/>
  <c r="L17" i="70"/>
  <c r="U59" i="67"/>
  <c r="L28" i="70"/>
  <c r="L35" i="70"/>
  <c r="L30" i="70"/>
  <c r="L37" i="70"/>
  <c r="L29" i="70"/>
  <c r="L31" i="70"/>
  <c r="L36" i="70"/>
  <c r="L32" i="70"/>
  <c r="L33" i="70"/>
  <c r="L34" i="70"/>
  <c r="M84" i="69"/>
  <c r="M86" i="69" s="1"/>
  <c r="M84" i="70"/>
  <c r="K83" i="68"/>
  <c r="M32" i="69"/>
  <c r="M31" i="69"/>
  <c r="K51" i="69"/>
  <c r="K47" i="69"/>
  <c r="L54" i="70"/>
  <c r="L49" i="70"/>
  <c r="L51" i="70"/>
  <c r="L48" i="70"/>
  <c r="L53" i="70"/>
  <c r="L47" i="70"/>
  <c r="L55" i="70"/>
  <c r="L52" i="70"/>
  <c r="L50" i="70"/>
  <c r="L56" i="70"/>
  <c r="L66" i="70"/>
  <c r="L69" i="70"/>
  <c r="L74" i="70"/>
  <c r="L68" i="70"/>
  <c r="L73" i="70"/>
  <c r="L70" i="70"/>
  <c r="L75" i="70"/>
  <c r="L67" i="70"/>
  <c r="L72" i="70"/>
  <c r="L71" i="70"/>
  <c r="M46" i="69"/>
  <c r="M55" i="69" s="1"/>
  <c r="M46" i="70"/>
  <c r="K84" i="69"/>
  <c r="K88" i="69" s="1"/>
  <c r="K84" i="70"/>
  <c r="C18" i="70"/>
  <c r="C9" i="70"/>
  <c r="C10" i="70"/>
  <c r="C14" i="70"/>
  <c r="C16" i="70"/>
  <c r="C11" i="70"/>
  <c r="C12" i="70"/>
  <c r="C13" i="70"/>
  <c r="C17" i="70"/>
  <c r="C15" i="70"/>
  <c r="D85" i="70"/>
  <c r="D94" i="70"/>
  <c r="D89" i="70"/>
  <c r="D91" i="70"/>
  <c r="D86" i="70"/>
  <c r="D93" i="70"/>
  <c r="D87" i="70"/>
  <c r="D88" i="70"/>
  <c r="D92" i="70"/>
  <c r="D90" i="70"/>
  <c r="C54" i="70"/>
  <c r="C47" i="70"/>
  <c r="C48" i="70"/>
  <c r="C52" i="70"/>
  <c r="C53" i="70"/>
  <c r="C50" i="70"/>
  <c r="C55" i="70"/>
  <c r="C49" i="70"/>
  <c r="C56" i="70"/>
  <c r="C51" i="70"/>
  <c r="E47" i="70"/>
  <c r="E55" i="70"/>
  <c r="E49" i="70"/>
  <c r="E56" i="70"/>
  <c r="E50" i="70"/>
  <c r="E54" i="70"/>
  <c r="E51" i="70"/>
  <c r="E53" i="70"/>
  <c r="E48" i="70"/>
  <c r="E52" i="70"/>
  <c r="E28" i="70"/>
  <c r="E37" i="70"/>
  <c r="E36" i="70"/>
  <c r="E35" i="70"/>
  <c r="E31" i="70"/>
  <c r="E34" i="70"/>
  <c r="E29" i="70"/>
  <c r="E33" i="70"/>
  <c r="E30" i="70"/>
  <c r="E32" i="70"/>
  <c r="D47" i="70"/>
  <c r="D49" i="70"/>
  <c r="D56" i="70"/>
  <c r="D55" i="70"/>
  <c r="D50" i="70"/>
  <c r="D51" i="70"/>
  <c r="D54" i="70"/>
  <c r="D48" i="70"/>
  <c r="D53" i="70"/>
  <c r="D52" i="70"/>
  <c r="U61" i="67"/>
  <c r="M103" i="69"/>
  <c r="M105" i="69" s="1"/>
  <c r="M103" i="70"/>
  <c r="K87" i="68"/>
  <c r="F111" i="70"/>
  <c r="F105" i="70"/>
  <c r="F107" i="70"/>
  <c r="F112" i="70"/>
  <c r="F110" i="70"/>
  <c r="F108" i="70"/>
  <c r="F113" i="70"/>
  <c r="F106" i="70"/>
  <c r="F104" i="70"/>
  <c r="F109" i="70"/>
  <c r="M33" i="69"/>
  <c r="M28" i="69"/>
  <c r="K53" i="69"/>
  <c r="F66" i="70"/>
  <c r="F74" i="70"/>
  <c r="F72" i="70"/>
  <c r="F69" i="70"/>
  <c r="F67" i="70"/>
  <c r="F75" i="70"/>
  <c r="F70" i="70"/>
  <c r="F73" i="70"/>
  <c r="F68" i="70"/>
  <c r="F71" i="70"/>
  <c r="J66" i="70"/>
  <c r="J69" i="70"/>
  <c r="J74" i="70"/>
  <c r="J73" i="70"/>
  <c r="J68" i="70"/>
  <c r="J70" i="70"/>
  <c r="J75" i="70"/>
  <c r="J67" i="70"/>
  <c r="J72" i="70"/>
  <c r="J71" i="70"/>
  <c r="F122" i="69"/>
  <c r="F122" i="70"/>
  <c r="D66" i="70"/>
  <c r="D69" i="70"/>
  <c r="D67" i="70"/>
  <c r="D74" i="70"/>
  <c r="D75" i="70"/>
  <c r="D68" i="70"/>
  <c r="D72" i="70"/>
  <c r="D73" i="70"/>
  <c r="D70" i="70"/>
  <c r="D71" i="70"/>
  <c r="U58" i="67"/>
  <c r="F47" i="70"/>
  <c r="F56" i="70"/>
  <c r="F48" i="70"/>
  <c r="F51" i="70"/>
  <c r="F55" i="70"/>
  <c r="F52" i="70"/>
  <c r="F50" i="70"/>
  <c r="F53" i="70"/>
  <c r="F54" i="70"/>
  <c r="F49" i="70"/>
  <c r="M35" i="69"/>
  <c r="K50" i="69"/>
  <c r="E123" i="70"/>
  <c r="E128" i="70"/>
  <c r="E132" i="70"/>
  <c r="E131" i="70"/>
  <c r="E124" i="70"/>
  <c r="E129" i="70"/>
  <c r="E127" i="70"/>
  <c r="E125" i="70"/>
  <c r="E130" i="70"/>
  <c r="E126" i="70"/>
  <c r="K15" i="70"/>
  <c r="K14" i="70"/>
  <c r="K11" i="70"/>
  <c r="K18" i="70"/>
  <c r="K16" i="70"/>
  <c r="K9" i="70"/>
  <c r="K12" i="70"/>
  <c r="K17" i="70"/>
  <c r="K10" i="70"/>
  <c r="K13" i="70"/>
  <c r="K28" i="70"/>
  <c r="K35" i="70"/>
  <c r="K30" i="70"/>
  <c r="K36" i="70"/>
  <c r="K31" i="70"/>
  <c r="K37" i="70"/>
  <c r="K32" i="70"/>
  <c r="K34" i="70"/>
  <c r="K29" i="70"/>
  <c r="K33" i="70"/>
  <c r="J127" i="70"/>
  <c r="J126" i="70"/>
  <c r="J132" i="70"/>
  <c r="J125" i="70"/>
  <c r="J123" i="70"/>
  <c r="J129" i="70"/>
  <c r="J128" i="70"/>
  <c r="J124" i="70"/>
  <c r="J130" i="70"/>
  <c r="J131" i="70"/>
  <c r="J85" i="70"/>
  <c r="J88" i="70"/>
  <c r="J92" i="70"/>
  <c r="J91" i="70"/>
  <c r="J86" i="70"/>
  <c r="J94" i="70"/>
  <c r="J89" i="70"/>
  <c r="J93" i="70"/>
  <c r="J87" i="70"/>
  <c r="J90" i="70"/>
  <c r="K76" i="68"/>
  <c r="M73" i="70"/>
  <c r="M72" i="70"/>
  <c r="M69" i="70"/>
  <c r="M67" i="70"/>
  <c r="M74" i="70"/>
  <c r="M70" i="70"/>
  <c r="M71" i="70"/>
  <c r="M75" i="70"/>
  <c r="M68" i="70"/>
  <c r="M66" i="70"/>
  <c r="F85" i="70"/>
  <c r="F94" i="70"/>
  <c r="F86" i="70"/>
  <c r="F92" i="70"/>
  <c r="F87" i="70"/>
  <c r="F91" i="70"/>
  <c r="F88" i="70"/>
  <c r="F89" i="70"/>
  <c r="F90" i="70"/>
  <c r="F93" i="70"/>
  <c r="O49" i="58"/>
  <c r="C65" i="69"/>
  <c r="I97" i="67"/>
  <c r="I50" i="58"/>
  <c r="C8" i="69"/>
  <c r="Q52" i="58"/>
  <c r="C84" i="69"/>
  <c r="S47" i="65"/>
  <c r="L103" i="69"/>
  <c r="I48" i="67"/>
  <c r="S47" i="64"/>
  <c r="E103" i="69"/>
  <c r="O70" i="64"/>
  <c r="U56" i="65"/>
  <c r="M49" i="64"/>
  <c r="E46" i="69"/>
  <c r="M110" i="69"/>
  <c r="I51" i="67"/>
  <c r="I68" i="68"/>
  <c r="Q52" i="59"/>
  <c r="J84" i="69"/>
  <c r="S66" i="61"/>
  <c r="O69" i="64"/>
  <c r="M89" i="69"/>
  <c r="M90" i="69"/>
  <c r="O51" i="64"/>
  <c r="E65" i="69"/>
  <c r="M48" i="58"/>
  <c r="C46" i="69"/>
  <c r="M48" i="61"/>
  <c r="D46" i="69"/>
  <c r="F16" i="69"/>
  <c r="F11" i="69"/>
  <c r="F17" i="69"/>
  <c r="E9" i="69"/>
  <c r="E15" i="69"/>
  <c r="E10" i="69"/>
  <c r="E16" i="69"/>
  <c r="E11" i="69"/>
  <c r="E17" i="69"/>
  <c r="E13" i="69"/>
  <c r="E12" i="69"/>
  <c r="E14" i="69"/>
  <c r="E18" i="69"/>
  <c r="S52" i="59"/>
  <c r="J103" i="69"/>
  <c r="M124" i="69"/>
  <c r="K51" i="61"/>
  <c r="D27" i="69"/>
  <c r="U50" i="65"/>
  <c r="L122" i="69"/>
  <c r="K51" i="64"/>
  <c r="E27" i="69"/>
  <c r="S93" i="67"/>
  <c r="M58" i="61"/>
  <c r="S92" i="67"/>
  <c r="O79" i="68"/>
  <c r="S47" i="67"/>
  <c r="F103" i="69"/>
  <c r="Q48" i="61"/>
  <c r="D84" i="69"/>
  <c r="K124" i="69"/>
  <c r="K125" i="69"/>
  <c r="K126" i="69"/>
  <c r="K131" i="69"/>
  <c r="K127" i="69"/>
  <c r="K132" i="69"/>
  <c r="K130" i="69"/>
  <c r="K128" i="69"/>
  <c r="K129" i="69"/>
  <c r="K123" i="69"/>
  <c r="K94" i="64"/>
  <c r="U51" i="61"/>
  <c r="D122" i="69"/>
  <c r="K47" i="59"/>
  <c r="J27" i="69"/>
  <c r="S95" i="67"/>
  <c r="K51" i="58"/>
  <c r="C27" i="69"/>
  <c r="O51" i="61"/>
  <c r="D65" i="69"/>
  <c r="S69" i="67"/>
  <c r="I52" i="67"/>
  <c r="Q52" i="64"/>
  <c r="E84" i="69"/>
  <c r="M47" i="59"/>
  <c r="J46" i="69"/>
  <c r="I48" i="65"/>
  <c r="L8" i="69"/>
  <c r="S67" i="67"/>
  <c r="I50" i="67"/>
  <c r="K48" i="65"/>
  <c r="L27" i="69"/>
  <c r="M48" i="67"/>
  <c r="F46" i="69"/>
  <c r="K91" i="69"/>
  <c r="K92" i="69"/>
  <c r="K86" i="69"/>
  <c r="U47" i="59"/>
  <c r="J122" i="69"/>
  <c r="I52" i="59"/>
  <c r="J8" i="69"/>
  <c r="I92" i="65"/>
  <c r="S66" i="67"/>
  <c r="I47" i="67"/>
  <c r="O48" i="68"/>
  <c r="M65" i="69"/>
  <c r="K110" i="69"/>
  <c r="U47" i="58"/>
  <c r="C122" i="69"/>
  <c r="I51" i="61"/>
  <c r="D8" i="69"/>
  <c r="I49" i="67"/>
  <c r="M47" i="69"/>
  <c r="M48" i="69"/>
  <c r="M50" i="69"/>
  <c r="M52" i="69"/>
  <c r="M54" i="69"/>
  <c r="K68" i="65"/>
  <c r="K84" i="67"/>
  <c r="K65" i="65"/>
  <c r="M76" i="67"/>
  <c r="O77" i="68"/>
  <c r="Q67" i="61"/>
  <c r="O76" i="68"/>
  <c r="Q69" i="61"/>
  <c r="I67" i="65"/>
  <c r="O75" i="68"/>
  <c r="S85" i="61"/>
  <c r="O68" i="68"/>
  <c r="I65" i="68"/>
  <c r="K67" i="67"/>
  <c r="M75" i="64"/>
  <c r="K65" i="67"/>
  <c r="K70" i="65"/>
  <c r="K85" i="67"/>
  <c r="M92" i="67"/>
  <c r="I60" i="58"/>
  <c r="M97" i="67"/>
  <c r="K70" i="61"/>
  <c r="O77" i="64"/>
  <c r="M60" i="67"/>
  <c r="M57" i="67"/>
  <c r="O75" i="64"/>
  <c r="M56" i="67"/>
  <c r="O95" i="68"/>
  <c r="I78" i="61"/>
  <c r="K68" i="62"/>
  <c r="M78" i="65"/>
  <c r="K83" i="64"/>
  <c r="M75" i="65"/>
  <c r="I97" i="65"/>
  <c r="M56" i="65"/>
  <c r="O88" i="68"/>
  <c r="S68" i="64"/>
  <c r="M88" i="64"/>
  <c r="I57" i="68"/>
  <c r="S65" i="64"/>
  <c r="K70" i="68"/>
  <c r="K93" i="61"/>
  <c r="K68" i="68"/>
  <c r="M95" i="67"/>
  <c r="U83" i="61"/>
  <c r="M93" i="67"/>
  <c r="K68" i="64"/>
  <c r="S79" i="64"/>
  <c r="K83" i="67"/>
  <c r="O69" i="68"/>
  <c r="S77" i="64"/>
  <c r="M86" i="67"/>
  <c r="S78" i="64"/>
  <c r="M78" i="67"/>
  <c r="K88" i="67"/>
  <c r="O66" i="68"/>
  <c r="U88" i="58"/>
  <c r="M75" i="67"/>
  <c r="K87" i="67"/>
  <c r="S92" i="65"/>
  <c r="M69" i="64"/>
  <c r="M79" i="65"/>
  <c r="I86" i="67"/>
  <c r="K47" i="61"/>
  <c r="M57" i="61"/>
  <c r="M85" i="64"/>
  <c r="K76" i="65"/>
  <c r="M76" i="65"/>
  <c r="I88" i="67"/>
  <c r="K66" i="64"/>
  <c r="I84" i="68"/>
  <c r="I86" i="68"/>
  <c r="I83" i="68"/>
  <c r="M85" i="67"/>
  <c r="M58" i="67"/>
  <c r="M94" i="67"/>
  <c r="K70" i="67"/>
  <c r="O49" i="68"/>
  <c r="I58" i="68"/>
  <c r="M49" i="67"/>
  <c r="K68" i="67"/>
  <c r="U87" i="58"/>
  <c r="M88" i="67"/>
  <c r="O51" i="68"/>
  <c r="U86" i="58"/>
  <c r="M83" i="67"/>
  <c r="S49" i="67"/>
  <c r="I69" i="67"/>
  <c r="M47" i="67"/>
  <c r="K69" i="67"/>
  <c r="O50" i="68"/>
  <c r="K57" i="61"/>
  <c r="I68" i="67"/>
  <c r="U57" i="58"/>
  <c r="K85" i="61"/>
  <c r="O57" i="64"/>
  <c r="M87" i="67"/>
  <c r="S52" i="67"/>
  <c r="I95" i="67"/>
  <c r="O47" i="68"/>
  <c r="U93" i="61"/>
  <c r="I92" i="67"/>
  <c r="O67" i="68"/>
  <c r="I78" i="58"/>
  <c r="S88" i="67"/>
  <c r="U92" i="61"/>
  <c r="Q76" i="61"/>
  <c r="S84" i="61"/>
  <c r="Q83" i="64"/>
  <c r="I49" i="65"/>
  <c r="I94" i="65"/>
  <c r="I70" i="67"/>
  <c r="I84" i="67"/>
  <c r="S84" i="67"/>
  <c r="K60" i="68"/>
  <c r="I67" i="68"/>
  <c r="Q84" i="64"/>
  <c r="K84" i="61"/>
  <c r="S58" i="65"/>
  <c r="I87" i="67"/>
  <c r="U97" i="61"/>
  <c r="S87" i="64"/>
  <c r="I93" i="65"/>
  <c r="I67" i="67"/>
  <c r="S86" i="67"/>
  <c r="K59" i="68"/>
  <c r="I70" i="68"/>
  <c r="K61" i="68"/>
  <c r="Q86" i="64"/>
  <c r="K58" i="68"/>
  <c r="U96" i="61"/>
  <c r="S85" i="64"/>
  <c r="I95" i="65"/>
  <c r="M77" i="67"/>
  <c r="I65" i="67"/>
  <c r="S83" i="67"/>
  <c r="K67" i="68"/>
  <c r="K56" i="68"/>
  <c r="I66" i="68"/>
  <c r="I92" i="68"/>
  <c r="I88" i="58"/>
  <c r="I75" i="61"/>
  <c r="I65" i="65"/>
  <c r="M74" i="67"/>
  <c r="K69" i="68"/>
  <c r="I95" i="68"/>
  <c r="I84" i="58"/>
  <c r="O68" i="64"/>
  <c r="K66" i="68"/>
  <c r="I88" i="68"/>
  <c r="M79" i="64"/>
  <c r="M86" i="64"/>
  <c r="S97" i="65"/>
  <c r="O65" i="68"/>
  <c r="S96" i="65"/>
  <c r="K69" i="65"/>
  <c r="I87" i="68"/>
  <c r="S51" i="67"/>
  <c r="O94" i="68"/>
  <c r="I75" i="68"/>
  <c r="Q48" i="64"/>
  <c r="I77" i="67"/>
  <c r="O93" i="68"/>
  <c r="I74" i="68"/>
  <c r="I50" i="61"/>
  <c r="I52" i="61"/>
  <c r="S79" i="61"/>
  <c r="K96" i="62"/>
  <c r="K78" i="65"/>
  <c r="K86" i="65"/>
  <c r="S48" i="67"/>
  <c r="K86" i="61"/>
  <c r="Q85" i="64"/>
  <c r="S50" i="67"/>
  <c r="I85" i="67"/>
  <c r="O97" i="68"/>
  <c r="I76" i="68"/>
  <c r="K88" i="61"/>
  <c r="Q87" i="64"/>
  <c r="U97" i="65"/>
  <c r="K96" i="65"/>
  <c r="I77" i="68"/>
  <c r="K50" i="65"/>
  <c r="K79" i="68"/>
  <c r="S76" i="61"/>
  <c r="K47" i="65"/>
  <c r="S74" i="61"/>
  <c r="U85" i="61"/>
  <c r="S94" i="64"/>
  <c r="K69" i="64"/>
  <c r="I52" i="65"/>
  <c r="M59" i="65"/>
  <c r="I96" i="68"/>
  <c r="K78" i="68"/>
  <c r="U84" i="58"/>
  <c r="I58" i="59"/>
  <c r="S78" i="61"/>
  <c r="U87" i="61"/>
  <c r="K60" i="61"/>
  <c r="K86" i="62"/>
  <c r="S96" i="64"/>
  <c r="O65" i="64"/>
  <c r="I50" i="65"/>
  <c r="K67" i="65"/>
  <c r="M61" i="65"/>
  <c r="O96" i="68"/>
  <c r="I60" i="68"/>
  <c r="I93" i="68"/>
  <c r="K77" i="68"/>
  <c r="S56" i="61"/>
  <c r="I97" i="68"/>
  <c r="K74" i="68"/>
  <c r="I57" i="59"/>
  <c r="U86" i="61"/>
  <c r="M50" i="61"/>
  <c r="I47" i="65"/>
  <c r="K93" i="65"/>
  <c r="M58" i="65"/>
  <c r="S58" i="61"/>
  <c r="K83" i="61"/>
  <c r="U84" i="61"/>
  <c r="O58" i="61"/>
  <c r="K59" i="61"/>
  <c r="Q47" i="64"/>
  <c r="K84" i="64"/>
  <c r="K95" i="65"/>
  <c r="I61" i="68"/>
  <c r="K93" i="68"/>
  <c r="K97" i="65"/>
  <c r="M52" i="67"/>
  <c r="I59" i="68"/>
  <c r="K94" i="68"/>
  <c r="M59" i="61"/>
  <c r="I70" i="61"/>
  <c r="U83" i="65"/>
  <c r="K88" i="65"/>
  <c r="M50" i="67"/>
  <c r="Q75" i="59"/>
  <c r="Q74" i="59"/>
  <c r="Q78" i="59"/>
  <c r="O61" i="64"/>
  <c r="I94" i="58"/>
  <c r="O60" i="64"/>
  <c r="O49" i="64"/>
  <c r="M51" i="67"/>
  <c r="I77" i="58"/>
  <c r="O79" i="64"/>
  <c r="O48" i="64"/>
  <c r="I85" i="65"/>
  <c r="O85" i="68"/>
  <c r="O84" i="68"/>
  <c r="O83" i="68"/>
  <c r="M66" i="61"/>
  <c r="M49" i="58"/>
  <c r="I74" i="67"/>
  <c r="O86" i="68"/>
  <c r="S77" i="61"/>
  <c r="K57" i="62"/>
  <c r="S92" i="64"/>
  <c r="I79" i="67"/>
  <c r="K94" i="62"/>
  <c r="K49" i="65"/>
  <c r="O93" i="58"/>
  <c r="U50" i="61"/>
  <c r="Q49" i="61"/>
  <c r="Q70" i="64"/>
  <c r="S70" i="64"/>
  <c r="O96" i="64"/>
  <c r="Q48" i="58"/>
  <c r="U47" i="61"/>
  <c r="K70" i="62"/>
  <c r="Q66" i="64"/>
  <c r="S67" i="64"/>
  <c r="M52" i="64"/>
  <c r="O94" i="64"/>
  <c r="K77" i="65"/>
  <c r="U48" i="61"/>
  <c r="M88" i="61"/>
  <c r="O52" i="61"/>
  <c r="O92" i="64"/>
  <c r="S59" i="61"/>
  <c r="O59" i="61"/>
  <c r="K67" i="62"/>
  <c r="S69" i="64"/>
  <c r="M51" i="64"/>
  <c r="K75" i="65"/>
  <c r="I78" i="67"/>
  <c r="I93" i="67"/>
  <c r="I95" i="58"/>
  <c r="I92" i="58"/>
  <c r="S57" i="61"/>
  <c r="O56" i="61"/>
  <c r="K66" i="62"/>
  <c r="M48" i="64"/>
  <c r="K79" i="65"/>
  <c r="I70" i="65"/>
  <c r="I75" i="67"/>
  <c r="I96" i="67"/>
  <c r="K65" i="62"/>
  <c r="I69" i="65"/>
  <c r="I66" i="65"/>
  <c r="I79" i="58"/>
  <c r="M69" i="61"/>
  <c r="Q68" i="61"/>
  <c r="M67" i="64"/>
  <c r="O59" i="64"/>
  <c r="K87" i="64"/>
  <c r="U79" i="65"/>
  <c r="I69" i="61"/>
  <c r="U74" i="65"/>
  <c r="M66" i="64"/>
  <c r="U76" i="65"/>
  <c r="U83" i="58"/>
  <c r="O58" i="58"/>
  <c r="S93" i="61"/>
  <c r="M60" i="61"/>
  <c r="K61" i="61"/>
  <c r="S88" i="61"/>
  <c r="O56" i="64"/>
  <c r="S57" i="65"/>
  <c r="U75" i="65"/>
  <c r="S92" i="61"/>
  <c r="S95" i="61"/>
  <c r="K58" i="61"/>
  <c r="S96" i="61"/>
  <c r="S87" i="61"/>
  <c r="M56" i="61"/>
  <c r="M85" i="61"/>
  <c r="I79" i="61"/>
  <c r="S86" i="61"/>
  <c r="M87" i="64"/>
  <c r="O47" i="64"/>
  <c r="I51" i="65"/>
  <c r="U59" i="58"/>
  <c r="M83" i="61"/>
  <c r="I76" i="61"/>
  <c r="S75" i="64"/>
  <c r="M84" i="64"/>
  <c r="M84" i="61"/>
  <c r="O49" i="61"/>
  <c r="K75" i="62"/>
  <c r="O95" i="64"/>
  <c r="U68" i="61"/>
  <c r="M87" i="61"/>
  <c r="O48" i="61"/>
  <c r="K74" i="62"/>
  <c r="O93" i="64"/>
  <c r="U51" i="65"/>
  <c r="U65" i="61"/>
  <c r="O50" i="61"/>
  <c r="K97" i="62"/>
  <c r="S76" i="64"/>
  <c r="M59" i="64"/>
  <c r="K70" i="64"/>
  <c r="S52" i="65"/>
  <c r="U97" i="68"/>
  <c r="U96" i="68"/>
  <c r="U92" i="68"/>
  <c r="U93" i="68"/>
  <c r="U94" i="68"/>
  <c r="U95" i="68"/>
  <c r="M92" i="68"/>
  <c r="M95" i="68"/>
  <c r="M93" i="68"/>
  <c r="M96" i="68"/>
  <c r="M94" i="68"/>
  <c r="M97" i="68"/>
  <c r="M74" i="68"/>
  <c r="M77" i="68"/>
  <c r="M75" i="68"/>
  <c r="M78" i="68"/>
  <c r="M76" i="68"/>
  <c r="M79" i="68"/>
  <c r="U61" i="68"/>
  <c r="U57" i="68"/>
  <c r="U60" i="68"/>
  <c r="U58" i="68"/>
  <c r="U59" i="68"/>
  <c r="U56" i="68"/>
  <c r="M48" i="68"/>
  <c r="M51" i="68"/>
  <c r="M47" i="68"/>
  <c r="M50" i="68"/>
  <c r="M52" i="68"/>
  <c r="M49" i="68"/>
  <c r="Q66" i="68"/>
  <c r="Q69" i="68"/>
  <c r="Q70" i="68"/>
  <c r="Q65" i="68"/>
  <c r="Q68" i="68"/>
  <c r="Q67" i="68"/>
  <c r="U79" i="68"/>
  <c r="U78" i="68"/>
  <c r="U75" i="68"/>
  <c r="U76" i="68"/>
  <c r="U77" i="68"/>
  <c r="U74" i="68"/>
  <c r="M56" i="68"/>
  <c r="M59" i="68"/>
  <c r="M57" i="68"/>
  <c r="M60" i="68"/>
  <c r="M58" i="68"/>
  <c r="M61" i="68"/>
  <c r="S66" i="68"/>
  <c r="S69" i="68"/>
  <c r="S67" i="68"/>
  <c r="S70" i="68"/>
  <c r="S65" i="68"/>
  <c r="S68" i="68"/>
  <c r="Q51" i="68"/>
  <c r="Q47" i="68"/>
  <c r="Q50" i="68"/>
  <c r="Q48" i="68"/>
  <c r="Q49" i="68"/>
  <c r="Q52" i="68"/>
  <c r="S48" i="68"/>
  <c r="S51" i="68"/>
  <c r="S52" i="68"/>
  <c r="S47" i="68"/>
  <c r="S50" i="68"/>
  <c r="S49" i="68"/>
  <c r="Q84" i="68"/>
  <c r="Q87" i="68"/>
  <c r="Q88" i="68"/>
  <c r="Q83" i="68"/>
  <c r="Q86" i="68"/>
  <c r="Q85" i="68"/>
  <c r="S84" i="68"/>
  <c r="S87" i="68"/>
  <c r="S85" i="68"/>
  <c r="S88" i="68"/>
  <c r="S83" i="68"/>
  <c r="S86" i="68"/>
  <c r="Q94" i="68"/>
  <c r="Q97" i="68"/>
  <c r="Q93" i="68"/>
  <c r="Q96" i="68"/>
  <c r="Q92" i="68"/>
  <c r="Q95" i="68"/>
  <c r="S94" i="68"/>
  <c r="S93" i="68"/>
  <c r="S92" i="68"/>
  <c r="S95" i="68"/>
  <c r="S96" i="68"/>
  <c r="S97" i="68"/>
  <c r="Q76" i="68"/>
  <c r="Q79" i="68"/>
  <c r="Q75" i="68"/>
  <c r="Q78" i="68"/>
  <c r="Q74" i="68"/>
  <c r="Q77" i="68"/>
  <c r="S76" i="68"/>
  <c r="S75" i="68"/>
  <c r="S74" i="68"/>
  <c r="S77" i="68"/>
  <c r="S78" i="68"/>
  <c r="S79" i="68"/>
  <c r="Q58" i="68"/>
  <c r="Q61" i="68"/>
  <c r="Q57" i="68"/>
  <c r="Q60" i="68"/>
  <c r="Q59" i="68"/>
  <c r="Q56" i="68"/>
  <c r="S58" i="68"/>
  <c r="S57" i="68"/>
  <c r="S60" i="68"/>
  <c r="S61" i="68"/>
  <c r="S59" i="68"/>
  <c r="S56" i="68"/>
  <c r="U66" i="68"/>
  <c r="U67" i="68"/>
  <c r="U70" i="68"/>
  <c r="U65" i="68"/>
  <c r="U68" i="68"/>
  <c r="U69" i="68"/>
  <c r="U84" i="68"/>
  <c r="U85" i="68"/>
  <c r="U88" i="68"/>
  <c r="U83" i="68"/>
  <c r="U86" i="68"/>
  <c r="U87" i="68"/>
  <c r="M84" i="68"/>
  <c r="M83" i="68"/>
  <c r="M85" i="68"/>
  <c r="M86" i="68"/>
  <c r="M87" i="68"/>
  <c r="M88" i="68"/>
  <c r="U48" i="68"/>
  <c r="U51" i="68"/>
  <c r="U49" i="68"/>
  <c r="U52" i="68"/>
  <c r="U47" i="68"/>
  <c r="U50" i="68"/>
  <c r="M66" i="68"/>
  <c r="M65" i="68"/>
  <c r="M69" i="68"/>
  <c r="M70" i="68"/>
  <c r="M67" i="68"/>
  <c r="M68" i="68"/>
  <c r="Q52" i="61"/>
  <c r="O95" i="61"/>
  <c r="S83" i="65"/>
  <c r="Q51" i="61"/>
  <c r="S69" i="61"/>
  <c r="K85" i="62"/>
  <c r="K61" i="62"/>
  <c r="S83" i="64"/>
  <c r="K50" i="64"/>
  <c r="I86" i="65"/>
  <c r="S85" i="65"/>
  <c r="K52" i="65"/>
  <c r="K83" i="65"/>
  <c r="Q50" i="61"/>
  <c r="S68" i="61"/>
  <c r="K87" i="62"/>
  <c r="K58" i="62"/>
  <c r="M57" i="64"/>
  <c r="I83" i="65"/>
  <c r="S48" i="65"/>
  <c r="U87" i="65"/>
  <c r="K51" i="65"/>
  <c r="M65" i="61"/>
  <c r="Q47" i="61"/>
  <c r="S65" i="61"/>
  <c r="K84" i="62"/>
  <c r="K77" i="62"/>
  <c r="Q50" i="64"/>
  <c r="M60" i="64"/>
  <c r="U61" i="65"/>
  <c r="S50" i="65"/>
  <c r="U86" i="65"/>
  <c r="S49" i="64"/>
  <c r="U59" i="65"/>
  <c r="U93" i="65"/>
  <c r="M68" i="61"/>
  <c r="M47" i="61"/>
  <c r="K76" i="62"/>
  <c r="Q96" i="64"/>
  <c r="S52" i="64"/>
  <c r="M58" i="64"/>
  <c r="U60" i="65"/>
  <c r="U92" i="65"/>
  <c r="S97" i="61"/>
  <c r="M70" i="61"/>
  <c r="M52" i="61"/>
  <c r="I77" i="61"/>
  <c r="K78" i="62"/>
  <c r="Q95" i="64"/>
  <c r="S51" i="64"/>
  <c r="S95" i="65"/>
  <c r="U95" i="65"/>
  <c r="Q49" i="58"/>
  <c r="Q56" i="58"/>
  <c r="I60" i="59"/>
  <c r="O57" i="61"/>
  <c r="O47" i="61"/>
  <c r="K93" i="62"/>
  <c r="S48" i="64"/>
  <c r="K78" i="64"/>
  <c r="K67" i="64"/>
  <c r="S94" i="65"/>
  <c r="U94" i="65"/>
  <c r="S50" i="64"/>
  <c r="K96" i="64"/>
  <c r="Q65" i="61"/>
  <c r="M86" i="65"/>
  <c r="U48" i="65"/>
  <c r="M85" i="65"/>
  <c r="S87" i="65"/>
  <c r="U47" i="65"/>
  <c r="M52" i="58"/>
  <c r="S61" i="61"/>
  <c r="I67" i="61"/>
  <c r="S70" i="61"/>
  <c r="S88" i="64"/>
  <c r="I88" i="65"/>
  <c r="S84" i="65"/>
  <c r="U52" i="65"/>
  <c r="K85" i="65"/>
  <c r="M51" i="58"/>
  <c r="I66" i="61"/>
  <c r="K56" i="62"/>
  <c r="S86" i="65"/>
  <c r="U49" i="65"/>
  <c r="K83" i="62"/>
  <c r="U69" i="58"/>
  <c r="S79" i="65"/>
  <c r="M84" i="58"/>
  <c r="Q94" i="64"/>
  <c r="M76" i="64"/>
  <c r="M47" i="64"/>
  <c r="K49" i="64"/>
  <c r="K88" i="64"/>
  <c r="M88" i="65"/>
  <c r="S59" i="65"/>
  <c r="S78" i="65"/>
  <c r="M86" i="58"/>
  <c r="I76" i="58"/>
  <c r="M95" i="61"/>
  <c r="Q86" i="61"/>
  <c r="I56" i="61"/>
  <c r="K92" i="62"/>
  <c r="Q93" i="64"/>
  <c r="Q49" i="64"/>
  <c r="M50" i="64"/>
  <c r="K47" i="64"/>
  <c r="K86" i="64"/>
  <c r="Q75" i="64"/>
  <c r="M84" i="65"/>
  <c r="S56" i="65"/>
  <c r="S75" i="65"/>
  <c r="Q76" i="58"/>
  <c r="M87" i="58"/>
  <c r="Q84" i="61"/>
  <c r="M96" i="61"/>
  <c r="Q87" i="61"/>
  <c r="I59" i="61"/>
  <c r="M85" i="58"/>
  <c r="K87" i="58"/>
  <c r="I56" i="58"/>
  <c r="M97" i="61"/>
  <c r="Q83" i="61"/>
  <c r="O66" i="61"/>
  <c r="Q92" i="64"/>
  <c r="Q51" i="64"/>
  <c r="K48" i="64"/>
  <c r="M87" i="65"/>
  <c r="S60" i="65"/>
  <c r="U58" i="65"/>
  <c r="M94" i="61"/>
  <c r="O68" i="61"/>
  <c r="M67" i="65"/>
  <c r="Q67" i="58"/>
  <c r="O65" i="61"/>
  <c r="M69" i="65"/>
  <c r="I59" i="59"/>
  <c r="Q79" i="61"/>
  <c r="O67" i="61"/>
  <c r="M65" i="65"/>
  <c r="M50" i="58"/>
  <c r="I56" i="59"/>
  <c r="Q74" i="61"/>
  <c r="I96" i="61"/>
  <c r="K93" i="64"/>
  <c r="S49" i="65"/>
  <c r="M95" i="65"/>
  <c r="M47" i="58"/>
  <c r="Q76" i="59"/>
  <c r="Q70" i="61"/>
  <c r="K95" i="64"/>
  <c r="S51" i="65"/>
  <c r="M92" i="65"/>
  <c r="M97" i="65"/>
  <c r="K59" i="62"/>
  <c r="U84" i="65"/>
  <c r="M94" i="65"/>
  <c r="M96" i="65"/>
  <c r="M49" i="61"/>
  <c r="Q65" i="64"/>
  <c r="K75" i="64"/>
  <c r="U85" i="65"/>
  <c r="Q68" i="64"/>
  <c r="M51" i="61"/>
  <c r="K77" i="64"/>
  <c r="I49" i="61"/>
  <c r="I96" i="58"/>
  <c r="K75" i="59"/>
  <c r="S87" i="59"/>
  <c r="K74" i="59"/>
  <c r="K74" i="64"/>
  <c r="S77" i="65"/>
  <c r="O95" i="58"/>
  <c r="I75" i="58"/>
  <c r="Q85" i="61"/>
  <c r="O96" i="61"/>
  <c r="M77" i="64"/>
  <c r="K79" i="64"/>
  <c r="K52" i="64"/>
  <c r="S74" i="65"/>
  <c r="U77" i="65"/>
  <c r="O92" i="58"/>
  <c r="U70" i="58"/>
  <c r="O93" i="61"/>
  <c r="Q97" i="59"/>
  <c r="I93" i="61"/>
  <c r="I48" i="61"/>
  <c r="U61" i="58"/>
  <c r="I86" i="58"/>
  <c r="M77" i="58"/>
  <c r="I48" i="59"/>
  <c r="Q74" i="64"/>
  <c r="U49" i="61"/>
  <c r="O75" i="61"/>
  <c r="Q78" i="64"/>
  <c r="U56" i="58"/>
  <c r="I85" i="58"/>
  <c r="I47" i="59"/>
  <c r="U52" i="61"/>
  <c r="U77" i="61"/>
  <c r="M93" i="61"/>
  <c r="O78" i="61"/>
  <c r="Q77" i="64"/>
  <c r="Q94" i="59"/>
  <c r="I57" i="58"/>
  <c r="K52" i="58"/>
  <c r="M92" i="58"/>
  <c r="I97" i="59"/>
  <c r="U78" i="61"/>
  <c r="K49" i="58"/>
  <c r="U58" i="58"/>
  <c r="I83" i="58"/>
  <c r="S70" i="59"/>
  <c r="I94" i="59"/>
  <c r="I50" i="59"/>
  <c r="U75" i="61"/>
  <c r="I93" i="58"/>
  <c r="S67" i="59"/>
  <c r="O77" i="61"/>
  <c r="I60" i="61"/>
  <c r="Q76" i="64"/>
  <c r="O79" i="61"/>
  <c r="O76" i="61"/>
  <c r="I61" i="61"/>
  <c r="M83" i="58"/>
  <c r="K88" i="58"/>
  <c r="O59" i="58"/>
  <c r="O88" i="58"/>
  <c r="Q60" i="58"/>
  <c r="Q78" i="61"/>
  <c r="I68" i="61"/>
  <c r="I58" i="61"/>
  <c r="Q67" i="64"/>
  <c r="O61" i="58"/>
  <c r="Q61" i="58"/>
  <c r="Q75" i="61"/>
  <c r="M70" i="65"/>
  <c r="O60" i="58"/>
  <c r="Q57" i="58"/>
  <c r="O57" i="58"/>
  <c r="Q58" i="58"/>
  <c r="O60" i="61"/>
  <c r="O70" i="61"/>
  <c r="M68" i="65"/>
  <c r="I47" i="61"/>
  <c r="U68" i="58"/>
  <c r="I61" i="58"/>
  <c r="Q51" i="58"/>
  <c r="Q96" i="59"/>
  <c r="O92" i="61"/>
  <c r="I95" i="61"/>
  <c r="K50" i="58"/>
  <c r="U67" i="58"/>
  <c r="Q50" i="58"/>
  <c r="Q93" i="59"/>
  <c r="U74" i="61"/>
  <c r="O97" i="61"/>
  <c r="I92" i="61"/>
  <c r="K48" i="58"/>
  <c r="U65" i="58"/>
  <c r="Q47" i="58"/>
  <c r="M96" i="58"/>
  <c r="Q84" i="58"/>
  <c r="K77" i="59"/>
  <c r="I77" i="59"/>
  <c r="I49" i="59"/>
  <c r="U79" i="61"/>
  <c r="I97" i="61"/>
  <c r="K47" i="58"/>
  <c r="M95" i="58"/>
  <c r="M79" i="58"/>
  <c r="K76" i="59"/>
  <c r="I96" i="59"/>
  <c r="I51" i="59"/>
  <c r="Q60" i="61"/>
  <c r="O47" i="58"/>
  <c r="Q66" i="58"/>
  <c r="Q57" i="61"/>
  <c r="O51" i="58"/>
  <c r="Q75" i="58"/>
  <c r="Q68" i="58"/>
  <c r="Q56" i="61"/>
  <c r="O48" i="58"/>
  <c r="Q78" i="58"/>
  <c r="Q65" i="58"/>
  <c r="K79" i="59"/>
  <c r="I78" i="59"/>
  <c r="Q61" i="61"/>
  <c r="O52" i="58"/>
  <c r="Q77" i="58"/>
  <c r="Q70" i="58"/>
  <c r="I75" i="59"/>
  <c r="Q58" i="61"/>
  <c r="O50" i="58"/>
  <c r="Q79" i="58"/>
  <c r="M93" i="58"/>
  <c r="Q85" i="58"/>
  <c r="I74" i="59"/>
  <c r="U83" i="59"/>
  <c r="Q86" i="58"/>
  <c r="S84" i="59"/>
  <c r="I79" i="59"/>
  <c r="Q83" i="58"/>
  <c r="S83" i="59"/>
  <c r="K97" i="59"/>
  <c r="U70" i="61"/>
  <c r="Q88" i="58"/>
  <c r="S86" i="59"/>
  <c r="K96" i="59"/>
  <c r="I93" i="59"/>
  <c r="U67" i="61"/>
  <c r="S88" i="59"/>
  <c r="U66" i="59"/>
  <c r="I95" i="59"/>
  <c r="U69" i="61"/>
  <c r="M78" i="58"/>
  <c r="U86" i="59"/>
  <c r="M78" i="59"/>
  <c r="M58" i="58"/>
  <c r="U94" i="59"/>
  <c r="O97" i="58"/>
  <c r="U96" i="59"/>
  <c r="U88" i="59"/>
  <c r="K50" i="59"/>
  <c r="O69" i="58"/>
  <c r="I49" i="58"/>
  <c r="O68" i="58"/>
  <c r="U97" i="58"/>
  <c r="M59" i="58"/>
  <c r="U95" i="59"/>
  <c r="O65" i="58"/>
  <c r="U94" i="58"/>
  <c r="M56" i="58"/>
  <c r="O94" i="58"/>
  <c r="U95" i="58"/>
  <c r="U85" i="59"/>
  <c r="M77" i="59"/>
  <c r="K57" i="58"/>
  <c r="M74" i="58"/>
  <c r="Q95" i="59"/>
  <c r="Q61" i="59"/>
  <c r="I52" i="58"/>
  <c r="O67" i="58"/>
  <c r="I51" i="58"/>
  <c r="M60" i="58"/>
  <c r="O70" i="58"/>
  <c r="I47" i="58"/>
  <c r="M57" i="58"/>
  <c r="M97" i="58"/>
  <c r="U87" i="59"/>
  <c r="K84" i="58"/>
  <c r="I48" i="58"/>
  <c r="U92" i="59"/>
  <c r="Q47" i="59"/>
  <c r="U48" i="58"/>
  <c r="O85" i="58"/>
  <c r="U52" i="59"/>
  <c r="K52" i="59"/>
  <c r="M84" i="59"/>
  <c r="U51" i="58"/>
  <c r="U50" i="59"/>
  <c r="O87" i="58"/>
  <c r="M75" i="58"/>
  <c r="U49" i="59"/>
  <c r="K49" i="59"/>
  <c r="M83" i="59"/>
  <c r="M75" i="59"/>
  <c r="U75" i="59"/>
  <c r="M70" i="59"/>
  <c r="U74" i="59"/>
  <c r="M85" i="59"/>
  <c r="O84" i="58"/>
  <c r="K94" i="59"/>
  <c r="K51" i="59"/>
  <c r="U92" i="58"/>
  <c r="Q51" i="59"/>
  <c r="U96" i="58"/>
  <c r="Q58" i="59"/>
  <c r="U93" i="59"/>
  <c r="Q49" i="59"/>
  <c r="S68" i="59"/>
  <c r="Q50" i="59"/>
  <c r="U52" i="58"/>
  <c r="U79" i="59"/>
  <c r="M65" i="59"/>
  <c r="S49" i="59"/>
  <c r="U77" i="59"/>
  <c r="M67" i="59"/>
  <c r="M66" i="59"/>
  <c r="U49" i="58"/>
  <c r="U76" i="59"/>
  <c r="S48" i="59"/>
  <c r="U50" i="58"/>
  <c r="U48" i="59"/>
  <c r="M86" i="59"/>
  <c r="S50" i="59"/>
  <c r="M93" i="59"/>
  <c r="U51" i="59"/>
  <c r="M88" i="59"/>
  <c r="M74" i="59"/>
  <c r="U67" i="62"/>
  <c r="U70" i="62"/>
  <c r="U65" i="62"/>
  <c r="U68" i="62"/>
  <c r="U69" i="62"/>
  <c r="U66" i="62"/>
  <c r="Q47" i="62"/>
  <c r="Q50" i="62"/>
  <c r="Q49" i="62"/>
  <c r="Q51" i="62"/>
  <c r="Q52" i="62"/>
  <c r="Q48" i="62"/>
  <c r="Q70" i="62"/>
  <c r="Q65" i="62"/>
  <c r="Q68" i="62"/>
  <c r="Q66" i="62"/>
  <c r="Q67" i="62"/>
  <c r="Q69" i="62"/>
  <c r="U75" i="62"/>
  <c r="U78" i="62"/>
  <c r="U79" i="62"/>
  <c r="U76" i="62"/>
  <c r="U74" i="62"/>
  <c r="U77" i="62"/>
  <c r="U57" i="62"/>
  <c r="U60" i="62"/>
  <c r="U56" i="62"/>
  <c r="U58" i="62"/>
  <c r="U59" i="62"/>
  <c r="U61" i="62"/>
  <c r="S75" i="62"/>
  <c r="S78" i="62"/>
  <c r="S76" i="62"/>
  <c r="S74" i="62"/>
  <c r="S77" i="62"/>
  <c r="S79" i="62"/>
  <c r="S57" i="62"/>
  <c r="S58" i="62"/>
  <c r="S60" i="62"/>
  <c r="S56" i="62"/>
  <c r="S59" i="62"/>
  <c r="S61" i="62"/>
  <c r="Q88" i="62"/>
  <c r="Q83" i="62"/>
  <c r="Q86" i="62"/>
  <c r="Q87" i="62"/>
  <c r="Q84" i="62"/>
  <c r="Q85" i="62"/>
  <c r="U93" i="62"/>
  <c r="U96" i="62"/>
  <c r="U95" i="62"/>
  <c r="U97" i="62"/>
  <c r="U92" i="62"/>
  <c r="U94" i="62"/>
  <c r="S52" i="62"/>
  <c r="S50" i="62"/>
  <c r="S47" i="62"/>
  <c r="S49" i="62"/>
  <c r="S51" i="62"/>
  <c r="S48" i="62"/>
  <c r="S85" i="62"/>
  <c r="S88" i="62"/>
  <c r="S83" i="62"/>
  <c r="S86" i="62"/>
  <c r="S87" i="62"/>
  <c r="S84" i="62"/>
  <c r="S67" i="62"/>
  <c r="S70" i="62"/>
  <c r="S65" i="62"/>
  <c r="S68" i="62"/>
  <c r="S66" i="62"/>
  <c r="S69" i="62"/>
  <c r="S93" i="62"/>
  <c r="S96" i="62"/>
  <c r="S95" i="62"/>
  <c r="S97" i="62"/>
  <c r="S92" i="62"/>
  <c r="S94" i="62"/>
  <c r="Q93" i="62"/>
  <c r="Q96" i="62"/>
  <c r="Q94" i="62"/>
  <c r="Q95" i="62"/>
  <c r="Q97" i="62"/>
  <c r="Q92" i="62"/>
  <c r="Q57" i="62"/>
  <c r="Q60" i="62"/>
  <c r="Q58" i="62"/>
  <c r="Q61" i="62"/>
  <c r="Q56" i="62"/>
  <c r="Q59" i="62"/>
  <c r="U49" i="62"/>
  <c r="U52" i="62"/>
  <c r="U47" i="62"/>
  <c r="U50" i="62"/>
  <c r="U51" i="62"/>
  <c r="U48" i="62"/>
  <c r="Q75" i="62"/>
  <c r="Q78" i="62"/>
  <c r="Q79" i="62"/>
  <c r="Q76" i="62"/>
  <c r="Q74" i="62"/>
  <c r="Q77" i="62"/>
  <c r="U85" i="62"/>
  <c r="U88" i="62"/>
  <c r="U86" i="62"/>
  <c r="U83" i="62"/>
  <c r="U87" i="62"/>
  <c r="U84" i="62"/>
  <c r="K56" i="58"/>
  <c r="Q87" i="59"/>
  <c r="O86" i="58"/>
  <c r="Q77" i="59"/>
  <c r="Q85" i="59"/>
  <c r="K85" i="58"/>
  <c r="K60" i="58"/>
  <c r="Q84" i="59"/>
  <c r="Q56" i="59"/>
  <c r="Q48" i="59"/>
  <c r="Q59" i="59"/>
  <c r="S93" i="59"/>
  <c r="S51" i="59"/>
  <c r="Q60" i="59"/>
  <c r="U69" i="59"/>
  <c r="K48" i="59"/>
  <c r="U68" i="59"/>
  <c r="M52" i="59"/>
  <c r="U65" i="59"/>
  <c r="U70" i="59"/>
  <c r="K93" i="58"/>
  <c r="M48" i="59"/>
  <c r="K95" i="59"/>
  <c r="M49" i="59"/>
  <c r="M51" i="59"/>
  <c r="K86" i="58"/>
  <c r="M50" i="59"/>
  <c r="K93" i="59"/>
  <c r="K88" i="59"/>
  <c r="I83" i="59"/>
  <c r="K86" i="59"/>
  <c r="S78" i="59"/>
  <c r="K69" i="59"/>
  <c r="K66" i="59"/>
  <c r="K83" i="59"/>
  <c r="I85" i="59"/>
  <c r="S74" i="59"/>
  <c r="K76" i="58"/>
  <c r="I88" i="59"/>
  <c r="K68" i="59"/>
  <c r="I87" i="59"/>
  <c r="K74" i="58"/>
  <c r="S76" i="59"/>
  <c r="K65" i="59"/>
  <c r="I84" i="59"/>
  <c r="K78" i="58"/>
  <c r="K92" i="58"/>
  <c r="K96" i="58"/>
  <c r="S47" i="59"/>
  <c r="K97" i="58"/>
  <c r="S95" i="59"/>
  <c r="S92" i="59"/>
  <c r="S66" i="59"/>
  <c r="S94" i="59"/>
  <c r="S69" i="59"/>
  <c r="S97" i="59"/>
  <c r="M97" i="59"/>
  <c r="K79" i="58"/>
  <c r="Q86" i="59"/>
  <c r="K94" i="58"/>
  <c r="Q88" i="59"/>
  <c r="K87" i="59"/>
  <c r="S75" i="59"/>
  <c r="K58" i="58"/>
  <c r="K67" i="59"/>
  <c r="K85" i="59"/>
  <c r="M69" i="59"/>
  <c r="M79" i="59"/>
  <c r="S79" i="59"/>
  <c r="K75" i="58"/>
  <c r="K61" i="58"/>
  <c r="M94" i="59"/>
  <c r="M96" i="59"/>
  <c r="M95" i="59"/>
  <c r="M125" i="69" l="1"/>
  <c r="M93" i="69"/>
  <c r="M129" i="69"/>
  <c r="M91" i="69"/>
  <c r="M132" i="69"/>
  <c r="M128" i="69"/>
  <c r="M87" i="69"/>
  <c r="M85" i="69"/>
  <c r="M131" i="69"/>
  <c r="M123" i="69"/>
  <c r="M92" i="69"/>
  <c r="M127" i="69"/>
  <c r="M88" i="69"/>
  <c r="M126" i="69"/>
  <c r="M94" i="69"/>
  <c r="M109" i="69"/>
  <c r="M113" i="69"/>
  <c r="M108" i="69"/>
  <c r="M104" i="69"/>
  <c r="M111" i="69"/>
  <c r="K108" i="69"/>
  <c r="F10" i="69"/>
  <c r="M106" i="69"/>
  <c r="M112" i="69"/>
  <c r="M56" i="69"/>
  <c r="K109" i="69"/>
  <c r="K107" i="69"/>
  <c r="M107" i="69"/>
  <c r="K106" i="69"/>
  <c r="K104" i="69"/>
  <c r="K105" i="69"/>
  <c r="K113" i="69"/>
  <c r="K112" i="69"/>
  <c r="F34" i="69"/>
  <c r="F37" i="69"/>
  <c r="F30" i="69"/>
  <c r="F33" i="69"/>
  <c r="F32" i="69"/>
  <c r="F36" i="69"/>
  <c r="F35" i="69"/>
  <c r="F28" i="69"/>
  <c r="F29" i="69"/>
  <c r="F31" i="69"/>
  <c r="M49" i="69"/>
  <c r="K90" i="69"/>
  <c r="K89" i="69"/>
  <c r="F14" i="69"/>
  <c r="F15" i="69"/>
  <c r="F125" i="70"/>
  <c r="F130" i="70"/>
  <c r="F128" i="70"/>
  <c r="F126" i="70"/>
  <c r="F131" i="70"/>
  <c r="F127" i="70"/>
  <c r="F129" i="70"/>
  <c r="F123" i="70"/>
  <c r="F132" i="70"/>
  <c r="F124" i="70"/>
  <c r="M87" i="70"/>
  <c r="M86" i="70"/>
  <c r="M85" i="70"/>
  <c r="M92" i="70"/>
  <c r="M90" i="70"/>
  <c r="M94" i="70"/>
  <c r="M88" i="70"/>
  <c r="M93" i="70"/>
  <c r="M89" i="70"/>
  <c r="M91" i="70"/>
  <c r="M126" i="70"/>
  <c r="M131" i="70"/>
  <c r="M123" i="70"/>
  <c r="M132" i="70"/>
  <c r="M129" i="70"/>
  <c r="M128" i="70"/>
  <c r="M124" i="70"/>
  <c r="M127" i="70"/>
  <c r="M125" i="70"/>
  <c r="M130" i="70"/>
  <c r="K104" i="70"/>
  <c r="K113" i="70"/>
  <c r="K105" i="70"/>
  <c r="K109" i="70"/>
  <c r="K110" i="70"/>
  <c r="K112" i="70"/>
  <c r="K106" i="70"/>
  <c r="K111" i="70"/>
  <c r="K107" i="70"/>
  <c r="K108" i="70"/>
  <c r="M53" i="69"/>
  <c r="K94" i="69"/>
  <c r="K85" i="69"/>
  <c r="F18" i="69"/>
  <c r="F9" i="69"/>
  <c r="F131" i="69"/>
  <c r="F132" i="69"/>
  <c r="F123" i="69"/>
  <c r="F127" i="69"/>
  <c r="F124" i="69"/>
  <c r="F128" i="69"/>
  <c r="F126" i="69"/>
  <c r="F129" i="69"/>
  <c r="F125" i="69"/>
  <c r="F130" i="69"/>
  <c r="K124" i="70"/>
  <c r="K123" i="70"/>
  <c r="K127" i="70"/>
  <c r="K129" i="70"/>
  <c r="K125" i="70"/>
  <c r="K130" i="70"/>
  <c r="K126" i="70"/>
  <c r="K131" i="70"/>
  <c r="K128" i="70"/>
  <c r="K132" i="70"/>
  <c r="M51" i="69"/>
  <c r="K87" i="69"/>
  <c r="F12" i="69"/>
  <c r="K93" i="69"/>
  <c r="K85" i="70"/>
  <c r="K94" i="70"/>
  <c r="K88" i="70"/>
  <c r="K87" i="70"/>
  <c r="K92" i="70"/>
  <c r="K91" i="70"/>
  <c r="K86" i="70"/>
  <c r="K89" i="70"/>
  <c r="K93" i="70"/>
  <c r="K90" i="70"/>
  <c r="M111" i="70"/>
  <c r="M110" i="70"/>
  <c r="M107" i="70"/>
  <c r="M105" i="70"/>
  <c r="M109" i="70"/>
  <c r="M112" i="70"/>
  <c r="M113" i="70"/>
  <c r="M104" i="70"/>
  <c r="M108" i="70"/>
  <c r="M106" i="70"/>
  <c r="M55" i="70"/>
  <c r="M51" i="70"/>
  <c r="M49" i="70"/>
  <c r="M54" i="70"/>
  <c r="M52" i="70"/>
  <c r="M56" i="70"/>
  <c r="M48" i="70"/>
  <c r="M47" i="70"/>
  <c r="M53" i="70"/>
  <c r="M50" i="70"/>
  <c r="F9" i="70"/>
  <c r="F10" i="70"/>
  <c r="F12" i="70"/>
  <c r="F18" i="70"/>
  <c r="F11" i="70"/>
  <c r="F17" i="70"/>
  <c r="F16" i="70"/>
  <c r="F14" i="70"/>
  <c r="F13" i="70"/>
  <c r="F15" i="70"/>
  <c r="F37" i="70"/>
  <c r="F34" i="70"/>
  <c r="F28" i="70"/>
  <c r="F32" i="70"/>
  <c r="F36" i="70"/>
  <c r="F31" i="70"/>
  <c r="F29" i="70"/>
  <c r="F33" i="70"/>
  <c r="F30" i="70"/>
  <c r="F35" i="70"/>
  <c r="J123" i="69"/>
  <c r="J132" i="69"/>
  <c r="J125" i="69"/>
  <c r="J127" i="69"/>
  <c r="J130" i="69"/>
  <c r="J126" i="69"/>
  <c r="J129" i="69"/>
  <c r="J124" i="69"/>
  <c r="J128" i="69"/>
  <c r="J131" i="69"/>
  <c r="J47" i="69"/>
  <c r="J48" i="69"/>
  <c r="J54" i="69"/>
  <c r="J55" i="69"/>
  <c r="J49" i="69"/>
  <c r="J56" i="69"/>
  <c r="J50" i="69"/>
  <c r="J53" i="69"/>
  <c r="J51" i="69"/>
  <c r="J52" i="69"/>
  <c r="C123" i="69"/>
  <c r="C124" i="69"/>
  <c r="C125" i="69"/>
  <c r="C127" i="69"/>
  <c r="C129" i="69"/>
  <c r="C130" i="69"/>
  <c r="C132" i="69"/>
  <c r="C131" i="69"/>
  <c r="C126" i="69"/>
  <c r="C128" i="69"/>
  <c r="E90" i="69"/>
  <c r="E88" i="69"/>
  <c r="E91" i="69"/>
  <c r="E93" i="69"/>
  <c r="E86" i="69"/>
  <c r="E92" i="69"/>
  <c r="E87" i="69"/>
  <c r="E85" i="69"/>
  <c r="E94" i="69"/>
  <c r="E89" i="69"/>
  <c r="E47" i="69"/>
  <c r="E55" i="69"/>
  <c r="E49" i="69"/>
  <c r="E56" i="69"/>
  <c r="E50" i="69"/>
  <c r="E51" i="69"/>
  <c r="E48" i="69"/>
  <c r="E53" i="69"/>
  <c r="E54" i="69"/>
  <c r="E52" i="69"/>
  <c r="D71" i="69"/>
  <c r="D67" i="69"/>
  <c r="D68" i="69"/>
  <c r="D69" i="69"/>
  <c r="D72" i="69"/>
  <c r="D70" i="69"/>
  <c r="D66" i="69"/>
  <c r="D74" i="69"/>
  <c r="D73" i="69"/>
  <c r="D75" i="69"/>
  <c r="D85" i="69"/>
  <c r="D88" i="69"/>
  <c r="D89" i="69"/>
  <c r="D94" i="69"/>
  <c r="D91" i="69"/>
  <c r="D86" i="69"/>
  <c r="D87" i="69"/>
  <c r="D92" i="69"/>
  <c r="D93" i="69"/>
  <c r="D90" i="69"/>
  <c r="C35" i="69"/>
  <c r="C29" i="69"/>
  <c r="C34" i="69"/>
  <c r="C30" i="69"/>
  <c r="C31" i="69"/>
  <c r="C36" i="69"/>
  <c r="C37" i="69"/>
  <c r="C28" i="69"/>
  <c r="C32" i="69"/>
  <c r="C33" i="69"/>
  <c r="F113" i="69"/>
  <c r="F104" i="69"/>
  <c r="F109" i="69"/>
  <c r="F105" i="69"/>
  <c r="F110" i="69"/>
  <c r="F106" i="69"/>
  <c r="F112" i="69"/>
  <c r="F108" i="69"/>
  <c r="F111" i="69"/>
  <c r="F107" i="69"/>
  <c r="E113" i="69"/>
  <c r="E104" i="69"/>
  <c r="E109" i="69"/>
  <c r="E111" i="69"/>
  <c r="E105" i="69"/>
  <c r="E110" i="69"/>
  <c r="E106" i="69"/>
  <c r="E107" i="69"/>
  <c r="E112" i="69"/>
  <c r="E108" i="69"/>
  <c r="J104" i="69"/>
  <c r="J108" i="69"/>
  <c r="J110" i="69"/>
  <c r="J111" i="69"/>
  <c r="J106" i="69"/>
  <c r="J113" i="69"/>
  <c r="J105" i="69"/>
  <c r="J112" i="69"/>
  <c r="J107" i="69"/>
  <c r="J109" i="69"/>
  <c r="J85" i="69"/>
  <c r="J89" i="69"/>
  <c r="J91" i="69"/>
  <c r="J92" i="69"/>
  <c r="J86" i="69"/>
  <c r="J93" i="69"/>
  <c r="J94" i="69"/>
  <c r="J88" i="69"/>
  <c r="J87" i="69"/>
  <c r="J90" i="69"/>
  <c r="J28" i="69"/>
  <c r="J32" i="69"/>
  <c r="J34" i="69"/>
  <c r="J35" i="69"/>
  <c r="J29" i="69"/>
  <c r="J37" i="69"/>
  <c r="J36" i="69"/>
  <c r="J30" i="69"/>
  <c r="J31" i="69"/>
  <c r="J33" i="69"/>
  <c r="L109" i="69"/>
  <c r="L112" i="69"/>
  <c r="L111" i="69"/>
  <c r="L108" i="69"/>
  <c r="L113" i="69"/>
  <c r="L104" i="69"/>
  <c r="L105" i="69"/>
  <c r="L110" i="69"/>
  <c r="L107" i="69"/>
  <c r="L106" i="69"/>
  <c r="F52" i="69"/>
  <c r="F55" i="69"/>
  <c r="F56" i="69"/>
  <c r="F50" i="69"/>
  <c r="F48" i="69"/>
  <c r="F51" i="69"/>
  <c r="F53" i="69"/>
  <c r="F54" i="69"/>
  <c r="F49" i="69"/>
  <c r="F47" i="69"/>
  <c r="D47" i="69"/>
  <c r="D56" i="69"/>
  <c r="D49" i="69"/>
  <c r="D50" i="69"/>
  <c r="D51" i="69"/>
  <c r="D48" i="69"/>
  <c r="D53" i="69"/>
  <c r="D54" i="69"/>
  <c r="D55" i="69"/>
  <c r="D52" i="69"/>
  <c r="M68" i="69"/>
  <c r="M72" i="69"/>
  <c r="M69" i="69"/>
  <c r="M74" i="69"/>
  <c r="M70" i="69"/>
  <c r="M75" i="69"/>
  <c r="M66" i="69"/>
  <c r="M71" i="69"/>
  <c r="M67" i="69"/>
  <c r="M73" i="69"/>
  <c r="D125" i="69"/>
  <c r="D126" i="69"/>
  <c r="D131" i="69"/>
  <c r="D124" i="69"/>
  <c r="D129" i="69"/>
  <c r="D130" i="69"/>
  <c r="D128" i="69"/>
  <c r="D127" i="69"/>
  <c r="D132" i="69"/>
  <c r="D123" i="69"/>
  <c r="C85" i="69"/>
  <c r="C88" i="69"/>
  <c r="C89" i="69"/>
  <c r="C91" i="69"/>
  <c r="C94" i="69"/>
  <c r="C87" i="69"/>
  <c r="C92" i="69"/>
  <c r="C86" i="69"/>
  <c r="C93" i="69"/>
  <c r="C90" i="69"/>
  <c r="L28" i="69"/>
  <c r="L32" i="69"/>
  <c r="L34" i="69"/>
  <c r="L35" i="69"/>
  <c r="L36" i="69"/>
  <c r="L37" i="69"/>
  <c r="L30" i="69"/>
  <c r="L31" i="69"/>
  <c r="L29" i="69"/>
  <c r="L33" i="69"/>
  <c r="E30" i="69"/>
  <c r="E29" i="69"/>
  <c r="E34" i="69"/>
  <c r="E32" i="69"/>
  <c r="E31" i="69"/>
  <c r="E36" i="69"/>
  <c r="E33" i="69"/>
  <c r="E28" i="69"/>
  <c r="E35" i="69"/>
  <c r="E37" i="69"/>
  <c r="C47" i="69"/>
  <c r="C49" i="69"/>
  <c r="C56" i="69"/>
  <c r="C50" i="69"/>
  <c r="C55" i="69"/>
  <c r="C51" i="69"/>
  <c r="C48" i="69"/>
  <c r="C53" i="69"/>
  <c r="C54" i="69"/>
  <c r="C52" i="69"/>
  <c r="C14" i="69"/>
  <c r="C10" i="69"/>
  <c r="C16" i="69"/>
  <c r="C11" i="69"/>
  <c r="C17" i="69"/>
  <c r="C12" i="69"/>
  <c r="C15" i="69"/>
  <c r="C18" i="69"/>
  <c r="C13" i="69"/>
  <c r="C9" i="69"/>
  <c r="L124" i="69"/>
  <c r="L129" i="69"/>
  <c r="L126" i="69"/>
  <c r="L131" i="69"/>
  <c r="L125" i="69"/>
  <c r="L130" i="69"/>
  <c r="L132" i="69"/>
  <c r="L123" i="69"/>
  <c r="L128" i="69"/>
  <c r="L127" i="69"/>
  <c r="E67" i="69"/>
  <c r="E74" i="69"/>
  <c r="E75" i="69"/>
  <c r="E66" i="69"/>
  <c r="E71" i="69"/>
  <c r="E73" i="69"/>
  <c r="E72" i="69"/>
  <c r="E68" i="69"/>
  <c r="E69" i="69"/>
  <c r="E70" i="69"/>
  <c r="J9" i="69"/>
  <c r="J10" i="69"/>
  <c r="J17" i="69"/>
  <c r="J11" i="69"/>
  <c r="J18" i="69"/>
  <c r="J12" i="69"/>
  <c r="J16" i="69"/>
  <c r="J13" i="69"/>
  <c r="J15" i="69"/>
  <c r="J14" i="69"/>
  <c r="L9" i="69"/>
  <c r="L10" i="69"/>
  <c r="L17" i="69"/>
  <c r="L11" i="69"/>
  <c r="L18" i="69"/>
  <c r="L12" i="69"/>
  <c r="L16" i="69"/>
  <c r="L15" i="69"/>
  <c r="L13" i="69"/>
  <c r="L14" i="69"/>
  <c r="D31" i="69"/>
  <c r="D36" i="69"/>
  <c r="D28" i="69"/>
  <c r="D29" i="69"/>
  <c r="D32" i="69"/>
  <c r="D37" i="69"/>
  <c r="D30" i="69"/>
  <c r="D35" i="69"/>
  <c r="D33" i="69"/>
  <c r="D34" i="69"/>
  <c r="C66" i="69"/>
  <c r="C67" i="69"/>
  <c r="C68" i="69"/>
  <c r="C69" i="69"/>
  <c r="C70" i="69"/>
  <c r="C72" i="69"/>
  <c r="C73" i="69"/>
  <c r="C75" i="69"/>
  <c r="C74" i="69"/>
  <c r="C71" i="69"/>
  <c r="D14" i="69"/>
  <c r="D15" i="69"/>
  <c r="D10" i="69"/>
  <c r="D16" i="69"/>
  <c r="D11" i="69"/>
  <c r="D17" i="69"/>
  <c r="D12" i="69"/>
  <c r="D13" i="69"/>
  <c r="D18" i="69"/>
  <c r="D9" i="69"/>
  <c r="X23" i="7"/>
  <c r="W23" i="7"/>
  <c r="V23" i="7"/>
  <c r="U23" i="7"/>
  <c r="T23" i="7"/>
  <c r="S23" i="7"/>
  <c r="N15" i="7"/>
  <c r="M15" i="7"/>
  <c r="H27" i="7"/>
  <c r="G27" i="7"/>
  <c r="F27" i="7"/>
  <c r="E27" i="7"/>
  <c r="D27" i="7"/>
  <c r="A7" i="7"/>
  <c r="A8" i="7" s="1"/>
  <c r="A9" i="7" s="1"/>
  <c r="A10" i="7" s="1"/>
  <c r="A11" i="7" s="1"/>
  <c r="A12" i="7" s="1"/>
  <c r="A13" i="7" s="1"/>
  <c r="A14" i="7" s="1"/>
  <c r="A15" i="7" s="1"/>
  <c r="A16" i="7" s="1"/>
  <c r="A17" i="7" s="1"/>
  <c r="A18" i="7" s="1"/>
  <c r="A19" i="7" s="1"/>
  <c r="A20" i="7" s="1"/>
  <c r="A21" i="7" s="1"/>
  <c r="A22" i="7" s="1"/>
  <c r="A23" i="7" s="1"/>
  <c r="A24" i="7" s="1"/>
  <c r="A25" i="7" s="1"/>
  <c r="D36" i="7"/>
  <c r="U42" i="68" l="1"/>
  <c r="S42" i="68"/>
  <c r="U42" i="65" l="1"/>
  <c r="S42" i="65"/>
  <c r="S42" i="62"/>
  <c r="U42" i="62"/>
  <c r="U42" i="59"/>
  <c r="S42" i="59"/>
  <c r="M42" i="65" l="1"/>
  <c r="M42" i="68"/>
  <c r="K42" i="65"/>
  <c r="K42" i="68"/>
  <c r="O42" i="65"/>
  <c r="O42" i="68"/>
  <c r="I42" i="65"/>
  <c r="I42" i="68"/>
  <c r="Q42" i="65"/>
  <c r="Q42" i="68"/>
  <c r="I42" i="59"/>
  <c r="I42" i="62"/>
  <c r="Q42" i="59"/>
  <c r="Q42" i="62"/>
  <c r="M42" i="59"/>
  <c r="M42" i="62"/>
  <c r="K42" i="59"/>
  <c r="K42" i="62"/>
  <c r="O42" i="59"/>
  <c r="O42" i="6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Robert Iredale</author>
    <author>tc={74A8CFA1-F123-4BE1-A257-39C53C63AAAB}</author>
  </authors>
  <commentList>
    <comment ref="A3" authorId="0" shapeId="0" xr:uid="{4503A26B-67D6-4B00-821F-0B366F97769E}">
      <text>
        <r>
          <rPr>
            <b/>
            <sz val="9"/>
            <color indexed="81"/>
            <rFont val="Tahoma"/>
            <family val="2"/>
          </rPr>
          <t>Robert Iredale:</t>
        </r>
        <r>
          <rPr>
            <sz val="9"/>
            <color indexed="81"/>
            <rFont val="Tahoma"/>
            <family val="2"/>
          </rPr>
          <t xml:space="preserve">
Distance between sea surface and top of rotor swept area.</t>
        </r>
      </text>
    </comment>
    <comment ref="A4" authorId="0" shapeId="0" xr:uid="{7F1A1043-33BE-4899-AB36-2193C5194286}">
      <text>
        <r>
          <rPr>
            <b/>
            <sz val="9"/>
            <color indexed="81"/>
            <rFont val="Tahoma"/>
            <family val="2"/>
          </rPr>
          <t>Robert Iredale:</t>
        </r>
        <r>
          <rPr>
            <sz val="9"/>
            <color indexed="81"/>
            <rFont val="Tahoma"/>
            <family val="2"/>
          </rPr>
          <t xml:space="preserve">
The total number of rotors present on a single device.</t>
        </r>
      </text>
    </comment>
    <comment ref="A5" authorId="0" shapeId="0" xr:uid="{D1D67B73-8BB2-4B4C-B76E-8F6A13188161}">
      <text>
        <r>
          <rPr>
            <b/>
            <sz val="9"/>
            <color indexed="81"/>
            <rFont val="Tahoma"/>
            <family val="2"/>
          </rPr>
          <t>Robert Iredale:</t>
        </r>
        <r>
          <rPr>
            <sz val="9"/>
            <color indexed="81"/>
            <rFont val="Tahoma"/>
            <family val="2"/>
          </rPr>
          <t xml:space="preserve">
The length of a single rotor blade.</t>
        </r>
      </text>
    </comment>
    <comment ref="A6" authorId="0" shapeId="0" xr:uid="{9968A822-030E-4D33-AF46-3569CC068E95}">
      <text>
        <r>
          <rPr>
            <b/>
            <sz val="9"/>
            <color indexed="81"/>
            <rFont val="Tahoma"/>
            <family val="2"/>
          </rPr>
          <t>Robert Iredale:</t>
        </r>
        <r>
          <rPr>
            <sz val="9"/>
            <color indexed="81"/>
            <rFont val="Tahoma"/>
            <family val="2"/>
          </rPr>
          <t xml:space="preserve">
The number of blades on a single rotor.</t>
        </r>
      </text>
    </comment>
    <comment ref="A7" authorId="0" shapeId="0" xr:uid="{AA418F93-3375-4568-805F-AABA097A9180}">
      <text>
        <r>
          <rPr>
            <b/>
            <sz val="9"/>
            <color indexed="81"/>
            <rFont val="Tahoma"/>
            <family val="2"/>
          </rPr>
          <t>Robert Iredale:</t>
        </r>
        <r>
          <rPr>
            <sz val="9"/>
            <color indexed="81"/>
            <rFont val="Tahoma"/>
            <family val="2"/>
          </rPr>
          <t xml:space="preserve">
This is the "depth" of the rotor i.e. if the device is viewed from the side. If this is variable, the value used could be mean or max (this should be stated).</t>
        </r>
      </text>
    </comment>
    <comment ref="A8" authorId="0" shapeId="0" xr:uid="{E396B33D-1514-469C-8892-55EE9F127056}">
      <text>
        <r>
          <rPr>
            <b/>
            <sz val="9"/>
            <color indexed="81"/>
            <rFont val="Tahoma"/>
            <family val="2"/>
          </rPr>
          <t>Robert Iredale:</t>
        </r>
        <r>
          <rPr>
            <sz val="9"/>
            <color indexed="81"/>
            <rFont val="Tahoma"/>
            <family val="2"/>
          </rPr>
          <t xml:space="preserve">
The speed at which the rotor rotates at the mean current speed (1.77m/s).</t>
        </r>
      </text>
    </comment>
    <comment ref="A9" authorId="0" shapeId="0" xr:uid="{E077D603-2CAC-4D18-AB60-0A4CA8E52C56}">
      <text>
        <r>
          <rPr>
            <b/>
            <sz val="9"/>
            <color indexed="81"/>
            <rFont val="Tahoma"/>
            <family val="2"/>
          </rPr>
          <t>Robert Iredale:</t>
        </r>
        <r>
          <rPr>
            <sz val="9"/>
            <color indexed="81"/>
            <rFont val="Tahoma"/>
            <family val="2"/>
          </rPr>
          <t xml:space="preserve">
CALCULATED FIELD. The speed at which the rotor blades are travelling through the water at their midpoint.</t>
        </r>
      </text>
    </comment>
    <comment ref="A10" authorId="0" shapeId="0" xr:uid="{675EB8BE-2B2C-462C-8856-A71CE19B3FDF}">
      <text>
        <r>
          <rPr>
            <b/>
            <sz val="9"/>
            <color indexed="81"/>
            <rFont val="Tahoma"/>
            <family val="2"/>
          </rPr>
          <t>Robert Iredale:</t>
        </r>
        <r>
          <rPr>
            <sz val="9"/>
            <color indexed="81"/>
            <rFont val="Tahoma"/>
            <family val="2"/>
          </rPr>
          <t xml:space="preserve">
An estimate of the proportion of time that the rotors are not turning, due to a combination of insufficient tidal flow and maintenance/downtime.</t>
        </r>
      </text>
    </comment>
    <comment ref="A11" authorId="0" shapeId="0" xr:uid="{3B57EA65-82C9-4E27-A3D9-63400F74195E}">
      <text>
        <r>
          <rPr>
            <b/>
            <sz val="9"/>
            <color indexed="81"/>
            <rFont val="Tahoma"/>
            <family val="2"/>
          </rPr>
          <t>Robert Iredale:</t>
        </r>
        <r>
          <rPr>
            <sz val="9"/>
            <color indexed="81"/>
            <rFont val="Tahoma"/>
            <family val="2"/>
          </rPr>
          <t xml:space="preserve">
The average speed of the current at the site.</t>
        </r>
      </text>
    </comment>
    <comment ref="A12" authorId="0" shapeId="0" xr:uid="{0351DC7E-5AAD-406C-A479-8BC7A8D537A6}">
      <text>
        <r>
          <rPr>
            <b/>
            <sz val="9"/>
            <color indexed="81"/>
            <rFont val="Tahoma"/>
            <family val="2"/>
          </rPr>
          <t>Robert Iredale:</t>
        </r>
        <r>
          <rPr>
            <sz val="9"/>
            <color indexed="81"/>
            <rFont val="Tahoma"/>
            <family val="2"/>
          </rPr>
          <t xml:space="preserve">
CALCULATED FIELD. The relationship between mean tangential blade speed and current speed.</t>
        </r>
      </text>
    </comment>
    <comment ref="A13" authorId="0" shapeId="0" xr:uid="{EB2D814B-2118-43CA-BA0B-D78A38B6E008}">
      <text>
        <r>
          <rPr>
            <b/>
            <sz val="9"/>
            <color indexed="81"/>
            <rFont val="Tahoma"/>
            <family val="2"/>
          </rPr>
          <t>Robert Iredale:</t>
        </r>
        <r>
          <rPr>
            <sz val="9"/>
            <color indexed="81"/>
            <rFont val="Tahoma"/>
            <family val="2"/>
          </rPr>
          <t xml:space="preserve">
Estimated number of devices for a 30MW array.</t>
        </r>
      </text>
    </comment>
    <comment ref="A14" authorId="0" shapeId="0" xr:uid="{17F420C9-C977-4734-A2AF-4C1DF5833FE3}">
      <text>
        <r>
          <rPr>
            <b/>
            <sz val="9"/>
            <color indexed="81"/>
            <rFont val="Tahoma"/>
            <family val="2"/>
          </rPr>
          <t>Robert Iredale:</t>
        </r>
        <r>
          <rPr>
            <sz val="9"/>
            <color indexed="81"/>
            <rFont val="Tahoma"/>
            <family val="2"/>
          </rPr>
          <t xml:space="preserve">
The total number of rotors present on a single device.</t>
        </r>
      </text>
    </comment>
    <comment ref="A15" authorId="0" shapeId="0" xr:uid="{6D3FCF83-2B27-406F-A265-DA372C2F0ACF}">
      <text>
        <r>
          <rPr>
            <b/>
            <sz val="9"/>
            <color indexed="81"/>
            <rFont val="Tahoma"/>
            <family val="2"/>
          </rPr>
          <t>Robert Iredale:</t>
        </r>
        <r>
          <rPr>
            <sz val="9"/>
            <color indexed="81"/>
            <rFont val="Tahoma"/>
            <family val="2"/>
          </rPr>
          <t xml:space="preserve">
The length of a single rotor blade.</t>
        </r>
      </text>
    </comment>
    <comment ref="A16" authorId="0" shapeId="0" xr:uid="{2A89CFA1-BD47-43CD-B03D-F491205F3F65}">
      <text>
        <r>
          <rPr>
            <b/>
            <sz val="9"/>
            <color indexed="81"/>
            <rFont val="Tahoma"/>
            <family val="2"/>
          </rPr>
          <t>Robert Iredale:</t>
        </r>
        <r>
          <rPr>
            <sz val="9"/>
            <color indexed="81"/>
            <rFont val="Tahoma"/>
            <family val="2"/>
          </rPr>
          <t xml:space="preserve">
The number of blades on a single rotor.</t>
        </r>
      </text>
    </comment>
    <comment ref="A17" authorId="0" shapeId="0" xr:uid="{545F169B-3FC0-4BCF-9746-EEC6971BA529}">
      <text>
        <r>
          <rPr>
            <b/>
            <sz val="9"/>
            <color indexed="81"/>
            <rFont val="Tahoma"/>
            <family val="2"/>
          </rPr>
          <t>Robert Iredale:</t>
        </r>
        <r>
          <rPr>
            <sz val="9"/>
            <color indexed="81"/>
            <rFont val="Tahoma"/>
            <family val="2"/>
          </rPr>
          <t xml:space="preserve">
This is the "width" of the rotor i.e. if the device is viewed from the front. If this is variable, the value used could be mean or max (this should be stated).</t>
        </r>
      </text>
    </comment>
    <comment ref="A18" authorId="0" shapeId="0" xr:uid="{885485F5-3AA2-41B2-B664-84AEF8228CE9}">
      <text>
        <r>
          <rPr>
            <b/>
            <sz val="9"/>
            <color indexed="81"/>
            <rFont val="Tahoma"/>
            <family val="2"/>
          </rPr>
          <t>Robert Iredale:</t>
        </r>
        <r>
          <rPr>
            <sz val="9"/>
            <color indexed="81"/>
            <rFont val="Tahoma"/>
            <family val="2"/>
          </rPr>
          <t xml:space="preserve">
The angle at which the blades are pitched. This could be a maximum value or the mean of a range, and should be stated.</t>
        </r>
      </text>
    </comment>
    <comment ref="A19" authorId="0" shapeId="0" xr:uid="{93B1A12E-5E7A-425C-AAD6-697C84AF9474}">
      <text>
        <r>
          <rPr>
            <b/>
            <sz val="9"/>
            <color indexed="81"/>
            <rFont val="Tahoma"/>
            <family val="2"/>
          </rPr>
          <t>Robert Iredale:</t>
        </r>
        <r>
          <rPr>
            <sz val="9"/>
            <color indexed="81"/>
            <rFont val="Tahoma"/>
            <family val="2"/>
          </rPr>
          <t xml:space="preserve">
A mathematical expression of blade shape. As we don't expect to have this information the generic shape supplied with the SNH guidance will be used.</t>
        </r>
      </text>
    </comment>
    <comment ref="A20" authorId="0" shapeId="0" xr:uid="{9700D931-7255-4776-B13C-38BE9546E551}">
      <text>
        <r>
          <rPr>
            <b/>
            <sz val="9"/>
            <color indexed="81"/>
            <rFont val="Tahoma"/>
            <family val="2"/>
          </rPr>
          <t>Robert Iredale:</t>
        </r>
        <r>
          <rPr>
            <sz val="9"/>
            <color indexed="81"/>
            <rFont val="Tahoma"/>
            <family val="2"/>
          </rPr>
          <t xml:space="preserve">
The speed at which the rotor rotates at the mean current speed (1.77m/s).</t>
        </r>
      </text>
    </comment>
    <comment ref="A21" authorId="0" shapeId="0" xr:uid="{F0CA8763-393E-4B3B-8497-5D768F1D8969}">
      <text>
        <r>
          <rPr>
            <b/>
            <sz val="9"/>
            <color indexed="81"/>
            <rFont val="Tahoma"/>
            <family val="2"/>
          </rPr>
          <t>Robert Iredale:</t>
        </r>
        <r>
          <rPr>
            <sz val="9"/>
            <color indexed="81"/>
            <rFont val="Tahoma"/>
            <family val="2"/>
          </rPr>
          <t xml:space="preserve">
An estimate of the proportion of time that the rotors are not turning, due to a combination of insufficient tidal flow and maintenance/downtime.</t>
        </r>
      </text>
    </comment>
    <comment ref="E33" authorId="1" shapeId="0" xr:uid="{74A8CFA1-F123-4BE1-A257-39C53C63AAAB}">
      <text>
        <t>[Threaded comment]
Your version of Excel allows you to read this threaded comment; however, any edits to it will get removed if the file is opened in a newer version of Excel. Learn more: https://go.microsoft.com/fwlink/?linkid=870924
Comment:
    Phase 1</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B5" authorId="0" shapeId="0" xr:uid="{4E9BE8CF-C02F-4428-9899-4F8C1675B4B8}">
      <text>
        <r>
          <rPr>
            <sz val="9"/>
            <color indexed="81"/>
            <rFont val="Tahoma"/>
            <family val="2"/>
          </rPr>
          <t>In the wildlife survey, the period during which any one area of water is viewed while scanning the site.</t>
        </r>
      </text>
    </comment>
    <comment ref="B6" authorId="0" shapeId="0" xr:uid="{0D9C528F-7550-4596-A87C-092C81C8699D}">
      <text>
        <r>
          <rPr>
            <sz val="9"/>
            <color indexed="81"/>
            <rFont val="Tahoma"/>
            <family val="2"/>
          </rPr>
          <t xml:space="preserve">These are the estimates of animal areal density derived from survey observations, after taking account any corrections required due to visibility, unidentified species, or reduced activity at night.   They are the mean number of animals, per m2, occupying the site as observed on the sea surface.  The survey data expresses results in animals per km2, and thus has to be divided by 1,000,000 for entry here.
</t>
        </r>
      </text>
    </comment>
    <comment ref="B10" authorId="0" shapeId="0" xr:uid="{0BED2985-A9F5-4630-B469-34EB92F9E839}">
      <text>
        <r>
          <rPr>
            <sz val="9"/>
            <color indexed="81"/>
            <rFont val="Tahoma"/>
            <family val="2"/>
          </rPr>
          <t xml:space="preserve">'Shallow' dive birds are those whose typical dive depth is less than the maximum rotor depth.  'Deep' dive birds are those which typically dive to depths beyond the maximum rotor depth.  'Plunge' dive birds dive from the air, thus making a rapid descent through the water and a slower swum ascent.  A 'vertical swim speed' must be entered for all three types, but only the 'plunge' diving birds need a plunge speed.
</t>
        </r>
      </text>
    </comment>
    <comment ref="B11" authorId="0" shapeId="0" xr:uid="{44A2BF07-BFDE-41D4-AC87-49CE87ED0B7B}">
      <text>
        <r>
          <rPr>
            <sz val="9"/>
            <color indexed="81"/>
            <rFont val="Tahoma"/>
            <family val="2"/>
          </rPr>
          <t xml:space="preserve">This is the rate (m/sec) at which the bird swims downwards or upwards through the water column.
</t>
        </r>
      </text>
    </comment>
    <comment ref="B12" authorId="0" shapeId="0" xr:uid="{36588275-51D7-44EF-9B36-C06A6F588A39}">
      <text>
        <r>
          <rPr>
            <sz val="9"/>
            <color indexed="81"/>
            <rFont val="Tahoma"/>
            <family val="2"/>
          </rPr>
          <t xml:space="preserve">The mean duration of a dive, in seconds.
</t>
        </r>
      </text>
    </comment>
    <comment ref="B13" authorId="0" shapeId="0" xr:uid="{5CF9F284-E082-4FEA-9704-3CDB6D5BB1D6}">
      <text>
        <r>
          <rPr>
            <sz val="9"/>
            <color indexed="81"/>
            <rFont val="Tahoma"/>
            <family val="2"/>
          </rPr>
          <t>The mean time spent on the surface between dives</t>
        </r>
      </text>
    </comment>
    <comment ref="B16" authorId="0" shapeId="0" xr:uid="{36F1E4CF-A7C7-4EB0-9CF5-0374CE855D4E}">
      <text>
        <r>
          <rPr>
            <b/>
            <sz val="9"/>
            <color indexed="81"/>
            <rFont val="Tahoma"/>
            <family val="2"/>
          </rPr>
          <t xml:space="preserve">This is a calculated field. </t>
        </r>
        <r>
          <rPr>
            <sz val="9"/>
            <color indexed="81"/>
            <rFont val="Tahoma"/>
            <family val="2"/>
          </rPr>
          <t xml:space="preserve"> The mean frequency of dives F, multiplied by the mean duration of a dive tu, gives the proportion of time Ftu spent underwater and hence 1-Ftu is the proportion of time spent on the surface.    F is just the reciprocal of the dive + surface time ie 1/(tu + ts)
The dive cycle for sea mammals is usually well documented in terms of mean dive time and surfacing time.
</t>
        </r>
      </text>
    </comment>
    <comment ref="B17" authorId="0" shapeId="0" xr:uid="{2F494CB2-A618-451B-BDCF-8F32931C4B13}">
      <text>
        <r>
          <rPr>
            <b/>
            <sz val="9"/>
            <color indexed="81"/>
            <rFont val="Tahoma"/>
            <family val="2"/>
          </rPr>
          <t>This is a calculated field</t>
        </r>
        <r>
          <rPr>
            <sz val="9"/>
            <color indexed="81"/>
            <rFont val="Tahoma"/>
            <family val="2"/>
          </rPr>
          <t xml:space="preserve">.  It is the proportion of time that an animal is visible at the surface, taking account of the time tu spent underwater and the watch period tw which extends the time visible
</t>
        </r>
      </text>
    </comment>
    <comment ref="B18" authorId="0" shapeId="0" xr:uid="{9083F90C-11ED-4D02-B06C-F34CC56DD369}">
      <text>
        <r>
          <rPr>
            <b/>
            <sz val="9"/>
            <color indexed="81"/>
            <rFont val="Tahoma"/>
            <family val="2"/>
          </rPr>
          <t>This is a calculated field.</t>
        </r>
        <r>
          <rPr>
            <sz val="9"/>
            <color indexed="81"/>
            <rFont val="Tahoma"/>
            <family val="2"/>
          </rPr>
          <t xml:space="preserve">  It divides the bird density observed at the surface by the proportion estimated to be visible at the surface, to get the areal density including birds underwater at any one time.
</t>
        </r>
      </text>
    </comment>
    <comment ref="B21" authorId="0" shapeId="0" xr:uid="{076883B9-FA7F-4213-A3E4-C3E4F9355F48}">
      <text>
        <r>
          <rPr>
            <sz val="9"/>
            <color indexed="81"/>
            <rFont val="Tahoma"/>
            <family val="2"/>
          </rPr>
          <t xml:space="preserve">Length of animal (m) 
from nose to tip of tail.
</t>
        </r>
      </text>
    </comment>
    <comment ref="B22" authorId="0" shapeId="0" xr:uid="{C134E73E-CD89-4CE8-B17E-142CF2B47233}">
      <text>
        <r>
          <rPr>
            <sz val="9"/>
            <color indexed="81"/>
            <rFont val="Tahoma"/>
            <family val="2"/>
          </rPr>
          <t xml:space="preserve">Body width of animal - taken as 1/4 of body length; or the wingspan if a bird.
</t>
        </r>
      </text>
    </comment>
    <comment ref="B24" authorId="0" shapeId="0" xr:uid="{7A58297C-46C7-472B-A175-6BB6ECBCE31B}">
      <text>
        <r>
          <rPr>
            <b/>
            <sz val="9"/>
            <color indexed="81"/>
            <rFont val="Tahoma"/>
            <family val="2"/>
          </rPr>
          <t>This is a calculated field.</t>
        </r>
        <r>
          <rPr>
            <sz val="9"/>
            <color indexed="81"/>
            <rFont val="Tahoma"/>
            <family val="2"/>
          </rPr>
          <t xml:space="preserve">  This guides
 the 'effective radius' of the bird - the separation from a blade required in order to clear a moving blade, taking account of all possible orientations of the bird.  Fin-propelled marine animals and foot-propelled birds have a shape factor of 4.0, while wing-propelled birds have a shape factor of 2.55.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B9" authorId="0" shapeId="0" xr:uid="{8D03E4C1-2046-40A1-B154-916419ECF8AF}">
      <text>
        <r>
          <rPr>
            <sz val="9"/>
            <color indexed="81"/>
            <rFont val="Tahoma"/>
            <family val="2"/>
          </rPr>
          <t xml:space="preserve">The diameter of the rotor, in metres.
</t>
        </r>
      </text>
    </comment>
    <comment ref="B10" authorId="0" shapeId="0" xr:uid="{07A3B7EA-7580-4778-9001-27B2092BA4DC}">
      <text>
        <r>
          <rPr>
            <sz val="9"/>
            <color indexed="81"/>
            <rFont val="Tahoma"/>
            <family val="2"/>
          </rPr>
          <t xml:space="preserve">This is the depth (m) of the rotor tips when at their closest to the surface.
</t>
        </r>
      </text>
    </comment>
    <comment ref="B11" authorId="0" shapeId="0" xr:uid="{EDC07825-B920-4A7F-AEA8-9E4AD3029070}">
      <text>
        <r>
          <rPr>
            <sz val="9"/>
            <color indexed="81"/>
            <rFont val="Tahoma"/>
            <family val="2"/>
          </rPr>
          <t xml:space="preserve">the mean depth of the channel in the area where animals are foraging
</t>
        </r>
      </text>
    </comment>
    <comment ref="B14" authorId="0" shapeId="0" xr:uid="{44E9DCFF-50AA-4EA0-B72F-0C2A5325F1A7}">
      <text>
        <r>
          <rPr>
            <sz val="9"/>
            <color indexed="81"/>
            <rFont val="Tahoma"/>
            <family val="2"/>
          </rPr>
          <t xml:space="preserve">The mean duration of a dive, in seconds.
</t>
        </r>
      </text>
    </comment>
    <comment ref="B15" authorId="0" shapeId="0" xr:uid="{5B65BDA6-71E9-4125-BE82-667BFB6EAEC5}">
      <text>
        <r>
          <rPr>
            <b/>
            <sz val="9"/>
            <color indexed="81"/>
            <rFont val="Tahoma"/>
            <family val="2"/>
          </rPr>
          <t xml:space="preserve">This is a calculated field. </t>
        </r>
        <r>
          <rPr>
            <sz val="9"/>
            <color indexed="81"/>
            <rFont val="Tahoma"/>
            <family val="2"/>
          </rPr>
          <t xml:space="preserve"> The mean frequency of dives F, multiplied by the mean duration of a dive tu, gives the proportion of time Ftu spent underwater and hence 1-Ftu is the proportion of time spent on the surface.    F is just the reciprocal of the dive + surface time ie 1/(tu + ts)
The dive cycle for sea mammals is usually well documented in terms of mean dive time and surfacing time.
</t>
        </r>
      </text>
    </comment>
    <comment ref="B16" authorId="0" shapeId="0" xr:uid="{E3A7DB1E-E000-400C-AFF9-FEC76A316CA1}">
      <text>
        <r>
          <rPr>
            <sz val="9"/>
            <color indexed="81"/>
            <rFont val="Tahoma"/>
            <family val="2"/>
          </rPr>
          <t xml:space="preserve">'Shallow' dive birds are those whose typical dive depth is less than the maximum rotor depth.  'Deep' dive birds are those which typically dive to depths beyond the maximum rotor depth.  'Plunge' dive birds dive from the air, thus making a rapid descent through the water and a slower swum ascent.  A 'vertical swim speed' must be entered for all three types, but only the 'plunge' diving birds need a plunge speed.
</t>
        </r>
      </text>
    </comment>
    <comment ref="B17" authorId="0" shapeId="0" xr:uid="{78418CBB-757F-4AFC-8E8E-70045E74D64E}">
      <text>
        <r>
          <rPr>
            <sz val="9"/>
            <color indexed="81"/>
            <rFont val="Tahoma"/>
            <family val="2"/>
          </rPr>
          <t xml:space="preserve">This is the rate (m/sec) at which the bird swims downwards or upwards through the water column.
</t>
        </r>
      </text>
    </comment>
    <comment ref="B19" authorId="0" shapeId="0" xr:uid="{80DB447E-3260-4286-82CB-1330E6471DD0}">
      <text>
        <r>
          <rPr>
            <b/>
            <sz val="9"/>
            <color indexed="81"/>
            <rFont val="Tahoma"/>
            <family val="2"/>
          </rPr>
          <t xml:space="preserve">This is a calculated field.  </t>
        </r>
        <r>
          <rPr>
            <sz val="9"/>
            <color indexed="81"/>
            <rFont val="Tahoma"/>
            <family val="2"/>
          </rPr>
          <t>Dependent on depth distribution type,</t>
        </r>
        <r>
          <rPr>
            <b/>
            <sz val="9"/>
            <color indexed="81"/>
            <rFont val="Tahoma"/>
            <family val="2"/>
          </rPr>
          <t xml:space="preserve"> </t>
        </r>
        <r>
          <rPr>
            <sz val="9"/>
            <color indexed="81"/>
            <rFont val="Tahoma"/>
            <family val="2"/>
          </rPr>
          <t>different formulae are used to calculate the time per dive at risk depth.  For shallow-diving animals, all dive time is at risk except for the time taken to swim down and back up from the maximum rotor height.  For deep-diving animals, only the time while swimming down and back up through the depths occupied by the rotor is at risk.  For some depth distribution types Q2R is calculated directly, and this field is left blank.</t>
        </r>
      </text>
    </comment>
    <comment ref="B20" authorId="0" shapeId="0" xr:uid="{37060EDF-B805-4C9E-A24F-5E27F314D187}">
      <text>
        <r>
          <rPr>
            <b/>
            <sz val="9"/>
            <color indexed="81"/>
            <rFont val="Tahoma"/>
            <family val="2"/>
          </rPr>
          <t>This is a calculated field.</t>
        </r>
        <r>
          <rPr>
            <sz val="9"/>
            <color indexed="81"/>
            <rFont val="Tahoma"/>
            <family val="2"/>
          </rPr>
          <t xml:space="preserve">  It multiplies the dive frequency by the time per dive at risk depth, to get the proportion of time that the bird spends at risk depths.
</t>
        </r>
      </text>
    </comment>
    <comment ref="B21" authorId="0" shapeId="0" xr:uid="{AD55B597-6711-49DF-A613-58E93315B338}">
      <text>
        <r>
          <rPr>
            <b/>
            <sz val="9"/>
            <color indexed="81"/>
            <rFont val="Tahoma"/>
            <family val="2"/>
          </rPr>
          <t>This is a calculated field.</t>
        </r>
        <r>
          <rPr>
            <sz val="9"/>
            <color indexed="81"/>
            <rFont val="Tahoma"/>
            <family val="2"/>
          </rPr>
          <t xml:space="preserve">  It multiplies the areal density by the proportion at risk depth, then divides by the rotor diameter to get a true density in birds m-3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Bill Band</author>
    <author>Thomas Benson</author>
  </authors>
  <commentList>
    <comment ref="C6" authorId="0" shapeId="0" xr:uid="{0207C771-A899-4B0C-9A5E-B6EE10D1A33D}">
      <text>
        <r>
          <rPr>
            <sz val="9"/>
            <color indexed="81"/>
            <rFont val="Tahoma"/>
            <family val="2"/>
          </rPr>
          <t xml:space="preserve">These are the symbols used in the text of the Fall of Warness collision risk report.
</t>
        </r>
      </text>
    </comment>
    <comment ref="B7" authorId="0" shapeId="0" xr:uid="{D0DEDD24-3357-4E70-9E6D-0FD04C43BD14}">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8" authorId="0" shapeId="0" xr:uid="{3A0B7960-F823-4897-9FF8-19411AFC8426}">
      <text>
        <r>
          <rPr>
            <sz val="9"/>
            <color indexed="81"/>
            <rFont val="Tahoma"/>
            <family val="2"/>
          </rPr>
          <t xml:space="preserve">This is a calculated field: the time period in seconds over which to get the encounter rate.  </t>
        </r>
      </text>
    </comment>
    <comment ref="B12" authorId="1" shapeId="0" xr:uid="{27BBCD33-6FE4-4AAF-95C6-B7CDF8F92828}">
      <text>
        <r>
          <rPr>
            <b/>
            <sz val="9"/>
            <color indexed="81"/>
            <rFont val="Tahoma"/>
            <family val="2"/>
          </rPr>
          <t>Thomas Benson:</t>
        </r>
        <r>
          <rPr>
            <sz val="9"/>
            <color indexed="81"/>
            <rFont val="Tahoma"/>
            <family val="2"/>
          </rPr>
          <t xml:space="preserve">
The device input is 'radius' therefore modified the code to calculate diameter (rather than the other way around)</t>
        </r>
      </text>
    </comment>
    <comment ref="B13" authorId="0" shapeId="0" xr:uid="{857C48CB-9357-4BEB-A697-2AFBBBC04848}">
      <text>
        <r>
          <rPr>
            <sz val="9"/>
            <color indexed="81"/>
            <rFont val="Tahoma"/>
            <family val="2"/>
          </rPr>
          <t>The rotor diameter (twice the radius) in metres.</t>
        </r>
      </text>
    </comment>
    <comment ref="B14" authorId="0" shapeId="0" xr:uid="{58BF03A2-DB9B-4026-995D-574C5FD4189F}">
      <text>
        <r>
          <rPr>
            <sz val="9"/>
            <color indexed="81"/>
            <rFont val="Tahoma"/>
            <family val="2"/>
          </rPr>
          <t xml:space="preserve">Needs no comment - usually 2 or 3 but occasionally 4
</t>
        </r>
      </text>
    </comment>
    <comment ref="B15" authorId="0" shapeId="0" xr:uid="{BEFEC420-D872-44E9-B1E8-E6181C47949F}">
      <text>
        <r>
          <rPr>
            <sz val="9"/>
            <color indexed="81"/>
            <rFont val="Tahoma"/>
            <family val="2"/>
          </rPr>
          <t>Unlike in the ERM and ETPM models, this is the width of the blade as measured across its widest point, sometimes called the chord width</t>
        </r>
      </text>
    </comment>
    <comment ref="B16" authorId="0" shapeId="0" xr:uid="{4C0291E3-76F3-425C-A1A2-012A31D6F97E}">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273D3E36-BDDF-403C-AFEA-0F0CE4707B6C}">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19" authorId="0" shapeId="0" xr:uid="{F72E5618-1CAD-4400-9605-89580FDBB81C}">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3" authorId="0" shapeId="0" xr:uid="{31CB2879-8D4E-4BDB-BCE6-D0F9313091DF}">
      <text>
        <r>
          <rPr>
            <sz val="9"/>
            <color indexed="81"/>
            <rFont val="Tahoma"/>
            <family val="2"/>
          </rPr>
          <t xml:space="preserve">These are the species being assessed, copied across from the relevant 'density' sheet.
</t>
        </r>
      </text>
    </comment>
    <comment ref="B24" authorId="0" shapeId="0" xr:uid="{04EE66A0-5786-4D7F-8375-7687CDF323EE}">
      <text>
        <r>
          <rPr>
            <sz val="9"/>
            <color indexed="81"/>
            <rFont val="Tahoma"/>
            <family val="2"/>
          </rPr>
          <t xml:space="preserve">This data must be copied across from the relevant 'density' sheet'.  It is the average density of animals by volume (ie per m3) within the risk depth range.
</t>
        </r>
      </text>
    </comment>
    <comment ref="B26" authorId="0" shapeId="0" xr:uid="{63BEEAF8-2822-4A1C-855F-DEE8841A8B86}">
      <text>
        <r>
          <rPr>
            <sz val="9"/>
            <color indexed="81"/>
            <rFont val="Tahoma"/>
            <family val="2"/>
          </rPr>
          <t xml:space="preserve">Length of animal (m) 
from nose to tip of tail.
</t>
        </r>
      </text>
    </comment>
    <comment ref="B27" authorId="0" shapeId="0" xr:uid="{0829F486-2772-4313-B3BA-69C550734DCF}">
      <text>
        <r>
          <rPr>
            <sz val="9"/>
            <color indexed="81"/>
            <rFont val="Tahoma"/>
            <family val="2"/>
          </rPr>
          <t xml:space="preserve">Body width of animal - taken as 1/4 of body length; or the wingspan if a bird.
</t>
        </r>
      </text>
    </comment>
    <comment ref="B29" authorId="0" shapeId="0" xr:uid="{BA424C86-4166-48C1-977E-12B0D9080328}">
      <text>
        <r>
          <rPr>
            <sz val="9"/>
            <color indexed="81"/>
            <rFont val="Tahoma"/>
            <family val="2"/>
          </rPr>
          <t xml:space="preserve">This is the rate (m/sec) at which the bird swims downwards or upwards through the water column.
</t>
        </r>
      </text>
    </comment>
    <comment ref="B30" authorId="0" shapeId="0" xr:uid="{B0AA3085-4D53-4254-ACD5-52B8520A8DFD}">
      <text>
        <r>
          <rPr>
            <b/>
            <sz val="9"/>
            <color indexed="81"/>
            <rFont val="Tahoma"/>
            <family val="2"/>
          </rPr>
          <t>This is a calculated field.</t>
        </r>
        <r>
          <rPr>
            <sz val="9"/>
            <color indexed="81"/>
            <rFont val="Tahoma"/>
            <family val="2"/>
          </rPr>
          <t xml:space="preserve">  This guides
 the 'effective radius' of the bird - the separation from a blade required in order to clear a moving blade, taking account of all possible orientations of the bird.  Fin-propelled marine animals and foot-propelled birds have a shape factor of 4.0, while wing-propelled birds have a shape factor of 2.55.</t>
        </r>
      </text>
    </comment>
    <comment ref="B33" authorId="0" shapeId="0" xr:uid="{A912B034-49BC-48B9-8705-D6D1842175D2}">
      <text>
        <r>
          <rPr>
            <b/>
            <sz val="9"/>
            <color indexed="81"/>
            <rFont val="Tahoma"/>
            <family val="2"/>
          </rPr>
          <t xml:space="preserve">This is a calculated field.  </t>
        </r>
        <r>
          <rPr>
            <sz val="9"/>
            <color indexed="81"/>
            <rFont val="Tahoma"/>
            <family val="2"/>
          </rPr>
          <t>See comment on shape factor.  This field is the effective radius ie the clearance required to avoid contact with a blade.</t>
        </r>
      </text>
    </comment>
    <comment ref="B34" authorId="0" shapeId="0" xr:uid="{0928839F-E8C6-4B0E-B726-90BB597BD739}">
      <text>
        <r>
          <rPr>
            <sz val="9"/>
            <color indexed="81"/>
            <rFont val="Tahoma"/>
            <family val="2"/>
          </rPr>
          <t xml:space="preserve">This is a calculated field.  It gives the effective cross-sectional area of the blades, alllowing for the average clearance required to miss an animal (the 'effective radius')
</t>
        </r>
      </text>
    </comment>
    <comment ref="B37" authorId="0" shapeId="0" xr:uid="{037DC868-DCF0-4EBF-8EC6-FC96DDFC31C8}">
      <text>
        <r>
          <rPr>
            <b/>
            <sz val="9"/>
            <color indexed="81"/>
            <rFont val="Tahoma"/>
            <family val="2"/>
          </rPr>
          <t>This is a calculated field.</t>
        </r>
        <r>
          <rPr>
            <sz val="9"/>
            <color indexed="81"/>
            <rFont val="Tahoma"/>
            <family val="2"/>
          </rPr>
          <t xml:space="preserve">  Here it is - the encounter rate per second while the turbine is in operation.
</t>
        </r>
      </text>
    </comment>
    <comment ref="B38" authorId="0" shapeId="0" xr:uid="{E25F76C3-0788-4B90-82C8-E6E7D71FD020}">
      <text>
        <r>
          <rPr>
            <b/>
            <sz val="9"/>
            <color indexed="81"/>
            <rFont val="Tahoma"/>
            <family val="2"/>
          </rPr>
          <t>This is a calculated field.</t>
        </r>
        <r>
          <rPr>
            <sz val="9"/>
            <color indexed="81"/>
            <rFont val="Tahoma"/>
            <family val="2"/>
          </rPr>
          <t xml:space="preserve">  And here is the encounter rate grossed up for the period discussed (usually a year) and allowing for the proportion of time the turbine is likely to be non-operational.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C5" authorId="0" shapeId="0" xr:uid="{4536BC6A-42C8-45D1-80DB-E1DF48533714}">
      <text>
        <r>
          <rPr>
            <sz val="9"/>
            <color indexed="81"/>
            <rFont val="Tahoma"/>
            <family val="2"/>
          </rPr>
          <t xml:space="preserve">These are the symbols used in the text of the Fall of Warness collision risk report.
</t>
        </r>
      </text>
    </comment>
    <comment ref="B6" authorId="0" shapeId="0" xr:uid="{2E3E866B-7D4B-4961-AE34-78C80E43E1DE}">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7" authorId="0" shapeId="0" xr:uid="{02266FFA-29C9-446D-945B-E6C759D8B205}">
      <text>
        <r>
          <rPr>
            <sz val="9"/>
            <color indexed="81"/>
            <rFont val="Tahoma"/>
            <family val="2"/>
          </rPr>
          <t xml:space="preserve">This is a calculated field: the time period in seconds over which to get the encounter rate.  </t>
        </r>
      </text>
    </comment>
    <comment ref="B12" authorId="0" shapeId="0" xr:uid="{DE644FAC-6D76-4671-8FE5-7FE311CA57D8}">
      <text>
        <r>
          <rPr>
            <sz val="9"/>
            <color indexed="81"/>
            <rFont val="Tahoma"/>
            <family val="2"/>
          </rPr>
          <t>The inputs in Devices are in radius. Original spreadsheet had diameter as the input
so swapped it here (now diameter is 2x radius)</t>
        </r>
      </text>
    </comment>
    <comment ref="B13" authorId="0" shapeId="0" xr:uid="{577D7709-760A-405B-B5F8-A6164F2FF089}">
      <text>
        <r>
          <rPr>
            <sz val="9"/>
            <color indexed="81"/>
            <rFont val="Tahoma"/>
            <family val="2"/>
          </rPr>
          <t xml:space="preserve">Needs no comment - usually 2 or 3 but occasionally 4
</t>
        </r>
      </text>
    </comment>
    <comment ref="B14" authorId="0" shapeId="0" xr:uid="{F84EFABD-E922-4E4B-9928-87844A7A5BEE}">
      <text>
        <r>
          <rPr>
            <sz val="9"/>
            <color indexed="81"/>
            <rFont val="Tahoma"/>
            <family val="2"/>
          </rPr>
          <t xml:space="preserve">Unlike in the ERM and ETPM models, this is the width of the blade as measured across its widest point, sometimes called the chord width
</t>
        </r>
      </text>
    </comment>
    <comment ref="B15" authorId="0" shapeId="0" xr:uid="{E222A6D0-A4A9-4759-87C1-4D378E5AFF8B}">
      <text>
        <r>
          <rPr>
            <sz val="9"/>
            <color indexed="81"/>
            <rFont val="Tahoma"/>
            <family val="2"/>
          </rPr>
          <t xml:space="preserve">This is the angle the blade makes to the rotor plane, in degrees: a blade at 0 degrees would lie in the plane of the rotor and at 90 degrees would be fully feathered.  In practice blades are twisted so this is an average along the blade length.
</t>
        </r>
      </text>
    </comment>
    <comment ref="B16" authorId="0" shapeId="0" xr:uid="{742BCBBD-6677-4542-B2AF-2A44C7C0FA83}">
      <text>
        <r>
          <rPr>
            <sz val="9"/>
            <color indexed="81"/>
            <rFont val="Tahoma"/>
            <family val="2"/>
          </rPr>
          <t xml:space="preserve">The shape of the blade, expressed as the width c of the blade at radii r/R from 0 to 1 in 0.05 steps, as a proportion of the maximum blade width C.
</t>
        </r>
      </text>
    </comment>
    <comment ref="B17" authorId="0" shapeId="0" xr:uid="{F7DA6377-2BD9-46F2-A533-C11D6A1A413E}">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5547E9B4-6F4E-4E66-BF72-EE32D3FB6890}">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22" authorId="0" shapeId="0" xr:uid="{7831445B-12DF-447E-BC74-78C7D3D9CA8C}">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6" authorId="0" shapeId="0" xr:uid="{6F632045-9FED-4476-B537-AF3F8892D04A}">
      <text>
        <r>
          <rPr>
            <sz val="9"/>
            <color indexed="81"/>
            <rFont val="Tahoma"/>
            <family val="2"/>
          </rPr>
          <t xml:space="preserve">These are the species being assessed, copied across from the relevant 'density' sheet.
</t>
        </r>
      </text>
    </comment>
    <comment ref="B27" authorId="0" shapeId="0" xr:uid="{F5A37803-6263-414D-BF2A-BF9F9011E41B}">
      <text>
        <r>
          <rPr>
            <sz val="9"/>
            <color indexed="81"/>
            <rFont val="Tahoma"/>
            <family val="2"/>
          </rPr>
          <t xml:space="preserve">This data must be copied across from the relevant 'density' sheet'.  It is the average density of animals by volume (ie per m3) within the risk depth range.
</t>
        </r>
      </text>
    </comment>
    <comment ref="B28" authorId="0" shapeId="0" xr:uid="{9049F99D-989F-4D24-99F6-E93EEA474DB4}">
      <text>
        <r>
          <rPr>
            <sz val="9"/>
            <color indexed="81"/>
            <rFont val="Tahoma"/>
            <family val="2"/>
          </rPr>
          <t xml:space="preserve">Choose 'sea mammal', 'diving bird', or 'fish'. On the basis of this information, the spreadsheet chooses which animal dimensions and which speed of approach to use. 
</t>
        </r>
      </text>
    </comment>
    <comment ref="B29" authorId="0" shapeId="0" xr:uid="{C81016DA-4B6E-43C3-BD77-4ADC3948A0E4}">
      <text>
        <r>
          <rPr>
            <sz val="9"/>
            <color indexed="81"/>
            <rFont val="Tahoma"/>
            <family val="2"/>
          </rPr>
          <t>Length of animal (m) 
from nose to tip of tail.  .</t>
        </r>
      </text>
    </comment>
    <comment ref="B30" authorId="0" shapeId="0" xr:uid="{C3DA01A8-B1EF-4EAF-8072-0071462BC0E7}">
      <text>
        <r>
          <rPr>
            <sz val="9"/>
            <color indexed="81"/>
            <rFont val="Tahoma"/>
            <family val="2"/>
          </rPr>
          <t>Body width of animal - taken as 1/4 of body length; or the wingspan if a bird.</t>
        </r>
      </text>
    </comment>
    <comment ref="B35" authorId="0" shapeId="0" xr:uid="{696AED91-5241-4C34-ABE0-DD0C3C0306B2}">
      <text>
        <r>
          <rPr>
            <sz val="9"/>
            <color indexed="81"/>
            <rFont val="Tahoma"/>
            <family val="2"/>
          </rPr>
          <t xml:space="preserve">For diving animals and birds, the net speed of approach to the rotor is taken as the current velocity.  For fish, the normal mean swim speed fo the fish is used.
</t>
        </r>
      </text>
    </comment>
    <comment ref="B36" authorId="0" shapeId="0" xr:uid="{BA51AAC5-1261-4053-8A73-7AC34988D30D}">
      <text>
        <r>
          <rPr>
            <sz val="9"/>
            <color indexed="81"/>
            <rFont val="Tahoma"/>
            <family val="2"/>
          </rPr>
          <t xml:space="preserve">the cross-sectional area of a rotor multiplied by the number of rotors
</t>
        </r>
      </text>
    </comment>
    <comment ref="B37" authorId="0" shapeId="0" xr:uid="{82A3E310-E9CB-4FD1-9A98-7271639B81F0}">
      <text>
        <r>
          <rPr>
            <sz val="9"/>
            <color indexed="81"/>
            <rFont val="Tahoma"/>
            <family val="2"/>
          </rPr>
          <t xml:space="preserve">The probability of collision for a single transit through a rotor - the result of averaging over the whole disc area, assuming that the transit has equal probability of occurring at any point in the disc.  The upstream/downstream results are for transits against/with the flow
</t>
        </r>
      </text>
    </comment>
    <comment ref="B38" authorId="0" shapeId="0" xr:uid="{E75555D9-94B3-4F2B-91EC-7CEE46CF4FC5}">
      <text>
        <r>
          <rPr>
            <sz val="9"/>
            <color indexed="81"/>
            <rFont val="Tahoma"/>
            <family val="2"/>
          </rPr>
          <t xml:space="preserve">the number of transits through rotors per second
</t>
        </r>
      </text>
    </comment>
    <comment ref="B39" authorId="0" shapeId="0" xr:uid="{2EB6158A-FE29-423B-AD64-0AE4537B8B7E}">
      <text>
        <r>
          <rPr>
            <sz val="9"/>
            <color indexed="81"/>
            <rFont val="Tahoma"/>
            <family val="2"/>
          </rPr>
          <t xml:space="preserve">The potential collision rate per second, before allowing for avoidance - the product of the previous two rows
</t>
        </r>
      </text>
    </comment>
    <comment ref="B41" authorId="0" shapeId="0" xr:uid="{F8086256-77C3-449D-85CD-AE1EAC781E7C}">
      <text>
        <r>
          <rPr>
            <sz val="9"/>
            <color indexed="81"/>
            <rFont val="Tahoma"/>
            <family val="2"/>
          </rPr>
          <t xml:space="preserve">The potential collision rate before avoidance in the period of study.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B9" authorId="0" shapeId="0" xr:uid="{C45EB080-169A-4C7D-9CD5-F6457CCD51DE}">
      <text>
        <r>
          <rPr>
            <sz val="9"/>
            <color indexed="81"/>
            <rFont val="Tahoma"/>
            <family val="2"/>
          </rPr>
          <t xml:space="preserve">The diameter of the rotor, in metres.
</t>
        </r>
      </text>
    </comment>
    <comment ref="B10" authorId="0" shapeId="0" xr:uid="{DED3FF68-3601-4FF1-BBB9-3AE5C58AC80C}">
      <text>
        <r>
          <rPr>
            <sz val="9"/>
            <color indexed="81"/>
            <rFont val="Tahoma"/>
            <family val="2"/>
          </rPr>
          <t xml:space="preserve">This is the depth (m) of the rotor tips when at their closest to the surface.
</t>
        </r>
      </text>
    </comment>
    <comment ref="B11" authorId="0" shapeId="0" xr:uid="{E28FE022-7E7C-42CE-BFD8-18EE83776162}">
      <text>
        <r>
          <rPr>
            <sz val="9"/>
            <color indexed="81"/>
            <rFont val="Tahoma"/>
            <family val="2"/>
          </rPr>
          <t xml:space="preserve">the mean depth of the channel in the area where animals are foraging
</t>
        </r>
      </text>
    </comment>
    <comment ref="B14" authorId="0" shapeId="0" xr:uid="{5A795A0D-D8FD-4CA3-B085-355220FA37C2}">
      <text>
        <r>
          <rPr>
            <sz val="9"/>
            <color indexed="81"/>
            <rFont val="Tahoma"/>
            <family val="2"/>
          </rPr>
          <t xml:space="preserve">The mean duration of a dive, in seconds.
</t>
        </r>
      </text>
    </comment>
    <comment ref="B15" authorId="0" shapeId="0" xr:uid="{021EA562-0FB5-4286-B995-F769646A214B}">
      <text>
        <r>
          <rPr>
            <b/>
            <sz val="9"/>
            <color indexed="81"/>
            <rFont val="Tahoma"/>
            <family val="2"/>
          </rPr>
          <t xml:space="preserve">This is a calculated field. </t>
        </r>
        <r>
          <rPr>
            <sz val="9"/>
            <color indexed="81"/>
            <rFont val="Tahoma"/>
            <family val="2"/>
          </rPr>
          <t xml:space="preserve"> The mean frequency of dives F, multiplied by the mean duration of a dive tu, gives the proportion of time Ftu spent underwater and hence 1-Ftu is the proportion of time spent on the surface.    F is just the reciprocal of the dive + surface time ie 1/(tu + ts)
The dive cycle for sea mammals is usually well documented in terms of mean dive time and surfacing time.
</t>
        </r>
      </text>
    </comment>
    <comment ref="B16" authorId="0" shapeId="0" xr:uid="{30AC3D60-B87F-4A01-BCE1-B2AA498D9EA5}">
      <text>
        <r>
          <rPr>
            <sz val="9"/>
            <color indexed="81"/>
            <rFont val="Tahoma"/>
            <family val="2"/>
          </rPr>
          <t xml:space="preserve">'Shallow' dive birds are those whose typical dive depth is less than the maximum rotor depth.  'Deep' dive birds are those which typically dive to depths beyond the maximum rotor depth.  'Plunge' dive birds dive from the air, thus making a rapid descent through the water and a slower swum ascent.  A 'vertical swim speed' must be entered for all three types, but only the 'plunge' diving birds need a plunge speed.
</t>
        </r>
      </text>
    </comment>
    <comment ref="B17" authorId="0" shapeId="0" xr:uid="{4995427D-1620-4D1F-A784-D20ACCC5633A}">
      <text>
        <r>
          <rPr>
            <sz val="9"/>
            <color indexed="81"/>
            <rFont val="Tahoma"/>
            <family val="2"/>
          </rPr>
          <t xml:space="preserve">This is the rate (m/sec) at which the bird swims downwards or upwards through the water column.
</t>
        </r>
      </text>
    </comment>
    <comment ref="B19" authorId="0" shapeId="0" xr:uid="{94E04A4A-55D6-437C-AF4A-9B8716C7C54C}">
      <text>
        <r>
          <rPr>
            <b/>
            <sz val="9"/>
            <color indexed="81"/>
            <rFont val="Tahoma"/>
            <family val="2"/>
          </rPr>
          <t xml:space="preserve">This is a calculated field.  </t>
        </r>
        <r>
          <rPr>
            <sz val="9"/>
            <color indexed="81"/>
            <rFont val="Tahoma"/>
            <family val="2"/>
          </rPr>
          <t>Dependent on depth distribution type,</t>
        </r>
        <r>
          <rPr>
            <b/>
            <sz val="9"/>
            <color indexed="81"/>
            <rFont val="Tahoma"/>
            <family val="2"/>
          </rPr>
          <t xml:space="preserve"> </t>
        </r>
        <r>
          <rPr>
            <sz val="9"/>
            <color indexed="81"/>
            <rFont val="Tahoma"/>
            <family val="2"/>
          </rPr>
          <t>different formulae are used to calculate the time per dive at risk depth.  For shallow-diving animals, all dive time is at risk except for the time taken to swim down and back up from the maximum rotor height.  For deep-diving animals, only the time while swimming down and back up through the depths occupied by the rotor is at risk.  For some depth distribution types Q2R is calculated directly, and this field is left blank.</t>
        </r>
      </text>
    </comment>
    <comment ref="B20" authorId="0" shapeId="0" xr:uid="{8E230B43-3C66-4CA5-9BE1-95FF113B4FE6}">
      <text>
        <r>
          <rPr>
            <b/>
            <sz val="9"/>
            <color indexed="81"/>
            <rFont val="Tahoma"/>
            <family val="2"/>
          </rPr>
          <t>This is a calculated field.</t>
        </r>
        <r>
          <rPr>
            <sz val="9"/>
            <color indexed="81"/>
            <rFont val="Tahoma"/>
            <family val="2"/>
          </rPr>
          <t xml:space="preserve">  It multiplies the dive frequency by the time per dive at risk depth, to get the proportion of time that the bird spends at risk depths.
</t>
        </r>
      </text>
    </comment>
    <comment ref="B21" authorId="0" shapeId="0" xr:uid="{A0D355FD-E7D2-4053-9015-DD8A06F02B27}">
      <text>
        <r>
          <rPr>
            <b/>
            <sz val="9"/>
            <color indexed="81"/>
            <rFont val="Tahoma"/>
            <family val="2"/>
          </rPr>
          <t>This is a calculated field.</t>
        </r>
        <r>
          <rPr>
            <sz val="9"/>
            <color indexed="81"/>
            <rFont val="Tahoma"/>
            <family val="2"/>
          </rPr>
          <t xml:space="preserve">  It multiplies the areal density by the proportion at risk depth, then divides by the rotor diameter to get a true density in birds m-3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Bill Band</author>
    <author>Thomas Benson</author>
  </authors>
  <commentList>
    <comment ref="C6" authorId="0" shapeId="0" xr:uid="{0E58CAEB-BDF8-4CD1-91DE-9C404ABCBC99}">
      <text>
        <r>
          <rPr>
            <sz val="9"/>
            <color indexed="81"/>
            <rFont val="Tahoma"/>
            <family val="2"/>
          </rPr>
          <t xml:space="preserve">These are the symbols used in the text of the Fall of Warness collision risk report.
</t>
        </r>
      </text>
    </comment>
    <comment ref="B7" authorId="0" shapeId="0" xr:uid="{83D46D83-61FA-4932-B1C0-07DC0B00F1FF}">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8" authorId="0" shapeId="0" xr:uid="{D0F80836-27F1-48F3-883B-AB47ECC7C6F0}">
      <text>
        <r>
          <rPr>
            <sz val="9"/>
            <color indexed="81"/>
            <rFont val="Tahoma"/>
            <family val="2"/>
          </rPr>
          <t xml:space="preserve">This is a calculated field: the time period in seconds over which to get the encounter rate.  </t>
        </r>
      </text>
    </comment>
    <comment ref="B12" authorId="1" shapeId="0" xr:uid="{96F034CF-C113-402B-A819-EF0E0C92C575}">
      <text>
        <r>
          <rPr>
            <b/>
            <sz val="9"/>
            <color indexed="81"/>
            <rFont val="Tahoma"/>
            <family val="2"/>
          </rPr>
          <t>Thomas Benson:</t>
        </r>
        <r>
          <rPr>
            <sz val="9"/>
            <color indexed="81"/>
            <rFont val="Tahoma"/>
            <family val="2"/>
          </rPr>
          <t xml:space="preserve">
The device input is 'radius' therefore modified the code to calculate diameter (rather than the other way around)</t>
        </r>
      </text>
    </comment>
    <comment ref="B13" authorId="0" shapeId="0" xr:uid="{29B3AFDD-69AB-4FCB-8ACE-3A7089C138DD}">
      <text>
        <r>
          <rPr>
            <sz val="9"/>
            <color indexed="81"/>
            <rFont val="Tahoma"/>
            <family val="2"/>
          </rPr>
          <t>The rotor diameter (twice the radius) in metres.</t>
        </r>
      </text>
    </comment>
    <comment ref="B14" authorId="0" shapeId="0" xr:uid="{D91BA9AE-A2DC-4A6A-BF97-A3EC8B66ACD1}">
      <text>
        <r>
          <rPr>
            <sz val="9"/>
            <color indexed="81"/>
            <rFont val="Tahoma"/>
            <family val="2"/>
          </rPr>
          <t xml:space="preserve">Needs no comment - usually 2 or 3 but occasionally 4
</t>
        </r>
      </text>
    </comment>
    <comment ref="B15" authorId="0" shapeId="0" xr:uid="{E34EF893-1ED2-4348-B423-7A5909528AFE}">
      <text>
        <r>
          <rPr>
            <sz val="9"/>
            <color indexed="81"/>
            <rFont val="Tahoma"/>
            <family val="2"/>
          </rPr>
          <t>Unlike in the ERM and ETPM models, this is the width of the blade as measured across its widest point, sometimes called the chord width</t>
        </r>
      </text>
    </comment>
    <comment ref="B16" authorId="0" shapeId="0" xr:uid="{72766A0F-2F27-43F7-B499-F57F3595021A}">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693F2633-A3D1-4CC7-B0FA-85E62E15B2F0}">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19" authorId="0" shapeId="0" xr:uid="{EAF91E8B-801B-4F08-B117-A09ADA2FF653}">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3" authorId="0" shapeId="0" xr:uid="{7FB858D5-4740-4F94-A9AE-ECA3F69184D0}">
      <text>
        <r>
          <rPr>
            <sz val="9"/>
            <color indexed="81"/>
            <rFont val="Tahoma"/>
            <family val="2"/>
          </rPr>
          <t xml:space="preserve">These are the species being assessed, copied across from the relevant 'density' sheet.
</t>
        </r>
      </text>
    </comment>
    <comment ref="B24" authorId="0" shapeId="0" xr:uid="{74BABF5D-A532-4F9F-9D62-6B15A3D9AB18}">
      <text>
        <r>
          <rPr>
            <sz val="9"/>
            <color indexed="81"/>
            <rFont val="Tahoma"/>
            <family val="2"/>
          </rPr>
          <t xml:space="preserve">This data must be copied across from the relevant 'density' sheet'.  It is the average density of animals by volume (ie per m3) within the risk depth range.
</t>
        </r>
      </text>
    </comment>
    <comment ref="B26" authorId="0" shapeId="0" xr:uid="{1E17BECF-45A0-497F-AB8B-FF25A56516A8}">
      <text>
        <r>
          <rPr>
            <sz val="9"/>
            <color indexed="81"/>
            <rFont val="Tahoma"/>
            <family val="2"/>
          </rPr>
          <t xml:space="preserve">Length of animal (m) 
from nose to tip of tail.
</t>
        </r>
      </text>
    </comment>
    <comment ref="B27" authorId="0" shapeId="0" xr:uid="{FD0FA7E2-FE22-4985-AF98-F074293161E6}">
      <text>
        <r>
          <rPr>
            <sz val="9"/>
            <color indexed="81"/>
            <rFont val="Tahoma"/>
            <family val="2"/>
          </rPr>
          <t xml:space="preserve">Body width of animal - taken as 1/4 of body length; or the wingspan if a bird.
</t>
        </r>
      </text>
    </comment>
    <comment ref="B29" authorId="0" shapeId="0" xr:uid="{F9617F1C-078C-48E5-9F6C-425EED0CA1AC}">
      <text>
        <r>
          <rPr>
            <sz val="9"/>
            <color indexed="81"/>
            <rFont val="Tahoma"/>
            <family val="2"/>
          </rPr>
          <t xml:space="preserve">This is the rate (m/sec) at which the bird swims downwards or upwards through the water column.
</t>
        </r>
      </text>
    </comment>
    <comment ref="B30" authorId="0" shapeId="0" xr:uid="{11E4AA78-CE00-4BD2-86A7-249225588A37}">
      <text>
        <r>
          <rPr>
            <b/>
            <sz val="9"/>
            <color indexed="81"/>
            <rFont val="Tahoma"/>
            <family val="2"/>
          </rPr>
          <t>This is a calculated field.</t>
        </r>
        <r>
          <rPr>
            <sz val="9"/>
            <color indexed="81"/>
            <rFont val="Tahoma"/>
            <family val="2"/>
          </rPr>
          <t xml:space="preserve">  This guides
 the 'effective radius' of the bird - the separation from a blade required in order to clear a moving blade, taking account of all possible orientations of the bird.  Fin-propelled marine animals and foot-propelled birds have a shape factor of 4.0, while wing-propelled birds have a shape factor of 2.55.</t>
        </r>
      </text>
    </comment>
    <comment ref="B33" authorId="0" shapeId="0" xr:uid="{045B7733-E444-4067-A181-8238520A7CC1}">
      <text>
        <r>
          <rPr>
            <b/>
            <sz val="9"/>
            <color indexed="81"/>
            <rFont val="Tahoma"/>
            <family val="2"/>
          </rPr>
          <t xml:space="preserve">This is a calculated field.  </t>
        </r>
        <r>
          <rPr>
            <sz val="9"/>
            <color indexed="81"/>
            <rFont val="Tahoma"/>
            <family val="2"/>
          </rPr>
          <t>See comment on shape factor.  This field is the effective radius ie the clearance required to avoid contact with a blade.</t>
        </r>
      </text>
    </comment>
    <comment ref="B34" authorId="0" shapeId="0" xr:uid="{1A84A63E-C854-4CDF-845E-A98EB1F4032E}">
      <text>
        <r>
          <rPr>
            <sz val="9"/>
            <color indexed="81"/>
            <rFont val="Tahoma"/>
            <family val="2"/>
          </rPr>
          <t xml:space="preserve">This is a calculated field.  It gives the effective cross-sectional area of the blades, alllowing for the average clearance required to miss an animal (the 'effective radius')
</t>
        </r>
      </text>
    </comment>
    <comment ref="B37" authorId="0" shapeId="0" xr:uid="{E864137E-75CA-4C89-949B-F98A80AA069C}">
      <text>
        <r>
          <rPr>
            <b/>
            <sz val="9"/>
            <color indexed="81"/>
            <rFont val="Tahoma"/>
            <family val="2"/>
          </rPr>
          <t>This is a calculated field.</t>
        </r>
        <r>
          <rPr>
            <sz val="9"/>
            <color indexed="81"/>
            <rFont val="Tahoma"/>
            <family val="2"/>
          </rPr>
          <t xml:space="preserve">  Here it is - the encounter rate per second while the turbine is in operation.
</t>
        </r>
      </text>
    </comment>
    <comment ref="B38" authorId="0" shapeId="0" xr:uid="{6B5DDFF2-3123-4FFA-9D7C-74AAE769DC27}">
      <text>
        <r>
          <rPr>
            <b/>
            <sz val="9"/>
            <color indexed="81"/>
            <rFont val="Tahoma"/>
            <family val="2"/>
          </rPr>
          <t>This is a calculated field.</t>
        </r>
        <r>
          <rPr>
            <sz val="9"/>
            <color indexed="81"/>
            <rFont val="Tahoma"/>
            <family val="2"/>
          </rPr>
          <t xml:space="preserve">  And here is the encounter rate grossed up for the period discussed (usually a year) and allowing for the proportion of time the turbine is likely to be non-operational.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C5" authorId="0" shapeId="0" xr:uid="{473A6B29-01D9-4C56-A467-75F93BF6F0FE}">
      <text>
        <r>
          <rPr>
            <sz val="9"/>
            <color indexed="81"/>
            <rFont val="Tahoma"/>
            <family val="2"/>
          </rPr>
          <t xml:space="preserve">These are the symbols used in the text of the Fall of Warness collision risk report.
</t>
        </r>
      </text>
    </comment>
    <comment ref="B6" authorId="0" shapeId="0" xr:uid="{751CA35D-ACE2-4298-9166-AE236DEA01DA}">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7" authorId="0" shapeId="0" xr:uid="{13A4893C-4F77-4318-B3E5-9886416E1B4D}">
      <text>
        <r>
          <rPr>
            <sz val="9"/>
            <color indexed="81"/>
            <rFont val="Tahoma"/>
            <family val="2"/>
          </rPr>
          <t xml:space="preserve">This is a calculated field: the time period in seconds over which to get the encounter rate.  </t>
        </r>
      </text>
    </comment>
    <comment ref="B12" authorId="0" shapeId="0" xr:uid="{82F1F53F-032A-4D5C-8461-5171DBBB1090}">
      <text>
        <r>
          <rPr>
            <sz val="9"/>
            <color indexed="81"/>
            <rFont val="Tahoma"/>
            <family val="2"/>
          </rPr>
          <t>The inputs in Devices are in radius. Original spreadsheet had diameter as the input
so swapped it here (now diameter is 2x radius)</t>
        </r>
      </text>
    </comment>
    <comment ref="B13" authorId="0" shapeId="0" xr:uid="{1CF7F9E6-FE74-40CF-8AED-D9351BBD75DE}">
      <text>
        <r>
          <rPr>
            <sz val="9"/>
            <color indexed="81"/>
            <rFont val="Tahoma"/>
            <family val="2"/>
          </rPr>
          <t xml:space="preserve">Needs no comment - usually 2 or 3 but occasionally 4
</t>
        </r>
      </text>
    </comment>
    <comment ref="B14" authorId="0" shapeId="0" xr:uid="{F48AF497-4899-4F78-A2EB-B30FBCED7599}">
      <text>
        <r>
          <rPr>
            <sz val="9"/>
            <color indexed="81"/>
            <rFont val="Tahoma"/>
            <family val="2"/>
          </rPr>
          <t xml:space="preserve">Unlike in the ERM and ETPM models, this is the width of the blade as measured across its widest point, sometimes called the chord width
</t>
        </r>
      </text>
    </comment>
    <comment ref="B15" authorId="0" shapeId="0" xr:uid="{F81D6C43-9695-4917-A475-6E919590C793}">
      <text>
        <r>
          <rPr>
            <sz val="9"/>
            <color indexed="81"/>
            <rFont val="Tahoma"/>
            <family val="2"/>
          </rPr>
          <t xml:space="preserve">This is the angle the blade makes to the rotor plane, in degrees: a blade at 0 degrees would lie in the plane of the rotor and at 90 degrees would be fully feathered.  In practice blades are twisted so this is an average along the blade length.
</t>
        </r>
      </text>
    </comment>
    <comment ref="B16" authorId="0" shapeId="0" xr:uid="{DD5D945A-8889-46F5-8E68-A050698EC906}">
      <text>
        <r>
          <rPr>
            <sz val="9"/>
            <color indexed="81"/>
            <rFont val="Tahoma"/>
            <family val="2"/>
          </rPr>
          <t xml:space="preserve">The shape of the blade, expressed as the width c of the blade at radii r/R from 0 to 1 in 0.05 steps, as a proportion of the maximum blade width C.
</t>
        </r>
      </text>
    </comment>
    <comment ref="B17" authorId="0" shapeId="0" xr:uid="{990CEB86-F3D1-4736-A200-CBD691C5DDA8}">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9EDB06D3-5E1A-45EB-8017-D01D7EEC9927}">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22" authorId="0" shapeId="0" xr:uid="{721FF07B-E99C-438B-9B4B-A81283C76682}">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6" authorId="0" shapeId="0" xr:uid="{CA5AAFD1-83E2-43CE-B578-3C370FE80D96}">
      <text>
        <r>
          <rPr>
            <sz val="9"/>
            <color indexed="81"/>
            <rFont val="Tahoma"/>
            <family val="2"/>
          </rPr>
          <t xml:space="preserve">These are the species being assessed, copied across from the relevant 'density' sheet.
</t>
        </r>
      </text>
    </comment>
    <comment ref="B27" authorId="0" shapeId="0" xr:uid="{5A54D509-07E4-4EAB-9E52-CED78E7CADDD}">
      <text>
        <r>
          <rPr>
            <sz val="9"/>
            <color indexed="81"/>
            <rFont val="Tahoma"/>
            <family val="2"/>
          </rPr>
          <t xml:space="preserve">This data must be copied across from the relevant 'density' sheet'.  It is the average density of animals by volume (ie per m3) within the risk depth range.
</t>
        </r>
      </text>
    </comment>
    <comment ref="B28" authorId="0" shapeId="0" xr:uid="{9F829F39-4CA3-4AD6-B51C-49C969DDFDB1}">
      <text>
        <r>
          <rPr>
            <sz val="9"/>
            <color indexed="81"/>
            <rFont val="Tahoma"/>
            <family val="2"/>
          </rPr>
          <t xml:space="preserve">Choose 'sea mammal', 'diving bird', or 'fish'. On the basis of this information, the spreadsheet chooses which animal dimensions and which speed of approach to use. 
</t>
        </r>
      </text>
    </comment>
    <comment ref="B29" authorId="0" shapeId="0" xr:uid="{5E8E21C8-FE35-4208-AFDA-54290784B364}">
      <text>
        <r>
          <rPr>
            <sz val="9"/>
            <color indexed="81"/>
            <rFont val="Tahoma"/>
            <family val="2"/>
          </rPr>
          <t>Length of animal (m) 
from nose to tip of tail.  .</t>
        </r>
      </text>
    </comment>
    <comment ref="B30" authorId="0" shapeId="0" xr:uid="{08986C7F-C5F7-4694-A57F-6F84BDB93386}">
      <text>
        <r>
          <rPr>
            <sz val="9"/>
            <color indexed="81"/>
            <rFont val="Tahoma"/>
            <family val="2"/>
          </rPr>
          <t>Body width of animal - taken as 1/4 of body length; or the wingspan if a bird.</t>
        </r>
      </text>
    </comment>
    <comment ref="B35" authorId="0" shapeId="0" xr:uid="{4E6B7274-72A1-41F7-8603-200A037962BC}">
      <text>
        <r>
          <rPr>
            <sz val="9"/>
            <color indexed="81"/>
            <rFont val="Tahoma"/>
            <family val="2"/>
          </rPr>
          <t xml:space="preserve">For diving animals and birds, the net speed of approach to the rotor is taken as the current velocity.  For fish, the normal mean swim speed fo the fish is used.
</t>
        </r>
      </text>
    </comment>
    <comment ref="B36" authorId="0" shapeId="0" xr:uid="{02364D39-2883-46E3-AC70-73B61E035F7C}">
      <text>
        <r>
          <rPr>
            <sz val="9"/>
            <color indexed="81"/>
            <rFont val="Tahoma"/>
            <family val="2"/>
          </rPr>
          <t xml:space="preserve">the cross-sectional area of a rotor multiplied by the number of rotors
</t>
        </r>
      </text>
    </comment>
    <comment ref="B37" authorId="0" shapeId="0" xr:uid="{B3358CC2-C75A-4CC1-9DC4-1045F2925E46}">
      <text>
        <r>
          <rPr>
            <sz val="9"/>
            <color indexed="81"/>
            <rFont val="Tahoma"/>
            <family val="2"/>
          </rPr>
          <t xml:space="preserve">The probability of collision for a single transit through a rotor - the result of averaging over the whole disc area, assuming that the transit has equal probability of occurring at any point in the disc.  The upstream/downstream results are for transits against/with the flow
</t>
        </r>
      </text>
    </comment>
    <comment ref="B38" authorId="0" shapeId="0" xr:uid="{24120544-B308-4327-BC23-136D5958A681}">
      <text>
        <r>
          <rPr>
            <sz val="9"/>
            <color indexed="81"/>
            <rFont val="Tahoma"/>
            <family val="2"/>
          </rPr>
          <t xml:space="preserve">the number of transits through rotors per second
</t>
        </r>
      </text>
    </comment>
    <comment ref="B39" authorId="0" shapeId="0" xr:uid="{AEA93287-B6F9-4038-A762-5C6EBA7844CF}">
      <text>
        <r>
          <rPr>
            <sz val="9"/>
            <color indexed="81"/>
            <rFont val="Tahoma"/>
            <family val="2"/>
          </rPr>
          <t xml:space="preserve">The potential collision rate per second, before allowing for avoidance - the product of the previous two rows
</t>
        </r>
      </text>
    </comment>
    <comment ref="B41" authorId="0" shapeId="0" xr:uid="{FCBF21D0-8F6E-4BDE-BE17-D9B453000931}">
      <text>
        <r>
          <rPr>
            <sz val="9"/>
            <color indexed="81"/>
            <rFont val="Tahoma"/>
            <family val="2"/>
          </rPr>
          <t xml:space="preserve">The potential collision rate before avoidance in the period of study.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B9" authorId="0" shapeId="0" xr:uid="{837B0833-5C8A-4706-AD7F-65C8F93E53F6}">
      <text>
        <r>
          <rPr>
            <sz val="9"/>
            <color indexed="81"/>
            <rFont val="Tahoma"/>
            <family val="2"/>
          </rPr>
          <t xml:space="preserve">The diameter of the rotor, in metres.
</t>
        </r>
      </text>
    </comment>
    <comment ref="B10" authorId="0" shapeId="0" xr:uid="{04DE4CDE-01AC-470E-BFE0-32166369C1E7}">
      <text>
        <r>
          <rPr>
            <sz val="9"/>
            <color indexed="81"/>
            <rFont val="Tahoma"/>
            <family val="2"/>
          </rPr>
          <t xml:space="preserve">This is the depth (m) of the rotor tips when at their closest to the surface.
</t>
        </r>
      </text>
    </comment>
    <comment ref="B11" authorId="0" shapeId="0" xr:uid="{BCCF6138-CA4D-447B-9694-B96A4440A646}">
      <text>
        <r>
          <rPr>
            <sz val="9"/>
            <color indexed="81"/>
            <rFont val="Tahoma"/>
            <family val="2"/>
          </rPr>
          <t xml:space="preserve">the mean depth of the channel in the area where animals are foraging
</t>
        </r>
      </text>
    </comment>
    <comment ref="B14" authorId="0" shapeId="0" xr:uid="{2F8245E6-BD39-4C8A-BB48-EB82F09DB1B9}">
      <text>
        <r>
          <rPr>
            <sz val="9"/>
            <color indexed="81"/>
            <rFont val="Tahoma"/>
            <family val="2"/>
          </rPr>
          <t xml:space="preserve">The mean duration of a dive, in seconds.
</t>
        </r>
      </text>
    </comment>
    <comment ref="B15" authorId="0" shapeId="0" xr:uid="{DE94229D-6C84-48A9-AF4B-38B4A8B085F4}">
      <text>
        <r>
          <rPr>
            <b/>
            <sz val="9"/>
            <color indexed="81"/>
            <rFont val="Tahoma"/>
            <family val="2"/>
          </rPr>
          <t xml:space="preserve">This is a calculated field. </t>
        </r>
        <r>
          <rPr>
            <sz val="9"/>
            <color indexed="81"/>
            <rFont val="Tahoma"/>
            <family val="2"/>
          </rPr>
          <t xml:space="preserve"> The mean frequency of dives F, multiplied by the mean duration of a dive tu, gives the proportion of time Ftu spent underwater and hence 1-Ftu is the proportion of time spent on the surface.    F is just the reciprocal of the dive + surface time ie 1/(tu + ts)
The dive cycle for sea mammals is usually well documented in terms of mean dive time and surfacing time.
</t>
        </r>
      </text>
    </comment>
    <comment ref="B16" authorId="0" shapeId="0" xr:uid="{2F058D04-B986-4F54-9068-673E3DAE8C41}">
      <text>
        <r>
          <rPr>
            <sz val="9"/>
            <color indexed="81"/>
            <rFont val="Tahoma"/>
            <family val="2"/>
          </rPr>
          <t xml:space="preserve">'Shallow' dive birds are those whose typical dive depth is less than the maximum rotor depth.  'Deep' dive birds are those which typically dive to depths beyond the maximum rotor depth.  'Plunge' dive birds dive from the air, thus making a rapid descent through the water and a slower swum ascent.  A 'vertical swim speed' must be entered for all three types, but only the 'plunge' diving birds need a plunge speed.
</t>
        </r>
      </text>
    </comment>
    <comment ref="B17" authorId="0" shapeId="0" xr:uid="{5054F5B8-7D9B-40BA-BA09-7CF9881CB525}">
      <text>
        <r>
          <rPr>
            <sz val="9"/>
            <color indexed="81"/>
            <rFont val="Tahoma"/>
            <family val="2"/>
          </rPr>
          <t xml:space="preserve">This is the rate (m/sec) at which the bird swims downwards or upwards through the water column.
</t>
        </r>
      </text>
    </comment>
    <comment ref="B19" authorId="0" shapeId="0" xr:uid="{F0DC386E-B722-4AA9-AB72-11CCF58B536A}">
      <text>
        <r>
          <rPr>
            <b/>
            <sz val="9"/>
            <color indexed="81"/>
            <rFont val="Tahoma"/>
            <family val="2"/>
          </rPr>
          <t xml:space="preserve">This is a calculated field.  </t>
        </r>
        <r>
          <rPr>
            <sz val="9"/>
            <color indexed="81"/>
            <rFont val="Tahoma"/>
            <family val="2"/>
          </rPr>
          <t>Dependent on depth distribution type,</t>
        </r>
        <r>
          <rPr>
            <b/>
            <sz val="9"/>
            <color indexed="81"/>
            <rFont val="Tahoma"/>
            <family val="2"/>
          </rPr>
          <t xml:space="preserve"> </t>
        </r>
        <r>
          <rPr>
            <sz val="9"/>
            <color indexed="81"/>
            <rFont val="Tahoma"/>
            <family val="2"/>
          </rPr>
          <t>different formulae are used to calculate the time per dive at risk depth.  For shallow-diving animals, all dive time is at risk except for the time taken to swim down and back up from the maximum rotor height.  For deep-diving animals, only the time while swimming down and back up through the depths occupied by the rotor is at risk.  For some depth distribution types Q2R is calculated directly, and this field is left blank.</t>
        </r>
      </text>
    </comment>
    <comment ref="B20" authorId="0" shapeId="0" xr:uid="{EF38A138-8845-4742-8BC5-6FB5DFF84058}">
      <text>
        <r>
          <rPr>
            <b/>
            <sz val="9"/>
            <color indexed="81"/>
            <rFont val="Tahoma"/>
            <family val="2"/>
          </rPr>
          <t>This is a calculated field.</t>
        </r>
        <r>
          <rPr>
            <sz val="9"/>
            <color indexed="81"/>
            <rFont val="Tahoma"/>
            <family val="2"/>
          </rPr>
          <t xml:space="preserve">  It multiplies the dive frequency by the time per dive at risk depth, to get the proportion of time that the bird spends at risk depths.
</t>
        </r>
      </text>
    </comment>
    <comment ref="B21" authorId="0" shapeId="0" xr:uid="{E84293F2-8923-407B-AEAD-94B40EC389BA}">
      <text>
        <r>
          <rPr>
            <b/>
            <sz val="9"/>
            <color indexed="81"/>
            <rFont val="Tahoma"/>
            <family val="2"/>
          </rPr>
          <t>This is a calculated field.</t>
        </r>
        <r>
          <rPr>
            <sz val="9"/>
            <color indexed="81"/>
            <rFont val="Tahoma"/>
            <family val="2"/>
          </rPr>
          <t xml:space="preserve">  It multiplies the areal density by the proportion at risk depth, then divides by the rotor diameter to get a true density in birds m-3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Bill Band</author>
    <author>Thomas Benson</author>
  </authors>
  <commentList>
    <comment ref="C6" authorId="0" shapeId="0" xr:uid="{43D13090-D9C5-4E4C-A682-6798E6FAE5E9}">
      <text>
        <r>
          <rPr>
            <sz val="9"/>
            <color indexed="81"/>
            <rFont val="Tahoma"/>
            <family val="2"/>
          </rPr>
          <t xml:space="preserve">These are the symbols used in the text of the Fall of Warness collision risk report.
</t>
        </r>
      </text>
    </comment>
    <comment ref="B7" authorId="0" shapeId="0" xr:uid="{D6CEB1D7-4DB8-4BE3-A779-4C0965B3423C}">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8" authorId="0" shapeId="0" xr:uid="{9D41789D-FCAE-418D-AF13-89E0779528EF}">
      <text>
        <r>
          <rPr>
            <sz val="9"/>
            <color indexed="81"/>
            <rFont val="Tahoma"/>
            <family val="2"/>
          </rPr>
          <t xml:space="preserve">This is a calculated field: the time period in seconds over which to get the encounter rate.  </t>
        </r>
      </text>
    </comment>
    <comment ref="B12" authorId="1" shapeId="0" xr:uid="{C577F213-53CF-476A-BB81-00740AD01B65}">
      <text>
        <r>
          <rPr>
            <b/>
            <sz val="9"/>
            <color indexed="81"/>
            <rFont val="Tahoma"/>
            <family val="2"/>
          </rPr>
          <t>Thomas Benson:</t>
        </r>
        <r>
          <rPr>
            <sz val="9"/>
            <color indexed="81"/>
            <rFont val="Tahoma"/>
            <family val="2"/>
          </rPr>
          <t xml:space="preserve">
The device input is 'radius' therefore modified the code to calculate diameter (rather than the other way around)</t>
        </r>
      </text>
    </comment>
    <comment ref="B13" authorId="0" shapeId="0" xr:uid="{72DBA5E0-813C-4371-AD3D-4AF6D3EA374A}">
      <text>
        <r>
          <rPr>
            <sz val="9"/>
            <color indexed="81"/>
            <rFont val="Tahoma"/>
            <family val="2"/>
          </rPr>
          <t>The rotor diameter (twice the radius) in metres.</t>
        </r>
      </text>
    </comment>
    <comment ref="B14" authorId="0" shapeId="0" xr:uid="{DC5B3F8E-CDC6-47B8-B370-CC396F917C14}">
      <text>
        <r>
          <rPr>
            <sz val="9"/>
            <color indexed="81"/>
            <rFont val="Tahoma"/>
            <family val="2"/>
          </rPr>
          <t xml:space="preserve">Needs no comment - usually 2 or 3 but occasionally 4
</t>
        </r>
      </text>
    </comment>
    <comment ref="B15" authorId="0" shapeId="0" xr:uid="{B696A1A2-2D20-48DF-885D-C5AC42232BA0}">
      <text>
        <r>
          <rPr>
            <sz val="9"/>
            <color indexed="81"/>
            <rFont val="Tahoma"/>
            <family val="2"/>
          </rPr>
          <t>Unlike in the ERM and ETPM models, this is the width of the blade as measured across its widest point, sometimes called the chord width</t>
        </r>
      </text>
    </comment>
    <comment ref="B16" authorId="0" shapeId="0" xr:uid="{8009E62A-51F2-445A-BA15-3F756E957DC4}">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8E2C2A76-6DC7-413C-A587-1A9CA126B395}">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19" authorId="0" shapeId="0" xr:uid="{30752D5D-93A7-4C63-B17F-663747264EC0}">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3" authorId="0" shapeId="0" xr:uid="{A3B456ED-AC9A-45C8-A877-B0F885783CAD}">
      <text>
        <r>
          <rPr>
            <sz val="9"/>
            <color indexed="81"/>
            <rFont val="Tahoma"/>
            <family val="2"/>
          </rPr>
          <t xml:space="preserve">These are the species being assessed, copied across from the relevant 'density' sheet.
</t>
        </r>
      </text>
    </comment>
    <comment ref="B24" authorId="0" shapeId="0" xr:uid="{B020E1DA-8458-4339-B3E8-A4D9783C70AD}">
      <text>
        <r>
          <rPr>
            <sz val="9"/>
            <color indexed="81"/>
            <rFont val="Tahoma"/>
            <family val="2"/>
          </rPr>
          <t xml:space="preserve">This data must be copied across from the relevant 'density' sheet'.  It is the average density of animals by volume (ie per m3) within the risk depth range.
</t>
        </r>
      </text>
    </comment>
    <comment ref="B26" authorId="0" shapeId="0" xr:uid="{A0406DE4-23B8-4A5C-BFAC-D4FDD3711F05}">
      <text>
        <r>
          <rPr>
            <sz val="9"/>
            <color indexed="81"/>
            <rFont val="Tahoma"/>
            <family val="2"/>
          </rPr>
          <t xml:space="preserve">Length of animal (m) 
from nose to tip of tail.
</t>
        </r>
      </text>
    </comment>
    <comment ref="B27" authorId="0" shapeId="0" xr:uid="{82E86005-BB68-4AD1-B389-4071C211A8CB}">
      <text>
        <r>
          <rPr>
            <sz val="9"/>
            <color indexed="81"/>
            <rFont val="Tahoma"/>
            <family val="2"/>
          </rPr>
          <t xml:space="preserve">Body width of animal - taken as 1/4 of body length; or the wingspan if a bird.
</t>
        </r>
      </text>
    </comment>
    <comment ref="B29" authorId="0" shapeId="0" xr:uid="{B04A3059-958F-4BA3-B41A-3E9DE7C87F56}">
      <text>
        <r>
          <rPr>
            <sz val="9"/>
            <color indexed="81"/>
            <rFont val="Tahoma"/>
            <family val="2"/>
          </rPr>
          <t xml:space="preserve">This is the rate (m/sec) at which the bird swims downwards or upwards through the water column.
</t>
        </r>
      </text>
    </comment>
    <comment ref="B30" authorId="0" shapeId="0" xr:uid="{654F231D-0E84-4839-9BA6-9107B53CD61F}">
      <text>
        <r>
          <rPr>
            <b/>
            <sz val="9"/>
            <color indexed="81"/>
            <rFont val="Tahoma"/>
            <family val="2"/>
          </rPr>
          <t>This is a calculated field.</t>
        </r>
        <r>
          <rPr>
            <sz val="9"/>
            <color indexed="81"/>
            <rFont val="Tahoma"/>
            <family val="2"/>
          </rPr>
          <t xml:space="preserve">  This guides
 the 'effective radius' of the bird - the separation from a blade required in order to clear a moving blade, taking account of all possible orientations of the bird.  Fin-propelled marine animals and foot-propelled birds have a shape factor of 4.0, while wing-propelled birds have a shape factor of 2.55.</t>
        </r>
      </text>
    </comment>
    <comment ref="B33" authorId="0" shapeId="0" xr:uid="{B81A96C8-FF18-4638-A185-7043A3E9007E}">
      <text>
        <r>
          <rPr>
            <b/>
            <sz val="9"/>
            <color indexed="81"/>
            <rFont val="Tahoma"/>
            <family val="2"/>
          </rPr>
          <t xml:space="preserve">This is a calculated field.  </t>
        </r>
        <r>
          <rPr>
            <sz val="9"/>
            <color indexed="81"/>
            <rFont val="Tahoma"/>
            <family val="2"/>
          </rPr>
          <t>See comment on shape factor.  This field is the effective radius ie the clearance required to avoid contact with a blade.</t>
        </r>
      </text>
    </comment>
    <comment ref="B34" authorId="0" shapeId="0" xr:uid="{419A4785-ABCD-4152-8D92-46BBCF61F243}">
      <text>
        <r>
          <rPr>
            <sz val="9"/>
            <color indexed="81"/>
            <rFont val="Tahoma"/>
            <family val="2"/>
          </rPr>
          <t xml:space="preserve">This is a calculated field.  It gives the effective cross-sectional area of the blades, alllowing for the average clearance required to miss an animal (the 'effective radius')
</t>
        </r>
      </text>
    </comment>
    <comment ref="B37" authorId="0" shapeId="0" xr:uid="{A1ECC212-709D-4663-B1FB-874FB7992A21}">
      <text>
        <r>
          <rPr>
            <b/>
            <sz val="9"/>
            <color indexed="81"/>
            <rFont val="Tahoma"/>
            <family val="2"/>
          </rPr>
          <t>This is a calculated field.</t>
        </r>
        <r>
          <rPr>
            <sz val="9"/>
            <color indexed="81"/>
            <rFont val="Tahoma"/>
            <family val="2"/>
          </rPr>
          <t xml:space="preserve">  Here it is - the encounter rate per second while the turbine is in operation.
</t>
        </r>
      </text>
    </comment>
    <comment ref="B38" authorId="0" shapeId="0" xr:uid="{704EC53B-5221-4EE8-AF55-F65582C41733}">
      <text>
        <r>
          <rPr>
            <b/>
            <sz val="9"/>
            <color indexed="81"/>
            <rFont val="Tahoma"/>
            <family val="2"/>
          </rPr>
          <t>This is a calculated field.</t>
        </r>
        <r>
          <rPr>
            <sz val="9"/>
            <color indexed="81"/>
            <rFont val="Tahoma"/>
            <family val="2"/>
          </rPr>
          <t xml:space="preserve">  And here is the encounter rate grossed up for the period discussed (usually a year) and allowing for the proportion of time the turbine is likely to be non-operational.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C5" authorId="0" shapeId="0" xr:uid="{D11D53C3-B1E1-43B5-B617-C8CA5256DB43}">
      <text>
        <r>
          <rPr>
            <sz val="9"/>
            <color indexed="81"/>
            <rFont val="Tahoma"/>
            <family val="2"/>
          </rPr>
          <t xml:space="preserve">These are the symbols used in the text of the Fall of Warness collision risk report.
</t>
        </r>
      </text>
    </comment>
    <comment ref="B6" authorId="0" shapeId="0" xr:uid="{6DF3F0F7-282D-41B8-A625-B3C5F232F0A8}">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7" authorId="0" shapeId="0" xr:uid="{C2D38C84-A48F-4F18-8AE9-44D6337D5382}">
      <text>
        <r>
          <rPr>
            <sz val="9"/>
            <color indexed="81"/>
            <rFont val="Tahoma"/>
            <family val="2"/>
          </rPr>
          <t xml:space="preserve">This is a calculated field: the time period in seconds over which to get the encounter rate.  </t>
        </r>
      </text>
    </comment>
    <comment ref="B12" authorId="0" shapeId="0" xr:uid="{55AC6526-9914-4B32-8529-2CAED7CA339E}">
      <text>
        <r>
          <rPr>
            <sz val="9"/>
            <color indexed="81"/>
            <rFont val="Tahoma"/>
            <family val="2"/>
          </rPr>
          <t>The inputs in Devices are in radius. Original spreadsheet had diameter as the input
so swapped it here (now diameter is 2x radius)</t>
        </r>
      </text>
    </comment>
    <comment ref="B13" authorId="0" shapeId="0" xr:uid="{5A6191A7-D4A4-4DA5-80F6-530BEE826F94}">
      <text>
        <r>
          <rPr>
            <sz val="9"/>
            <color indexed="81"/>
            <rFont val="Tahoma"/>
            <family val="2"/>
          </rPr>
          <t xml:space="preserve">Needs no comment - usually 2 or 3 but occasionally 4
</t>
        </r>
      </text>
    </comment>
    <comment ref="B14" authorId="0" shapeId="0" xr:uid="{C9420AD3-7604-4E43-926E-3D2BB634E91A}">
      <text>
        <r>
          <rPr>
            <sz val="9"/>
            <color indexed="81"/>
            <rFont val="Tahoma"/>
            <family val="2"/>
          </rPr>
          <t xml:space="preserve">Unlike in the ERM and ETPM models, this is the width of the blade as measured across its widest point, sometimes called the chord width
</t>
        </r>
      </text>
    </comment>
    <comment ref="B15" authorId="0" shapeId="0" xr:uid="{EAE7AFDE-E444-4D00-A284-9CEE5D0FD0BF}">
      <text>
        <r>
          <rPr>
            <sz val="9"/>
            <color indexed="81"/>
            <rFont val="Tahoma"/>
            <family val="2"/>
          </rPr>
          <t xml:space="preserve">This is the angle the blade makes to the rotor plane, in degrees: a blade at 0 degrees would lie in the plane of the rotor and at 90 degrees would be fully feathered.  In practice blades are twisted so this is an average along the blade length.
</t>
        </r>
      </text>
    </comment>
    <comment ref="B16" authorId="0" shapeId="0" xr:uid="{66BBC225-1F17-41C0-9076-CC894B0E96EC}">
      <text>
        <r>
          <rPr>
            <sz val="9"/>
            <color indexed="81"/>
            <rFont val="Tahoma"/>
            <family val="2"/>
          </rPr>
          <t xml:space="preserve">The shape of the blade, expressed as the width c of the blade at radii r/R from 0 to 1 in 0.05 steps, as a proportion of the maximum blade width C.
</t>
        </r>
      </text>
    </comment>
    <comment ref="B17" authorId="0" shapeId="0" xr:uid="{22F291C0-DFA2-4A69-9C72-688ADD02582E}">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B0F1F747-00B4-4FBB-BDAC-DD92E0A2D0ED}">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22" authorId="0" shapeId="0" xr:uid="{C1D710C3-6C7B-4889-A2CE-A281B630523A}">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6" authorId="0" shapeId="0" xr:uid="{D67628A4-5866-4072-89B6-0DDF10EA00D3}">
      <text>
        <r>
          <rPr>
            <sz val="9"/>
            <color indexed="81"/>
            <rFont val="Tahoma"/>
            <family val="2"/>
          </rPr>
          <t xml:space="preserve">These are the species being assessed, copied across from the relevant 'density' sheet.
</t>
        </r>
      </text>
    </comment>
    <comment ref="B27" authorId="0" shapeId="0" xr:uid="{482BD6DE-A66E-4D29-9A9B-6858D2BE22B1}">
      <text>
        <r>
          <rPr>
            <sz val="9"/>
            <color indexed="81"/>
            <rFont val="Tahoma"/>
            <family val="2"/>
          </rPr>
          <t xml:space="preserve">This data must be copied across from the relevant 'density' sheet'.  It is the average density of animals by volume (ie per m3) within the risk depth range.
</t>
        </r>
      </text>
    </comment>
    <comment ref="B28" authorId="0" shapeId="0" xr:uid="{D182F11C-81CE-4BCA-9182-9909B857EDEB}">
      <text>
        <r>
          <rPr>
            <sz val="9"/>
            <color indexed="81"/>
            <rFont val="Tahoma"/>
            <family val="2"/>
          </rPr>
          <t xml:space="preserve">Choose 'sea mammal', 'diving bird', or 'fish'. On the basis of this information, the spreadsheet chooses which animal dimensions and which speed of approach to use. 
</t>
        </r>
      </text>
    </comment>
    <comment ref="B29" authorId="0" shapeId="0" xr:uid="{D40D23DC-883B-4A66-A594-D65885800822}">
      <text>
        <r>
          <rPr>
            <sz val="9"/>
            <color indexed="81"/>
            <rFont val="Tahoma"/>
            <family val="2"/>
          </rPr>
          <t>Length of animal (m) 
from nose to tip of tail.  .</t>
        </r>
      </text>
    </comment>
    <comment ref="B30" authorId="0" shapeId="0" xr:uid="{A8C2301D-DE41-4D9A-8E4F-7E4C8165A4AD}">
      <text>
        <r>
          <rPr>
            <sz val="9"/>
            <color indexed="81"/>
            <rFont val="Tahoma"/>
            <family val="2"/>
          </rPr>
          <t>Body width of animal - taken as 1/4 of body length; or the wingspan if a bird.</t>
        </r>
      </text>
    </comment>
    <comment ref="B35" authorId="0" shapeId="0" xr:uid="{8DD1BF0E-72A1-4FA9-A380-5CABEE058BE9}">
      <text>
        <r>
          <rPr>
            <sz val="9"/>
            <color indexed="81"/>
            <rFont val="Tahoma"/>
            <family val="2"/>
          </rPr>
          <t xml:space="preserve">For diving animals and birds, the net speed of approach to the rotor is taken as the current velocity.  For fish, the normal mean swim speed fo the fish is used.
</t>
        </r>
      </text>
    </comment>
    <comment ref="B36" authorId="0" shapeId="0" xr:uid="{6CF1B13B-B519-42E8-871C-A0BB266864AD}">
      <text>
        <r>
          <rPr>
            <sz val="9"/>
            <color indexed="81"/>
            <rFont val="Tahoma"/>
            <family val="2"/>
          </rPr>
          <t xml:space="preserve">the cross-sectional area of a rotor multiplied by the number of rotors
</t>
        </r>
      </text>
    </comment>
    <comment ref="B37" authorId="0" shapeId="0" xr:uid="{80E80763-0E2E-4C87-8D8D-AE5C72DBCCEE}">
      <text>
        <r>
          <rPr>
            <sz val="9"/>
            <color indexed="81"/>
            <rFont val="Tahoma"/>
            <family val="2"/>
          </rPr>
          <t xml:space="preserve">The probability of collision for a single transit through a rotor - the result of averaging over the whole disc area, assuming that the transit has equal probability of occurring at any point in the disc.  The upstream/downstream results are for transits against/with the flow
</t>
        </r>
      </text>
    </comment>
    <comment ref="B38" authorId="0" shapeId="0" xr:uid="{FD64DA09-2889-4787-8E4D-8FCA734F61BB}">
      <text>
        <r>
          <rPr>
            <sz val="9"/>
            <color indexed="81"/>
            <rFont val="Tahoma"/>
            <family val="2"/>
          </rPr>
          <t xml:space="preserve">the number of transits through rotors per second
</t>
        </r>
      </text>
    </comment>
    <comment ref="B39" authorId="0" shapeId="0" xr:uid="{65301442-4492-4387-A29F-CDF6B244F509}">
      <text>
        <r>
          <rPr>
            <sz val="9"/>
            <color indexed="81"/>
            <rFont val="Tahoma"/>
            <family val="2"/>
          </rPr>
          <t xml:space="preserve">The potential collision rate per second, before allowing for avoidance - the product of the previous two rows
</t>
        </r>
      </text>
    </comment>
    <comment ref="B41" authorId="0" shapeId="0" xr:uid="{F20BF04C-4F5E-4E36-8996-7A462EC6E669}">
      <text>
        <r>
          <rPr>
            <sz val="9"/>
            <color indexed="81"/>
            <rFont val="Tahoma"/>
            <family val="2"/>
          </rPr>
          <t xml:space="preserve">The potential collision rate before avoidance in the period of study.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B9" authorId="0" shapeId="0" xr:uid="{EBF1A4D0-06BA-4A44-BAD8-1C18F74C0532}">
      <text>
        <r>
          <rPr>
            <sz val="9"/>
            <color indexed="81"/>
            <rFont val="Tahoma"/>
            <family val="2"/>
          </rPr>
          <t xml:space="preserve">The diameter of the rotor, in metres.
</t>
        </r>
      </text>
    </comment>
    <comment ref="B10" authorId="0" shapeId="0" xr:uid="{00E0C824-7B34-484F-AAE9-879D76BA0DCD}">
      <text>
        <r>
          <rPr>
            <sz val="9"/>
            <color indexed="81"/>
            <rFont val="Tahoma"/>
            <family val="2"/>
          </rPr>
          <t xml:space="preserve">This is the depth (m) of the rotor tips when at their closest to the surface.
</t>
        </r>
      </text>
    </comment>
    <comment ref="B11" authorId="0" shapeId="0" xr:uid="{F92D7C23-0CFE-45F7-97C4-D2FFF6684165}">
      <text>
        <r>
          <rPr>
            <sz val="9"/>
            <color indexed="81"/>
            <rFont val="Tahoma"/>
            <family val="2"/>
          </rPr>
          <t xml:space="preserve">the mean depth of the channel in the area where animals are foraging
</t>
        </r>
      </text>
    </comment>
    <comment ref="B14" authorId="0" shapeId="0" xr:uid="{6E46124A-99EC-4ACF-9C36-8120030949CA}">
      <text>
        <r>
          <rPr>
            <sz val="9"/>
            <color indexed="81"/>
            <rFont val="Tahoma"/>
            <family val="2"/>
          </rPr>
          <t xml:space="preserve">The mean duration of a dive, in seconds.
</t>
        </r>
      </text>
    </comment>
    <comment ref="B15" authorId="0" shapeId="0" xr:uid="{58B09661-CE05-4352-8851-5C1E86ECE13F}">
      <text>
        <r>
          <rPr>
            <b/>
            <sz val="9"/>
            <color indexed="81"/>
            <rFont val="Tahoma"/>
            <family val="2"/>
          </rPr>
          <t xml:space="preserve">This is a calculated field. </t>
        </r>
        <r>
          <rPr>
            <sz val="9"/>
            <color indexed="81"/>
            <rFont val="Tahoma"/>
            <family val="2"/>
          </rPr>
          <t xml:space="preserve"> The mean frequency of dives F, multiplied by the mean duration of a dive tu, gives the proportion of time Ftu spent underwater and hence 1-Ftu is the proportion of time spent on the surface.    F is just the reciprocal of the dive + surface time ie 1/(tu + ts)
The dive cycle for sea mammals is usually well documented in terms of mean dive time and surfacing time.
</t>
        </r>
      </text>
    </comment>
    <comment ref="B16" authorId="0" shapeId="0" xr:uid="{73C0634F-0E04-4B5D-A4C5-4F0C80E15FD4}">
      <text>
        <r>
          <rPr>
            <sz val="9"/>
            <color indexed="81"/>
            <rFont val="Tahoma"/>
            <family val="2"/>
          </rPr>
          <t xml:space="preserve">'Shallow' dive birds are those whose typical dive depth is less than the maximum rotor depth.  'Deep' dive birds are those which typically dive to depths beyond the maximum rotor depth.  'Plunge' dive birds dive from the air, thus making a rapid descent through the water and a slower swum ascent.  A 'vertical swim speed' must be entered for all three types, but only the 'plunge' diving birds need a plunge speed.
</t>
        </r>
      </text>
    </comment>
    <comment ref="B17" authorId="0" shapeId="0" xr:uid="{2B96A0B9-BF45-4079-BDC4-5035470C52ED}">
      <text>
        <r>
          <rPr>
            <sz val="9"/>
            <color indexed="81"/>
            <rFont val="Tahoma"/>
            <family val="2"/>
          </rPr>
          <t xml:space="preserve">This is the rate (m/sec) at which the bird swims downwards or upwards through the water column.
</t>
        </r>
      </text>
    </comment>
    <comment ref="B19" authorId="0" shapeId="0" xr:uid="{C11DF06C-6047-4C71-96D2-47ABA008422E}">
      <text>
        <r>
          <rPr>
            <b/>
            <sz val="9"/>
            <color indexed="81"/>
            <rFont val="Tahoma"/>
            <family val="2"/>
          </rPr>
          <t xml:space="preserve">This is a calculated field.  </t>
        </r>
        <r>
          <rPr>
            <sz val="9"/>
            <color indexed="81"/>
            <rFont val="Tahoma"/>
            <family val="2"/>
          </rPr>
          <t>Dependent on depth distribution type,</t>
        </r>
        <r>
          <rPr>
            <b/>
            <sz val="9"/>
            <color indexed="81"/>
            <rFont val="Tahoma"/>
            <family val="2"/>
          </rPr>
          <t xml:space="preserve"> </t>
        </r>
        <r>
          <rPr>
            <sz val="9"/>
            <color indexed="81"/>
            <rFont val="Tahoma"/>
            <family val="2"/>
          </rPr>
          <t>different formulae are used to calculate the time per dive at risk depth.  For shallow-diving animals, all dive time is at risk except for the time taken to swim down and back up from the maximum rotor height.  For deep-diving animals, only the time while swimming down and back up through the depths occupied by the rotor is at risk.  For some depth distribution types Q2R is calculated directly, and this field is left blank.</t>
        </r>
      </text>
    </comment>
    <comment ref="B20" authorId="0" shapeId="0" xr:uid="{19676332-FAB2-4C76-B722-943869032A00}">
      <text>
        <r>
          <rPr>
            <b/>
            <sz val="9"/>
            <color indexed="81"/>
            <rFont val="Tahoma"/>
            <family val="2"/>
          </rPr>
          <t>This is a calculated field.</t>
        </r>
        <r>
          <rPr>
            <sz val="9"/>
            <color indexed="81"/>
            <rFont val="Tahoma"/>
            <family val="2"/>
          </rPr>
          <t xml:space="preserve">  It multiplies the dive frequency by the time per dive at risk depth, to get the proportion of time that the bird spends at risk depths.
</t>
        </r>
      </text>
    </comment>
    <comment ref="B21" authorId="0" shapeId="0" xr:uid="{94A846DC-1BEC-4BB4-8A64-51EC7C21104A}">
      <text>
        <r>
          <rPr>
            <b/>
            <sz val="9"/>
            <color indexed="81"/>
            <rFont val="Tahoma"/>
            <family val="2"/>
          </rPr>
          <t>This is a calculated field.</t>
        </r>
        <r>
          <rPr>
            <sz val="9"/>
            <color indexed="81"/>
            <rFont val="Tahoma"/>
            <family val="2"/>
          </rPr>
          <t xml:space="preserve">  It multiplies the areal density by the proportion at risk depth, then divides by the rotor diameter to get a true density in birds m-3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Bill Band</author>
    <author>Thomas Benson</author>
  </authors>
  <commentList>
    <comment ref="C6" authorId="0" shapeId="0" xr:uid="{4C4F60E0-B273-44A0-9993-E9440E9EACAA}">
      <text>
        <r>
          <rPr>
            <sz val="9"/>
            <color indexed="81"/>
            <rFont val="Tahoma"/>
            <family val="2"/>
          </rPr>
          <t xml:space="preserve">These are the symbols used in the text of the Fall of Warness collision risk report.
</t>
        </r>
      </text>
    </comment>
    <comment ref="B7" authorId="0" shapeId="0" xr:uid="{7C0F12B7-AE6B-4B5E-8C62-14B712C41AE9}">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8" authorId="0" shapeId="0" xr:uid="{A7D99FFE-7037-4D4C-B99E-8C10629F4CBD}">
      <text>
        <r>
          <rPr>
            <sz val="9"/>
            <color indexed="81"/>
            <rFont val="Tahoma"/>
            <family val="2"/>
          </rPr>
          <t xml:space="preserve">This is a calculated field: the time period in seconds over which to get the encounter rate.  </t>
        </r>
      </text>
    </comment>
    <comment ref="B12" authorId="1" shapeId="0" xr:uid="{C8CC3806-FE53-400B-82A7-FFD2A3D081C2}">
      <text>
        <r>
          <rPr>
            <b/>
            <sz val="9"/>
            <color indexed="81"/>
            <rFont val="Tahoma"/>
            <family val="2"/>
          </rPr>
          <t>Thomas Benson:</t>
        </r>
        <r>
          <rPr>
            <sz val="9"/>
            <color indexed="81"/>
            <rFont val="Tahoma"/>
            <family val="2"/>
          </rPr>
          <t xml:space="preserve">
The device input is 'radius' therefore modified the code to calculate diameter (rather than the other way around)</t>
        </r>
      </text>
    </comment>
    <comment ref="B13" authorId="0" shapeId="0" xr:uid="{D883D4B3-4BCB-4D63-8257-29D55B532E38}">
      <text>
        <r>
          <rPr>
            <sz val="9"/>
            <color indexed="81"/>
            <rFont val="Tahoma"/>
            <family val="2"/>
          </rPr>
          <t>The rotor diameter (twice the radius) in metres.</t>
        </r>
      </text>
    </comment>
    <comment ref="B14" authorId="0" shapeId="0" xr:uid="{47E4251C-01A1-467F-B098-F6B42436064B}">
      <text>
        <r>
          <rPr>
            <sz val="9"/>
            <color indexed="81"/>
            <rFont val="Tahoma"/>
            <family val="2"/>
          </rPr>
          <t xml:space="preserve">Needs no comment - usually 2 or 3 but occasionally 4
</t>
        </r>
      </text>
    </comment>
    <comment ref="B15" authorId="0" shapeId="0" xr:uid="{A351CD9A-7B35-418F-B320-5BB353286043}">
      <text>
        <r>
          <rPr>
            <sz val="9"/>
            <color indexed="81"/>
            <rFont val="Tahoma"/>
            <family val="2"/>
          </rPr>
          <t>Unlike in the ERM and ETPM models, this is the width of the blade as measured across its widest point, sometimes called the chord width</t>
        </r>
      </text>
    </comment>
    <comment ref="B16" authorId="0" shapeId="0" xr:uid="{D2D59F08-9A19-4535-B71B-D2B57FAC3D2F}">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DCC88837-D9EC-42C6-AE84-76FEC9967C48}">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19" authorId="0" shapeId="0" xr:uid="{6A5B0C7B-9197-484C-A431-C4A344BE6C75}">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3" authorId="0" shapeId="0" xr:uid="{007CFC3E-E5BF-4EE7-8134-F8D49D205DD1}">
      <text>
        <r>
          <rPr>
            <sz val="9"/>
            <color indexed="81"/>
            <rFont val="Tahoma"/>
            <family val="2"/>
          </rPr>
          <t xml:space="preserve">These are the species being assessed, copied across from the relevant 'density' sheet.
</t>
        </r>
      </text>
    </comment>
    <comment ref="B24" authorId="0" shapeId="0" xr:uid="{E6A49468-58EF-4B40-8E54-242298B017CD}">
      <text>
        <r>
          <rPr>
            <sz val="9"/>
            <color indexed="81"/>
            <rFont val="Tahoma"/>
            <family val="2"/>
          </rPr>
          <t xml:space="preserve">This data must be copied across from the relevant 'density' sheet'.  It is the average density of animals by volume (ie per m3) within the risk depth range.
</t>
        </r>
      </text>
    </comment>
    <comment ref="B26" authorId="0" shapeId="0" xr:uid="{D5AA8840-ECE8-47AA-8EA6-73E094FD3B2B}">
      <text>
        <r>
          <rPr>
            <sz val="9"/>
            <color indexed="81"/>
            <rFont val="Tahoma"/>
            <family val="2"/>
          </rPr>
          <t xml:space="preserve">Length of animal (m) 
from nose to tip of tail.
</t>
        </r>
      </text>
    </comment>
    <comment ref="B27" authorId="0" shapeId="0" xr:uid="{76246431-7F8C-4C4C-A6EC-FF564EB0D218}">
      <text>
        <r>
          <rPr>
            <sz val="9"/>
            <color indexed="81"/>
            <rFont val="Tahoma"/>
            <family val="2"/>
          </rPr>
          <t xml:space="preserve">Body width of animal - taken as 1/4 of body length; or the wingspan if a bird.
</t>
        </r>
      </text>
    </comment>
    <comment ref="B29" authorId="0" shapeId="0" xr:uid="{3A6E670D-2A9B-408F-B14F-963D80330028}">
      <text>
        <r>
          <rPr>
            <sz val="9"/>
            <color indexed="81"/>
            <rFont val="Tahoma"/>
            <family val="2"/>
          </rPr>
          <t xml:space="preserve">This is the rate (m/sec) at which the bird swims downwards or upwards through the water column.
</t>
        </r>
      </text>
    </comment>
    <comment ref="B30" authorId="0" shapeId="0" xr:uid="{3A024079-F482-44EC-9D41-DB972081B4A1}">
      <text>
        <r>
          <rPr>
            <b/>
            <sz val="9"/>
            <color indexed="81"/>
            <rFont val="Tahoma"/>
            <family val="2"/>
          </rPr>
          <t>This is a calculated field.</t>
        </r>
        <r>
          <rPr>
            <sz val="9"/>
            <color indexed="81"/>
            <rFont val="Tahoma"/>
            <family val="2"/>
          </rPr>
          <t xml:space="preserve">  This guides
 the 'effective radius' of the bird - the separation from a blade required in order to clear a moving blade, taking account of all possible orientations of the bird.  Fin-propelled marine animals and foot-propelled birds have a shape factor of 4.0, while wing-propelled birds have a shape factor of 2.55.</t>
        </r>
      </text>
    </comment>
    <comment ref="B33" authorId="0" shapeId="0" xr:uid="{945E4324-E254-4FDB-9A03-5C6A795A4348}">
      <text>
        <r>
          <rPr>
            <b/>
            <sz val="9"/>
            <color indexed="81"/>
            <rFont val="Tahoma"/>
            <family val="2"/>
          </rPr>
          <t xml:space="preserve">This is a calculated field.  </t>
        </r>
        <r>
          <rPr>
            <sz val="9"/>
            <color indexed="81"/>
            <rFont val="Tahoma"/>
            <family val="2"/>
          </rPr>
          <t>See comment on shape factor.  This field is the effective radius ie the clearance required to avoid contact with a blade.</t>
        </r>
      </text>
    </comment>
    <comment ref="B34" authorId="0" shapeId="0" xr:uid="{4EDDB8DE-9E1F-4544-852F-DC1ADE4DC6A7}">
      <text>
        <r>
          <rPr>
            <sz val="9"/>
            <color indexed="81"/>
            <rFont val="Tahoma"/>
            <family val="2"/>
          </rPr>
          <t xml:space="preserve">This is a calculated field.  It gives the effective cross-sectional area of the blades, alllowing for the average clearance required to miss an animal (the 'effective radius')
</t>
        </r>
      </text>
    </comment>
    <comment ref="B37" authorId="0" shapeId="0" xr:uid="{C5F00A84-0143-4A48-AE74-79D172E5007E}">
      <text>
        <r>
          <rPr>
            <b/>
            <sz val="9"/>
            <color indexed="81"/>
            <rFont val="Tahoma"/>
            <family val="2"/>
          </rPr>
          <t>This is a calculated field.</t>
        </r>
        <r>
          <rPr>
            <sz val="9"/>
            <color indexed="81"/>
            <rFont val="Tahoma"/>
            <family val="2"/>
          </rPr>
          <t xml:space="preserve">  Here it is - the encounter rate per second while the turbine is in operation.
</t>
        </r>
      </text>
    </comment>
    <comment ref="B38" authorId="0" shapeId="0" xr:uid="{8BAFD128-AD3E-440F-BE78-13BC3C14835E}">
      <text>
        <r>
          <rPr>
            <b/>
            <sz val="9"/>
            <color indexed="81"/>
            <rFont val="Tahoma"/>
            <family val="2"/>
          </rPr>
          <t>This is a calculated field.</t>
        </r>
        <r>
          <rPr>
            <sz val="9"/>
            <color indexed="81"/>
            <rFont val="Tahoma"/>
            <family val="2"/>
          </rPr>
          <t xml:space="preserve">  And here is the encounter rate grossed up for the period discussed (usually a year) and allowing for the proportion of time the turbine is likely to be non-operational.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Bill Band</author>
  </authors>
  <commentList>
    <comment ref="C5" authorId="0" shapeId="0" xr:uid="{3B0A528D-07CB-4F63-A977-3C1E6E2AB156}">
      <text>
        <r>
          <rPr>
            <sz val="9"/>
            <color indexed="81"/>
            <rFont val="Tahoma"/>
            <family val="2"/>
          </rPr>
          <t xml:space="preserve">These are the symbols used in the text of the Fall of Warness collision risk report.
</t>
        </r>
      </text>
    </comment>
    <comment ref="B6" authorId="0" shapeId="0" xr:uid="{48804B03-510C-4C93-9744-33D48D4B5E8B}">
      <text>
        <r>
          <rPr>
            <sz val="9"/>
            <color indexed="81"/>
            <rFont val="Tahoma"/>
            <family val="2"/>
          </rPr>
          <t xml:space="preserve">Normally this calculation will be done for a period of 1 year.  However it can be done for a month or a breeding season eg 3.5 months, or a number of weeks, as required.  Enter the period required, choosing weeks,months or years in cell D43 and the appropriate number in cell E43.  The spreadsheet will convert it to seconds in cell E44.
</t>
        </r>
      </text>
    </comment>
    <comment ref="B7" authorId="0" shapeId="0" xr:uid="{426DBC97-16C8-4CBD-8989-DAA210721A7C}">
      <text>
        <r>
          <rPr>
            <sz val="9"/>
            <color indexed="81"/>
            <rFont val="Tahoma"/>
            <family val="2"/>
          </rPr>
          <t xml:space="preserve">This is a calculated field: the time period in seconds over which to get the encounter rate.  </t>
        </r>
      </text>
    </comment>
    <comment ref="B12" authorId="0" shapeId="0" xr:uid="{89893D49-D8C5-4BAF-BB32-0500C077E472}">
      <text>
        <r>
          <rPr>
            <sz val="9"/>
            <color indexed="81"/>
            <rFont val="Tahoma"/>
            <family val="2"/>
          </rPr>
          <t>The inputs in Devices are in radius. Original spreadsheet had diameter as the input
so swapped it here (now diameter is 2x radius)</t>
        </r>
      </text>
    </comment>
    <comment ref="B13" authorId="0" shapeId="0" xr:uid="{8601BDED-B27D-4742-B352-7FA2DA2DECB8}">
      <text>
        <r>
          <rPr>
            <sz val="9"/>
            <color indexed="81"/>
            <rFont val="Tahoma"/>
            <family val="2"/>
          </rPr>
          <t xml:space="preserve">Needs no comment - usually 2 or 3 but occasionally 4
</t>
        </r>
      </text>
    </comment>
    <comment ref="B14" authorId="0" shapeId="0" xr:uid="{1C8A5F25-12B4-479E-A4EE-BDB6EAD1D8EC}">
      <text>
        <r>
          <rPr>
            <sz val="9"/>
            <color indexed="81"/>
            <rFont val="Tahoma"/>
            <family val="2"/>
          </rPr>
          <t xml:space="preserve">Unlike in the ERM and ETPM models, this is the width of the blade as measured across its widest point, sometimes called the chord width
</t>
        </r>
      </text>
    </comment>
    <comment ref="B15" authorId="0" shapeId="0" xr:uid="{57CC38DB-7448-4B7A-9875-85D45CCC17F4}">
      <text>
        <r>
          <rPr>
            <sz val="9"/>
            <color indexed="81"/>
            <rFont val="Tahoma"/>
            <family val="2"/>
          </rPr>
          <t xml:space="preserve">This is the angle the blade makes to the rotor plane, in degrees: a blade at 0 degrees would lie in the plane of the rotor and at 90 degrees would be fully feathered.  In practice blades are twisted so this is an average along the blade length.
</t>
        </r>
      </text>
    </comment>
    <comment ref="B16" authorId="0" shapeId="0" xr:uid="{51ADC3D0-07A0-419B-99ED-3A176CC9BCFE}">
      <text>
        <r>
          <rPr>
            <sz val="9"/>
            <color indexed="81"/>
            <rFont val="Tahoma"/>
            <family val="2"/>
          </rPr>
          <t xml:space="preserve">The shape of the blade, expressed as the width c of the blade at radii r/R from 0 to 1 in 0.05 steps, as a proportion of the maximum blade width C.
</t>
        </r>
      </text>
    </comment>
    <comment ref="B17" authorId="0" shapeId="0" xr:uid="{904589C6-49E8-4962-A6CC-BAE26B20F7EC}">
      <text>
        <r>
          <rPr>
            <sz val="9"/>
            <color indexed="81"/>
            <rFont val="Tahoma"/>
            <family val="2"/>
          </rPr>
          <t>This is the mean rotation speed while in operation, ie excluding periods below cut-in or above cut-in current speeds</t>
        </r>
        <r>
          <rPr>
            <b/>
            <sz val="9"/>
            <color indexed="81"/>
            <rFont val="Tahoma"/>
            <family val="2"/>
          </rPr>
          <t xml:space="preserve">.  </t>
        </r>
        <r>
          <rPr>
            <sz val="9"/>
            <color indexed="81"/>
            <rFont val="Tahoma"/>
            <family val="2"/>
          </rPr>
          <t xml:space="preserve">In rpm (revolutions per minute).   If this information is not available, leave this field blank and rely on the tip speed ratio.
</t>
        </r>
      </text>
    </comment>
    <comment ref="B18" authorId="0" shapeId="0" xr:uid="{4070B0F2-C376-4A11-8331-9EA87E36C615}">
      <text>
        <r>
          <rPr>
            <sz val="9"/>
            <color indexed="81"/>
            <rFont val="Tahoma"/>
            <family val="2"/>
          </rPr>
          <t xml:space="preserve">This allows for the proportion of time when the turbine is not operational because the current speed is below the cut-in speed for the turbine or above the cut-out speed when the current speed is excessive.  Allowance may also be included for downtime for maintenance and repair.
</t>
        </r>
      </text>
    </comment>
    <comment ref="B22" authorId="0" shapeId="0" xr:uid="{A98B87AD-A01F-4AAF-86A2-DB6D5F9A7364}">
      <text>
        <r>
          <rPr>
            <b/>
            <sz val="9"/>
            <color indexed="81"/>
            <rFont val="Tahoma"/>
            <family val="2"/>
          </rPr>
          <t>Bill Band:</t>
        </r>
        <r>
          <rPr>
            <sz val="9"/>
            <color indexed="81"/>
            <rFont val="Tahoma"/>
            <family val="2"/>
          </rPr>
          <t xml:space="preserve">
This is the tidal current speed at the turbine site, averaged over the time during which the turbine is in operation, ie excluding slack tides or excessive tides when the turbine may be closed down</t>
        </r>
      </text>
    </comment>
    <comment ref="B26" authorId="0" shapeId="0" xr:uid="{89CDD06A-F2F3-46A3-92E1-41ADEACA221D}">
      <text>
        <r>
          <rPr>
            <sz val="9"/>
            <color indexed="81"/>
            <rFont val="Tahoma"/>
            <family val="2"/>
          </rPr>
          <t xml:space="preserve">These are the species being assessed, copied across from the relevant 'density' sheet.
</t>
        </r>
      </text>
    </comment>
    <comment ref="B27" authorId="0" shapeId="0" xr:uid="{1761FB8B-C0D3-4306-818C-CF202613295B}">
      <text>
        <r>
          <rPr>
            <sz val="9"/>
            <color indexed="81"/>
            <rFont val="Tahoma"/>
            <family val="2"/>
          </rPr>
          <t xml:space="preserve">This data must be copied across from the relevant 'density' sheet'.  It is the average density of animals by volume (ie per m3) within the risk depth range.
</t>
        </r>
      </text>
    </comment>
    <comment ref="B28" authorId="0" shapeId="0" xr:uid="{5E2B0A4B-1665-4546-9343-83F75EBE6E86}">
      <text>
        <r>
          <rPr>
            <sz val="9"/>
            <color indexed="81"/>
            <rFont val="Tahoma"/>
            <family val="2"/>
          </rPr>
          <t xml:space="preserve">Choose 'sea mammal', 'diving bird', or 'fish'. On the basis of this information, the spreadsheet chooses which animal dimensions and which speed of approach to use. 
</t>
        </r>
      </text>
    </comment>
    <comment ref="B29" authorId="0" shapeId="0" xr:uid="{E256A515-2D2B-4E48-9CCC-3E8309DAB9CD}">
      <text>
        <r>
          <rPr>
            <sz val="9"/>
            <color indexed="81"/>
            <rFont val="Tahoma"/>
            <family val="2"/>
          </rPr>
          <t>Length of animal (m) 
from nose to tip of tail.  .</t>
        </r>
      </text>
    </comment>
    <comment ref="B30" authorId="0" shapeId="0" xr:uid="{7088F829-BCA5-4857-833F-CE249E2DF9FE}">
      <text>
        <r>
          <rPr>
            <sz val="9"/>
            <color indexed="81"/>
            <rFont val="Tahoma"/>
            <family val="2"/>
          </rPr>
          <t>Body width of animal - taken as 1/4 of body length; or the wingspan if a bird.</t>
        </r>
      </text>
    </comment>
    <comment ref="B35" authorId="0" shapeId="0" xr:uid="{5A3AA032-3BD3-4BC2-9F06-3C487401C45C}">
      <text>
        <r>
          <rPr>
            <sz val="9"/>
            <color indexed="81"/>
            <rFont val="Tahoma"/>
            <family val="2"/>
          </rPr>
          <t xml:space="preserve">For diving animals and birds, the net speed of approach to the rotor is taken as the current velocity.  For fish, the normal mean swim speed fo the fish is used.
</t>
        </r>
      </text>
    </comment>
    <comment ref="B36" authorId="0" shapeId="0" xr:uid="{A2A851C9-C2CC-43BE-99EC-7C65902B9133}">
      <text>
        <r>
          <rPr>
            <sz val="9"/>
            <color indexed="81"/>
            <rFont val="Tahoma"/>
            <family val="2"/>
          </rPr>
          <t xml:space="preserve">the cross-sectional area of a rotor multiplied by the number of rotors
</t>
        </r>
      </text>
    </comment>
    <comment ref="B37" authorId="0" shapeId="0" xr:uid="{8D5C6C47-F093-4DD3-8797-6329ED79A401}">
      <text>
        <r>
          <rPr>
            <sz val="9"/>
            <color indexed="81"/>
            <rFont val="Tahoma"/>
            <family val="2"/>
          </rPr>
          <t xml:space="preserve">The probability of collision for a single transit through a rotor - the result of averaging over the whole disc area, assuming that the transit has equal probability of occurring at any point in the disc.  The upstream/downstream results are for transits against/with the flow
</t>
        </r>
      </text>
    </comment>
    <comment ref="B38" authorId="0" shapeId="0" xr:uid="{F602E8F1-AF7E-4BB2-8A98-3428E14F4DE3}">
      <text>
        <r>
          <rPr>
            <sz val="9"/>
            <color indexed="81"/>
            <rFont val="Tahoma"/>
            <family val="2"/>
          </rPr>
          <t xml:space="preserve">the number of transits through rotors per second
</t>
        </r>
      </text>
    </comment>
    <comment ref="B39" authorId="0" shapeId="0" xr:uid="{EF15C0E9-96B4-4501-83C5-0F80FE53011A}">
      <text>
        <r>
          <rPr>
            <sz val="9"/>
            <color indexed="81"/>
            <rFont val="Tahoma"/>
            <family val="2"/>
          </rPr>
          <t xml:space="preserve">The potential collision rate per second, before allowing for avoidance - the product of the previous two rows
</t>
        </r>
      </text>
    </comment>
    <comment ref="B41" authorId="0" shapeId="0" xr:uid="{18B84000-5F94-44B0-80FA-1C041FA164E6}">
      <text>
        <r>
          <rPr>
            <sz val="9"/>
            <color indexed="81"/>
            <rFont val="Tahoma"/>
            <family val="2"/>
          </rPr>
          <t xml:space="preserve">The potential collision rate before avoidance in the period of study.
</t>
        </r>
      </text>
    </comment>
  </commentList>
</comments>
</file>

<file path=xl/sharedStrings.xml><?xml version="1.0" encoding="utf-8"?>
<sst xmlns="http://schemas.openxmlformats.org/spreadsheetml/2006/main" count="2069" uniqueCount="296">
  <si>
    <r>
      <t>D</t>
    </r>
    <r>
      <rPr>
        <vertAlign val="subscript"/>
        <sz val="9"/>
        <color theme="1"/>
        <rFont val="Calibri"/>
        <family val="2"/>
        <scheme val="minor"/>
      </rPr>
      <t>S</t>
    </r>
  </si>
  <si>
    <r>
      <t>dives s</t>
    </r>
    <r>
      <rPr>
        <vertAlign val="superscript"/>
        <sz val="9"/>
        <rFont val="Calibri"/>
        <family val="2"/>
        <scheme val="minor"/>
      </rPr>
      <t>-1</t>
    </r>
  </si>
  <si>
    <t>overall dive frequency</t>
  </si>
  <si>
    <t>F</t>
  </si>
  <si>
    <t>mean underwater duration of dive</t>
  </si>
  <si>
    <r>
      <t>t</t>
    </r>
    <r>
      <rPr>
        <vertAlign val="subscript"/>
        <sz val="9"/>
        <color theme="1"/>
        <rFont val="Calibri"/>
        <family val="2"/>
        <scheme val="minor"/>
      </rPr>
      <t>u</t>
    </r>
  </si>
  <si>
    <t>s</t>
  </si>
  <si>
    <t>watch period</t>
  </si>
  <si>
    <r>
      <t>t</t>
    </r>
    <r>
      <rPr>
        <vertAlign val="subscript"/>
        <sz val="9"/>
        <color theme="1"/>
        <rFont val="Calibri"/>
        <family val="2"/>
        <scheme val="minor"/>
      </rPr>
      <t>w</t>
    </r>
  </si>
  <si>
    <t>proportion visible at surface</t>
  </si>
  <si>
    <r>
      <t>1-F*max(0,t</t>
    </r>
    <r>
      <rPr>
        <vertAlign val="subscript"/>
        <sz val="9"/>
        <rFont val="Calibri"/>
        <family val="2"/>
        <scheme val="minor"/>
      </rPr>
      <t>u</t>
    </r>
    <r>
      <rPr>
        <sz val="9"/>
        <rFont val="Calibri"/>
        <family val="2"/>
        <scheme val="minor"/>
      </rPr>
      <t>-t</t>
    </r>
    <r>
      <rPr>
        <vertAlign val="subscript"/>
        <sz val="9"/>
        <rFont val="Calibri"/>
        <family val="2"/>
        <scheme val="minor"/>
      </rPr>
      <t>w</t>
    </r>
    <r>
      <rPr>
        <sz val="9"/>
        <rFont val="Calibri"/>
        <family val="2"/>
        <scheme val="minor"/>
      </rPr>
      <t>)</t>
    </r>
  </si>
  <si>
    <t>time per dive at risk depth</t>
  </si>
  <si>
    <t>H</t>
  </si>
  <si>
    <t>proportion at risk depth</t>
  </si>
  <si>
    <t>FH</t>
  </si>
  <si>
    <t>adjusted at sea density</t>
  </si>
  <si>
    <t>D</t>
  </si>
  <si>
    <t>CRM ENCOUNTER RATE</t>
  </si>
  <si>
    <t>total frontal area</t>
  </si>
  <si>
    <t>pcoll</t>
  </si>
  <si>
    <t>no of rotor transits per second</t>
  </si>
  <si>
    <t>Rotor data</t>
  </si>
  <si>
    <t>B</t>
  </si>
  <si>
    <t>m</t>
  </si>
  <si>
    <t>rotor diameter</t>
  </si>
  <si>
    <t>2R</t>
  </si>
  <si>
    <t>rotor radius</t>
  </si>
  <si>
    <t>R</t>
  </si>
  <si>
    <t>number of blades</t>
  </si>
  <si>
    <t>b</t>
  </si>
  <si>
    <t>maximum blade width</t>
  </si>
  <si>
    <t>C</t>
  </si>
  <si>
    <t>γ</t>
  </si>
  <si>
    <t>degrees</t>
  </si>
  <si>
    <t>blade profile</t>
  </si>
  <si>
    <t>c/C</t>
  </si>
  <si>
    <t>rotation speed</t>
  </si>
  <si>
    <t>Ω</t>
  </si>
  <si>
    <t>rpm</t>
  </si>
  <si>
    <t>% time not operational</t>
  </si>
  <si>
    <t>nop</t>
  </si>
  <si>
    <r>
      <t>animals m</t>
    </r>
    <r>
      <rPr>
        <vertAlign val="superscript"/>
        <sz val="9"/>
        <color theme="1"/>
        <rFont val="Calibri"/>
        <family val="2"/>
        <scheme val="minor"/>
      </rPr>
      <t>-2</t>
    </r>
  </si>
  <si>
    <t>Animal data</t>
  </si>
  <si>
    <t>L</t>
  </si>
  <si>
    <t>W</t>
  </si>
  <si>
    <t>Period data</t>
  </si>
  <si>
    <t>symbol</t>
  </si>
  <si>
    <t>units</t>
  </si>
  <si>
    <t>time in period</t>
  </si>
  <si>
    <t>years</t>
  </si>
  <si>
    <t>time in period (secs)</t>
  </si>
  <si>
    <t>t</t>
  </si>
  <si>
    <t>r/R</t>
  </si>
  <si>
    <t>blade profile:</t>
  </si>
  <si>
    <t>Risk depth</t>
  </si>
  <si>
    <t>rotor minimum depth</t>
  </si>
  <si>
    <t>vertical swim speed</t>
  </si>
  <si>
    <t>u</t>
  </si>
  <si>
    <r>
      <t>m s</t>
    </r>
    <r>
      <rPr>
        <vertAlign val="superscript"/>
        <sz val="9"/>
        <color theme="1"/>
        <rFont val="Calibri"/>
        <family val="2"/>
        <scheme val="minor"/>
      </rPr>
      <t>-1</t>
    </r>
  </si>
  <si>
    <t>animals</t>
  </si>
  <si>
    <t>w</t>
  </si>
  <si>
    <t>v</t>
  </si>
  <si>
    <t>ERM ENCOUNTER RATE</t>
  </si>
  <si>
    <t>effective blade area</t>
  </si>
  <si>
    <t>A</t>
  </si>
  <si>
    <t>encounter rate (unit density)</t>
  </si>
  <si>
    <t>encounter rate (per sec)</t>
  </si>
  <si>
    <t>encounter rate (per period)</t>
  </si>
  <si>
    <t>shape factor</t>
  </si>
  <si>
    <t>f</t>
  </si>
  <si>
    <t>r</t>
  </si>
  <si>
    <t>W/f</t>
  </si>
  <si>
    <t>bodywidth/wingspan</t>
  </si>
  <si>
    <t>rotor width front to back</t>
  </si>
  <si>
    <t>mean surface time</t>
  </si>
  <si>
    <r>
      <t>t</t>
    </r>
    <r>
      <rPr>
        <vertAlign val="subscript"/>
        <sz val="9"/>
        <color theme="1"/>
        <rFont val="Calibri"/>
        <family val="2"/>
        <scheme val="minor"/>
      </rPr>
      <t>s</t>
    </r>
  </si>
  <si>
    <t>&lt;--</t>
  </si>
  <si>
    <t>harbour porpoise</t>
  </si>
  <si>
    <t>minke whale</t>
  </si>
  <si>
    <r>
      <t>u</t>
    </r>
    <r>
      <rPr>
        <vertAlign val="subscript"/>
        <sz val="9"/>
        <color theme="1"/>
        <rFont val="Calibri"/>
        <family val="2"/>
        <scheme val="minor"/>
      </rPr>
      <t>0</t>
    </r>
  </si>
  <si>
    <t>length</t>
  </si>
  <si>
    <t>swim speed used</t>
  </si>
  <si>
    <t>speed of approach used</t>
  </si>
  <si>
    <t>uniform</t>
  </si>
  <si>
    <t>Current data</t>
  </si>
  <si>
    <t>wingspan / bodywidth</t>
  </si>
  <si>
    <t>depth distribution type</t>
  </si>
  <si>
    <t>species</t>
  </si>
  <si>
    <t>animal density ar risk depth (c/f)</t>
  </si>
  <si>
    <t>rotor diameter (c/f)</t>
  </si>
  <si>
    <t>Species (c/f)</t>
  </si>
  <si>
    <t>number of rotors</t>
  </si>
  <si>
    <t>blade pitch at blade tip</t>
  </si>
  <si>
    <t>0.5 or 0.8</t>
  </si>
  <si>
    <t>Species name</t>
  </si>
  <si>
    <t>swim speed (marine animals only)</t>
  </si>
  <si>
    <t>no</t>
  </si>
  <si>
    <t>body length used perp to rotor</t>
  </si>
  <si>
    <t>body width used in rotor plane</t>
  </si>
  <si>
    <t>W'</t>
  </si>
  <si>
    <t>L'</t>
  </si>
  <si>
    <t>swap length &amp; width for diving birds</t>
  </si>
  <si>
    <t>marine animal</t>
  </si>
  <si>
    <t>marine animal or diving bird?</t>
  </si>
  <si>
    <t>effective animal radius</t>
  </si>
  <si>
    <t>correct for proportion underwater?</t>
  </si>
  <si>
    <t>animal density at risk depth (c/f)</t>
  </si>
  <si>
    <t>grey seal</t>
  </si>
  <si>
    <t>no of rotor transits in period</t>
  </si>
  <si>
    <t>encounter rate (per sec) before avoidance</t>
  </si>
  <si>
    <t>encounters in period before avoidance</t>
  </si>
  <si>
    <t>encounter probability for single transit</t>
  </si>
  <si>
    <t>mean tangential blade speed</t>
  </si>
  <si>
    <t>mean blade speed relative to water</t>
  </si>
  <si>
    <t>20-40m</t>
  </si>
  <si>
    <t>40-60m</t>
  </si>
  <si>
    <t>60-80m</t>
  </si>
  <si>
    <t>80-100m</t>
  </si>
  <si>
    <t>&gt;100m</t>
  </si>
  <si>
    <t>wbin</t>
  </si>
  <si>
    <t>dbin</t>
  </si>
  <si>
    <t>surface</t>
  </si>
  <si>
    <t>0-0.05</t>
  </si>
  <si>
    <t>0.05-0.10</t>
  </si>
  <si>
    <t>0.10-0.15</t>
  </si>
  <si>
    <t>0.15-0.20</t>
  </si>
  <si>
    <t>0.20-0.25</t>
  </si>
  <si>
    <t>0.25-30</t>
  </si>
  <si>
    <t>0.30-0.35</t>
  </si>
  <si>
    <t>0.35-0.40</t>
  </si>
  <si>
    <t>0.40-0.45</t>
  </si>
  <si>
    <t>0.45-0.50</t>
  </si>
  <si>
    <t>0.50-0.55</t>
  </si>
  <si>
    <t>0.55-0.60</t>
  </si>
  <si>
    <t>0.60-0.65</t>
  </si>
  <si>
    <t>0.65-0.70</t>
  </si>
  <si>
    <t>0.70-0.75</t>
  </si>
  <si>
    <t>0.75-0.80</t>
  </si>
  <si>
    <t>0.80-0.85</t>
  </si>
  <si>
    <t>0.85-0.90</t>
  </si>
  <si>
    <t>0.90-0.95</t>
  </si>
  <si>
    <t>0.95-1.00</t>
  </si>
  <si>
    <t>prop of max depth</t>
  </si>
  <si>
    <t>harbour seal</t>
  </si>
  <si>
    <t>20-30m</t>
  </si>
  <si>
    <t>30-40m</t>
  </si>
  <si>
    <t>0-5</t>
  </si>
  <si>
    <t>5-10</t>
  </si>
  <si>
    <t>10-15</t>
  </si>
  <si>
    <t>15-20</t>
  </si>
  <si>
    <t>20-25</t>
  </si>
  <si>
    <t>25-30</t>
  </si>
  <si>
    <t>30-35</t>
  </si>
  <si>
    <t>35-40</t>
  </si>
  <si>
    <t>&gt;40</t>
  </si>
  <si>
    <t>metres</t>
  </si>
  <si>
    <t>&lt;20m</t>
  </si>
  <si>
    <t>40-50-m</t>
  </si>
  <si>
    <t>50-60m</t>
  </si>
  <si>
    <t>&gt;60m</t>
  </si>
  <si>
    <t>40-45</t>
  </si>
  <si>
    <t>45-50</t>
  </si>
  <si>
    <t>50-55</t>
  </si>
  <si>
    <t>55-60</t>
  </si>
  <si>
    <t>60-65</t>
  </si>
  <si>
    <t>65-70</t>
  </si>
  <si>
    <t>70-75</t>
  </si>
  <si>
    <t>&gt;75</t>
  </si>
  <si>
    <t>totals:</t>
  </si>
  <si>
    <t>Species:</t>
  </si>
  <si>
    <t>Water depth</t>
  </si>
  <si>
    <t>Min depth of turbine</t>
  </si>
  <si>
    <t>Max depth of turbine</t>
  </si>
  <si>
    <t>Flag</t>
  </si>
  <si>
    <t>Check routine:</t>
  </si>
  <si>
    <t>0.544, 0.344, 0.236</t>
  </si>
  <si>
    <t>ratio CRM/ERM</t>
  </si>
  <si>
    <t>Q2R</t>
  </si>
  <si>
    <t>the calculations in this box do not affect</t>
  </si>
  <si>
    <t>the main calculations</t>
  </si>
  <si>
    <t>Use this routine to explore values of Q2R:</t>
  </si>
  <si>
    <t>ALL THIS DATA SHOULD BE CONSIDERED ONLY AS DRAFT - JUNE 2015</t>
  </si>
  <si>
    <t>Data drawn from Thompson (2015)</t>
  </si>
  <si>
    <t>harbour porpoise depths are as a proportion of max dive depth</t>
  </si>
  <si>
    <t>harbour and grey seal depths are in metres</t>
  </si>
  <si>
    <t>Avoidance</t>
  </si>
  <si>
    <t>Mean channel depth</t>
  </si>
  <si>
    <t>1 turbine</t>
  </si>
  <si>
    <t>bottlenose dolphin</t>
  </si>
  <si>
    <t>Risso's dolphin</t>
  </si>
  <si>
    <t>Parameter</t>
  </si>
  <si>
    <t>Unit</t>
  </si>
  <si>
    <t>Device Examples</t>
  </si>
  <si>
    <t>n</t>
  </si>
  <si>
    <t>m/s</t>
  </si>
  <si>
    <t>%</t>
  </si>
  <si>
    <t>mean current speed</t>
  </si>
  <si>
    <t>devices for 30MW array (indicative)</t>
  </si>
  <si>
    <t>generic</t>
  </si>
  <si>
    <t>common dolphin</t>
  </si>
  <si>
    <t>Device</t>
  </si>
  <si>
    <t>CRM</t>
  </si>
  <si>
    <t>ERM</t>
  </si>
  <si>
    <t>blade "depth" (front to back, side view)</t>
  </si>
  <si>
    <t>blade "width" (side to side, front view)</t>
  </si>
  <si>
    <t>distance from seabed to blade tip</t>
  </si>
  <si>
    <t>power output of one device (indicative)</t>
  </si>
  <si>
    <t>MW</t>
  </si>
  <si>
    <t>rotor min depth in mean water depth</t>
  </si>
  <si>
    <t>median water depth</t>
  </si>
  <si>
    <t>available depth distribution types:</t>
  </si>
  <si>
    <t>shallow-diving</t>
  </si>
  <si>
    <t>deep-diving</t>
  </si>
  <si>
    <t>atlantic salmon</t>
  </si>
  <si>
    <t>Swept area (per device)</t>
  </si>
  <si>
    <t>m2</t>
  </si>
  <si>
    <t>Number of devices for less than 3 harbour porpoise (99.7% avoidance)</t>
  </si>
  <si>
    <t>Number of devices for Phase 1 option 1 = 7 turbines (14MW)</t>
  </si>
  <si>
    <t>HP</t>
  </si>
  <si>
    <t>BND</t>
  </si>
  <si>
    <t>HS</t>
  </si>
  <si>
    <t>GS</t>
  </si>
  <si>
    <t>RD</t>
  </si>
  <si>
    <t>CD</t>
  </si>
  <si>
    <t>Number of devices for less than 0.66 bottlenose dolphin (99.7% avoidance)</t>
  </si>
  <si>
    <t>Red values exceed species annual collision limit</t>
  </si>
  <si>
    <t>Number</t>
  </si>
  <si>
    <t>Number of devices for less than 1 marine mammal (99.7% avoidance)</t>
  </si>
  <si>
    <t>Number of devices for less than 1 BND, MW or RD (99.7% avoidance)</t>
  </si>
  <si>
    <t>Number of devices for less than 1 MW, BND or RD (99.7% avoidance)</t>
  </si>
  <si>
    <r>
      <t>Observed density (per m</t>
    </r>
    <r>
      <rPr>
        <vertAlign val="superscript"/>
        <sz val="9"/>
        <color theme="1"/>
        <rFont val="Calibri"/>
        <family val="2"/>
        <scheme val="minor"/>
      </rPr>
      <t>2</t>
    </r>
    <r>
      <rPr>
        <sz val="9"/>
        <color theme="1"/>
        <rFont val="Calibri"/>
        <family val="2"/>
        <scheme val="minor"/>
      </rPr>
      <t>)</t>
    </r>
  </si>
  <si>
    <t>Diving behaviour</t>
  </si>
  <si>
    <t>Physiology</t>
  </si>
  <si>
    <r>
      <t>1/(t</t>
    </r>
    <r>
      <rPr>
        <vertAlign val="subscript"/>
        <sz val="9"/>
        <rFont val="Calibri"/>
        <family val="2"/>
        <scheme val="minor"/>
      </rPr>
      <t>u</t>
    </r>
    <r>
      <rPr>
        <sz val="9"/>
        <rFont val="Calibri"/>
        <family val="2"/>
        <scheme val="minor"/>
      </rPr>
      <t>+t</t>
    </r>
    <r>
      <rPr>
        <vertAlign val="subscript"/>
        <sz val="9"/>
        <rFont val="Calibri"/>
        <family val="2"/>
        <scheme val="minor"/>
      </rPr>
      <t>s</t>
    </r>
    <r>
      <rPr>
        <sz val="9"/>
        <rFont val="Calibri"/>
        <family val="2"/>
        <scheme val="minor"/>
      </rPr>
      <t>)</t>
    </r>
  </si>
  <si>
    <r>
      <t>D</t>
    </r>
    <r>
      <rPr>
        <vertAlign val="subscript"/>
        <sz val="9"/>
        <rFont val="Calibri"/>
        <family val="2"/>
        <scheme val="minor"/>
      </rPr>
      <t>A</t>
    </r>
  </si>
  <si>
    <r>
      <t>animals m</t>
    </r>
    <r>
      <rPr>
        <vertAlign val="superscript"/>
        <sz val="9"/>
        <rFont val="Calibri"/>
        <family val="2"/>
        <scheme val="minor"/>
      </rPr>
      <t>-2</t>
    </r>
  </si>
  <si>
    <t>Adjusted density (calculations)</t>
  </si>
  <si>
    <t>From devices</t>
  </si>
  <si>
    <t>From 
animals</t>
  </si>
  <si>
    <t>Animal density at risk depth calculations</t>
  </si>
  <si>
    <t>Intermediate 
calculations</t>
  </si>
  <si>
    <t>Results</t>
  </si>
  <si>
    <t>Name</t>
  </si>
  <si>
    <t>Animals</t>
  </si>
  <si>
    <t>Animal input data</t>
  </si>
  <si>
    <t>Time period units</t>
  </si>
  <si>
    <t>Time period (in units)</t>
  </si>
  <si>
    <t>Animal data inputs</t>
  </si>
  <si>
    <t>From 
density</t>
  </si>
  <si>
    <t>TB - I needed to copy back the formula into here (it was hard coded values)</t>
  </si>
  <si>
    <t>Phase</t>
  </si>
  <si>
    <t>Option</t>
  </si>
  <si>
    <t>Total power generation (indicative)</t>
  </si>
  <si>
    <t>Deployment scenario</t>
  </si>
  <si>
    <t>same as before</t>
  </si>
  <si>
    <t>Magallanes</t>
  </si>
  <si>
    <t>AR5</t>
  </si>
  <si>
    <t>Number devices  (indicative)</t>
  </si>
  <si>
    <t>Total MW  per device type  (indicative)</t>
  </si>
  <si>
    <t>tu</t>
  </si>
  <si>
    <t>dives s-1</t>
  </si>
  <si>
    <t>1/(tu+ts)</t>
  </si>
  <si>
    <t>m s-1</t>
  </si>
  <si>
    <t>DA</t>
  </si>
  <si>
    <t>animals m-2</t>
  </si>
  <si>
    <t>density at risk depth (per m3)</t>
  </si>
  <si>
    <t>animals m-3</t>
  </si>
  <si>
    <t>DA    Q2R /2R</t>
  </si>
  <si>
    <t>vr</t>
  </si>
  <si>
    <t>mean current speed (m s-1)</t>
  </si>
  <si>
    <t>vc</t>
  </si>
  <si>
    <t>√ (vr2 + vc2)</t>
  </si>
  <si>
    <t>m-3</t>
  </si>
  <si>
    <t>u0</t>
  </si>
  <si>
    <t>(w+2r )(R+r) bB</t>
  </si>
  <si>
    <t>u or u0</t>
  </si>
  <si>
    <t>u for birds; otherwise u0</t>
  </si>
  <si>
    <t>animals s-1</t>
  </si>
  <si>
    <t>A (u2+3v2)/3v</t>
  </si>
  <si>
    <t>CERM</t>
  </si>
  <si>
    <t>A D (u2+3v2)/3v</t>
  </si>
  <si>
    <t>CERM t (1-nop)</t>
  </si>
  <si>
    <t>Bπ(R+0.5W')2</t>
  </si>
  <si>
    <t>s-1</t>
  </si>
  <si>
    <t>D Bπ(R+0.5W')2 vc</t>
  </si>
  <si>
    <t>CCRM</t>
  </si>
  <si>
    <t>D(Bπ(R+0.5W')2 vc pcoll</t>
  </si>
  <si>
    <t>D Bπ(R+0.5W')2 vc(1-nop)t</t>
  </si>
  <si>
    <t>CCRM (1-nop) t</t>
  </si>
  <si>
    <t>Species</t>
  </si>
  <si>
    <t>Model</t>
  </si>
  <si>
    <t>Number of devices</t>
  </si>
  <si>
    <t>Power (MW)</t>
  </si>
  <si>
    <t>Device Group</t>
  </si>
  <si>
    <t>Population</t>
  </si>
  <si>
    <t>Avoidance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</si>
</sst>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000E+00"/>
    <numFmt numFmtId="166" formatCode="0.000"/>
    <numFmt numFmtId="167" formatCode="0.0%"/>
    <numFmt numFmtId="168" formatCode="0.0000"/>
    <numFmt numFmtId="169" formatCode="0.000000"/>
    <numFmt numFmtId="170" formatCode="0.00000E+00"/>
  </numFmts>
  <fonts count="45" x14ac:knownFonts="1">
    <font>
      <sz val="11"/>
      <color theme="1"/>
      <name val="Calibri"/>
      <family val="2"/>
      <scheme val="minor"/>
    </font>
    <font>
      <sz val="10"/>
      <color theme="1"/>
      <name val="Arial"/>
      <family val="2"/>
    </font>
    <font>
      <sz val="11"/>
      <color theme="1"/>
      <name val="Calibri"/>
      <family val="2"/>
      <scheme val="minor"/>
    </font>
    <font>
      <b/>
      <sz val="11"/>
      <color theme="1"/>
      <name val="Calibri"/>
      <family val="2"/>
      <scheme val="minor"/>
    </font>
    <font>
      <sz val="10"/>
      <name val="Arial"/>
      <family val="2"/>
    </font>
    <font>
      <b/>
      <sz val="9"/>
      <color theme="1"/>
      <name val="Calibri"/>
      <family val="2"/>
      <scheme val="minor"/>
    </font>
    <font>
      <sz val="9"/>
      <color theme="1"/>
      <name val="Calibri"/>
      <family val="2"/>
      <scheme val="minor"/>
    </font>
    <font>
      <vertAlign val="superscript"/>
      <sz val="9"/>
      <color theme="1"/>
      <name val="Calibri"/>
      <family val="2"/>
      <scheme val="minor"/>
    </font>
    <font>
      <b/>
      <sz val="9"/>
      <name val="Calibri"/>
      <family val="2"/>
      <scheme val="minor"/>
    </font>
    <font>
      <vertAlign val="subscript"/>
      <sz val="9"/>
      <color theme="1"/>
      <name val="Calibri"/>
      <family val="2"/>
      <scheme val="minor"/>
    </font>
    <font>
      <sz val="9"/>
      <color indexed="81"/>
      <name val="Tahoma"/>
      <family val="2"/>
    </font>
    <font>
      <sz val="9"/>
      <name val="Calibri"/>
      <family val="2"/>
      <scheme val="minor"/>
    </font>
    <font>
      <vertAlign val="subscript"/>
      <sz val="9"/>
      <name val="Calibri"/>
      <family val="2"/>
      <scheme val="minor"/>
    </font>
    <font>
      <vertAlign val="superscript"/>
      <sz val="9"/>
      <name val="Calibri"/>
      <family val="2"/>
      <scheme val="minor"/>
    </font>
    <font>
      <sz val="10"/>
      <color theme="1"/>
      <name val="Arial"/>
      <family val="2"/>
    </font>
    <font>
      <sz val="9"/>
      <color rgb="FFFF0000"/>
      <name val="Calibri"/>
      <family val="2"/>
      <scheme val="minor"/>
    </font>
    <font>
      <b/>
      <sz val="9"/>
      <color indexed="81"/>
      <name val="Tahoma"/>
      <family val="2"/>
    </font>
    <font>
      <sz val="9"/>
      <color theme="1"/>
      <name val="Calibri"/>
      <family val="2"/>
    </font>
    <font>
      <i/>
      <sz val="9"/>
      <color theme="1"/>
      <name val="Calibri"/>
      <family val="2"/>
      <scheme val="minor"/>
    </font>
    <font>
      <sz val="9"/>
      <name val="Calibri"/>
      <family val="2"/>
    </font>
    <font>
      <sz val="9"/>
      <name val="Arial"/>
      <family val="2"/>
    </font>
    <font>
      <sz val="8"/>
      <name val="Arial"/>
      <family val="2"/>
    </font>
    <font>
      <sz val="9"/>
      <color theme="8" tint="-0.249977111117893"/>
      <name val="Calibri"/>
      <family val="2"/>
      <scheme val="minor"/>
    </font>
    <font>
      <sz val="11"/>
      <color theme="8" tint="-0.249977111117893"/>
      <name val="Calibri"/>
      <family val="2"/>
      <scheme val="minor"/>
    </font>
    <font>
      <b/>
      <sz val="9"/>
      <color theme="8" tint="-0.249977111117893"/>
      <name val="Calibri"/>
      <family val="2"/>
      <scheme val="minor"/>
    </font>
    <font>
      <sz val="11"/>
      <color rgb="FFFF0000"/>
      <name val="Calibri"/>
      <family val="2"/>
      <scheme val="minor"/>
    </font>
    <font>
      <b/>
      <sz val="14"/>
      <color rgb="FFFF0000"/>
      <name val="Calibri"/>
      <family val="2"/>
      <scheme val="minor"/>
    </font>
    <font>
      <b/>
      <sz val="9"/>
      <color rgb="FFFF0000"/>
      <name val="Calibri"/>
      <family val="2"/>
      <scheme val="minor"/>
    </font>
    <font>
      <sz val="10"/>
      <color rgb="FFFF0000"/>
      <name val="Arial"/>
      <family val="2"/>
    </font>
    <font>
      <sz val="11"/>
      <name val="Calibri"/>
      <family val="2"/>
      <scheme val="minor"/>
    </font>
    <font>
      <b/>
      <sz val="11"/>
      <name val="Calibri"/>
      <family val="2"/>
      <scheme val="minor"/>
    </font>
    <font>
      <sz val="11"/>
      <name val="Arial"/>
      <family val="2"/>
    </font>
    <font>
      <b/>
      <sz val="11"/>
      <name val="Arial"/>
      <family val="2"/>
    </font>
    <font>
      <b/>
      <sz val="20"/>
      <name val="Calibri"/>
      <family val="2"/>
      <scheme val="minor"/>
    </font>
    <font>
      <b/>
      <sz val="10"/>
      <name val="Calibri"/>
      <family val="2"/>
      <scheme val="minor"/>
    </font>
    <font>
      <b/>
      <sz val="9"/>
      <name val="Arial"/>
      <family val="2"/>
    </font>
    <font>
      <b/>
      <sz val="12"/>
      <color rgb="FF00B050"/>
      <name val="Calibri"/>
      <family val="2"/>
      <scheme val="minor"/>
    </font>
    <font>
      <b/>
      <sz val="12"/>
      <color rgb="FFFF0000"/>
      <name val="Calibri"/>
      <family val="2"/>
      <scheme val="minor"/>
    </font>
    <font>
      <sz val="9"/>
      <color theme="0" tint="-0.34998626667073579"/>
      <name val="Calibri"/>
      <family val="2"/>
      <scheme val="minor"/>
    </font>
    <font>
      <b/>
      <sz val="12"/>
      <name val="Calibri"/>
      <family val="2"/>
      <scheme val="minor"/>
    </font>
    <font>
      <sz val="10"/>
      <color theme="1"/>
      <name val="Calibri"/>
      <family val="2"/>
      <scheme val="minor"/>
    </font>
    <font>
      <sz val="10"/>
      <color rgb="FFFF0000"/>
      <name val="Calibri"/>
      <family val="2"/>
      <scheme val="minor"/>
    </font>
    <font>
      <sz val="10"/>
      <color theme="0" tint="-0.34998626667073579"/>
      <name val="Calibri"/>
      <family val="2"/>
      <scheme val="minor"/>
    </font>
    <font>
      <b/>
      <sz val="11"/>
      <color rgb="FFFF0000"/>
      <name val="Calibri"/>
      <family val="2"/>
      <scheme val="minor"/>
    </font>
    <font>
      <sz val="16"/>
      <color rgb="FFFF0000"/>
      <name val="Calibri"/>
      <family val="2"/>
      <scheme val="minor"/>
    </font>
  </fonts>
  <fills count="14">
    <fill>
      <patternFill patternType="none"/>
    </fill>
    <fill>
      <patternFill patternType="gray125"/>
    </fill>
    <fill>
      <patternFill patternType="solid">
        <fgColor theme="3"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indexed="64"/>
      </right>
      <top/>
      <bottom/>
      <diagonal/>
    </border>
    <border>
      <left/>
      <right/>
      <top style="medium">
        <color indexed="64"/>
      </top>
      <bottom/>
      <diagonal/>
    </border>
    <border>
      <left/>
      <right/>
      <top/>
      <bottom style="medium">
        <color indexed="64"/>
      </bottom>
      <diagonal/>
    </border>
  </borders>
  <cellStyleXfs count="7">
    <xf numFmtId="0" fontId="0" fillId="0" borderId="0"/>
    <xf numFmtId="9" fontId="2" fillId="0" borderId="0" applyFont="0" applyFill="0" applyBorder="0" applyAlignment="0" applyProtection="0"/>
    <xf numFmtId="0" fontId="4" fillId="0" borderId="0"/>
    <xf numFmtId="9" fontId="2" fillId="0" borderId="0" applyFont="0" applyFill="0" applyBorder="0" applyAlignment="0" applyProtection="0"/>
    <xf numFmtId="0" fontId="14" fillId="0" borderId="0"/>
    <xf numFmtId="9" fontId="2" fillId="0" borderId="0" applyFont="0" applyFill="0" applyBorder="0" applyAlignment="0" applyProtection="0"/>
    <xf numFmtId="9" fontId="14" fillId="0" borderId="0" applyFont="0" applyFill="0" applyBorder="0" applyAlignment="0" applyProtection="0"/>
  </cellStyleXfs>
  <cellXfs count="327">
    <xf numFmtId="0" fontId="0" fillId="0" borderId="0" xfId="0"/>
    <xf numFmtId="0" fontId="5" fillId="0" borderId="0" xfId="2" applyFont="1"/>
    <xf numFmtId="0" fontId="4" fillId="0" borderId="0" xfId="2" applyAlignment="1">
      <alignment horizontal="left"/>
    </xf>
    <xf numFmtId="0" fontId="6" fillId="0" borderId="0" xfId="2" applyFont="1" applyAlignment="1">
      <alignment horizontal="center"/>
    </xf>
    <xf numFmtId="0" fontId="6" fillId="0" borderId="0" xfId="2" applyFont="1"/>
    <xf numFmtId="0" fontId="11" fillId="0" borderId="0" xfId="2" applyFont="1" applyAlignment="1">
      <alignment horizontal="center"/>
    </xf>
    <xf numFmtId="0" fontId="4" fillId="0" borderId="0" xfId="2" applyProtection="1">
      <protection locked="0"/>
    </xf>
    <xf numFmtId="2" fontId="6" fillId="4" borderId="0" xfId="2" applyNumberFormat="1" applyFont="1" applyFill="1" applyAlignment="1">
      <alignment horizontal="center"/>
    </xf>
    <xf numFmtId="0" fontId="11" fillId="0" borderId="0" xfId="2" applyFont="1"/>
    <xf numFmtId="0" fontId="6" fillId="4" borderId="0" xfId="2" applyFont="1" applyFill="1" applyAlignment="1">
      <alignment horizontal="center"/>
    </xf>
    <xf numFmtId="164" fontId="11" fillId="4" borderId="0" xfId="2" applyNumberFormat="1" applyFont="1" applyFill="1"/>
    <xf numFmtId="166" fontId="11" fillId="4" borderId="0" xfId="2" applyNumberFormat="1" applyFont="1" applyFill="1"/>
    <xf numFmtId="2" fontId="6" fillId="0" borderId="0" xfId="2" applyNumberFormat="1" applyFont="1" applyAlignment="1">
      <alignment horizontal="center"/>
    </xf>
    <xf numFmtId="0" fontId="6" fillId="0" borderId="0" xfId="0" applyFont="1"/>
    <xf numFmtId="0" fontId="6" fillId="2" borderId="0" xfId="2" applyFont="1" applyFill="1" applyAlignment="1">
      <alignment horizontal="center"/>
    </xf>
    <xf numFmtId="0" fontId="11" fillId="2" borderId="0" xfId="2" applyFont="1" applyFill="1" applyAlignment="1">
      <alignment horizontal="center"/>
    </xf>
    <xf numFmtId="1" fontId="6" fillId="2" borderId="0" xfId="2" applyNumberFormat="1" applyFont="1" applyFill="1" applyProtection="1">
      <protection locked="0"/>
    </xf>
    <xf numFmtId="164" fontId="6" fillId="2" borderId="0" xfId="2" applyNumberFormat="1" applyFont="1" applyFill="1" applyAlignment="1">
      <alignment horizontal="center"/>
    </xf>
    <xf numFmtId="0" fontId="6" fillId="2" borderId="0" xfId="2" applyFont="1" applyFill="1" applyProtection="1">
      <protection locked="0"/>
    </xf>
    <xf numFmtId="2" fontId="6" fillId="2" borderId="0" xfId="2" applyNumberFormat="1" applyFont="1" applyFill="1" applyProtection="1">
      <protection locked="0"/>
    </xf>
    <xf numFmtId="2" fontId="6" fillId="4" borderId="0" xfId="2" applyNumberFormat="1" applyFont="1" applyFill="1"/>
    <xf numFmtId="167" fontId="6" fillId="2" borderId="0" xfId="1" applyNumberFormat="1" applyFont="1" applyFill="1" applyProtection="1">
      <protection locked="0"/>
    </xf>
    <xf numFmtId="0" fontId="20" fillId="0" borderId="0" xfId="2" applyFont="1" applyAlignment="1">
      <alignment horizontal="left"/>
    </xf>
    <xf numFmtId="0" fontId="20" fillId="0" borderId="0" xfId="2" applyFont="1" applyProtection="1">
      <protection locked="0"/>
    </xf>
    <xf numFmtId="0" fontId="6" fillId="0" borderId="0" xfId="2" applyFont="1" applyAlignment="1" applyProtection="1">
      <alignment horizontal="center"/>
      <protection locked="0"/>
    </xf>
    <xf numFmtId="0" fontId="8" fillId="2" borderId="0" xfId="2" applyFont="1" applyFill="1" applyAlignment="1">
      <alignment horizontal="center"/>
    </xf>
    <xf numFmtId="164" fontId="8" fillId="2" borderId="0" xfId="2" applyNumberFormat="1" applyFont="1" applyFill="1" applyAlignment="1" applyProtection="1">
      <alignment horizontal="right"/>
      <protection locked="0"/>
    </xf>
    <xf numFmtId="11" fontId="6" fillId="4" borderId="0" xfId="2" applyNumberFormat="1" applyFont="1" applyFill="1" applyAlignment="1">
      <alignment horizontal="center"/>
    </xf>
    <xf numFmtId="11" fontId="6" fillId="0" borderId="0" xfId="2" applyNumberFormat="1" applyFont="1" applyAlignment="1">
      <alignment horizontal="center"/>
    </xf>
    <xf numFmtId="166" fontId="6" fillId="0" borderId="0" xfId="2" applyNumberFormat="1" applyFont="1" applyAlignment="1">
      <alignment horizontal="center"/>
    </xf>
    <xf numFmtId="2" fontId="17" fillId="0" borderId="0" xfId="2" applyNumberFormat="1" applyFont="1" applyAlignment="1">
      <alignment horizontal="center"/>
    </xf>
    <xf numFmtId="168" fontId="5" fillId="5" borderId="0" xfId="2" applyNumberFormat="1" applyFont="1" applyFill="1"/>
    <xf numFmtId="168" fontId="5" fillId="5" borderId="0" xfId="2" applyNumberFormat="1" applyFont="1" applyFill="1" applyAlignment="1">
      <alignment horizontal="center"/>
    </xf>
    <xf numFmtId="164" fontId="6" fillId="0" borderId="0" xfId="2" applyNumberFormat="1" applyFont="1" applyProtection="1">
      <protection locked="0"/>
    </xf>
    <xf numFmtId="164" fontId="6" fillId="4" borderId="0" xfId="2" applyNumberFormat="1" applyFont="1" applyFill="1" applyAlignment="1">
      <alignment horizontal="center"/>
    </xf>
    <xf numFmtId="0" fontId="11" fillId="4" borderId="0" xfId="2" applyFont="1" applyFill="1" applyAlignment="1">
      <alignment horizontal="center"/>
    </xf>
    <xf numFmtId="11" fontId="6" fillId="4" borderId="0" xfId="2" applyNumberFormat="1" applyFont="1" applyFill="1" applyAlignment="1">
      <alignment horizontal="right"/>
    </xf>
    <xf numFmtId="0" fontId="6" fillId="4" borderId="0" xfId="0" applyFont="1" applyFill="1"/>
    <xf numFmtId="0" fontId="6" fillId="4" borderId="0" xfId="0" applyFont="1" applyFill="1" applyAlignment="1">
      <alignment horizontal="center"/>
    </xf>
    <xf numFmtId="11" fontId="6" fillId="4" borderId="0" xfId="0" applyNumberFormat="1" applyFont="1" applyFill="1"/>
    <xf numFmtId="0" fontId="6" fillId="0" borderId="0" xfId="0" applyFont="1" applyAlignment="1">
      <alignment horizontal="center"/>
    </xf>
    <xf numFmtId="164" fontId="6" fillId="0" borderId="0" xfId="2" applyNumberFormat="1" applyFont="1" applyAlignment="1">
      <alignment horizontal="center"/>
    </xf>
    <xf numFmtId="9" fontId="6" fillId="8" borderId="0" xfId="0" applyNumberFormat="1" applyFont="1" applyFill="1"/>
    <xf numFmtId="0" fontId="0" fillId="0" borderId="0" xfId="0" applyProtection="1">
      <protection locked="0"/>
    </xf>
    <xf numFmtId="164" fontId="6" fillId="2" borderId="0" xfId="2" applyNumberFormat="1" applyFont="1" applyFill="1" applyAlignment="1" applyProtection="1">
      <alignment horizontal="center"/>
      <protection locked="0"/>
    </xf>
    <xf numFmtId="0" fontId="6" fillId="0" borderId="0" xfId="0" applyFont="1" applyProtection="1">
      <protection locked="0"/>
    </xf>
    <xf numFmtId="0" fontId="3" fillId="0" borderId="0" xfId="0" applyFont="1"/>
    <xf numFmtId="0" fontId="4" fillId="0" borderId="0" xfId="2"/>
    <xf numFmtId="0" fontId="6" fillId="0" borderId="0" xfId="0" quotePrefix="1" applyFont="1" applyAlignment="1">
      <alignment horizontal="center"/>
    </xf>
    <xf numFmtId="0" fontId="18" fillId="0" borderId="0" xfId="0" applyFont="1"/>
    <xf numFmtId="0" fontId="5" fillId="0" borderId="0" xfId="0" applyFont="1"/>
    <xf numFmtId="0" fontId="6" fillId="2" borderId="0" xfId="0" applyFont="1" applyFill="1" applyAlignment="1">
      <alignment horizontal="center"/>
    </xf>
    <xf numFmtId="0" fontId="6"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6" fillId="0" borderId="0" xfId="0" applyFont="1" applyAlignment="1">
      <alignment horizontal="right"/>
    </xf>
    <xf numFmtId="166" fontId="6" fillId="0" borderId="0" xfId="2" applyNumberFormat="1" applyFont="1"/>
    <xf numFmtId="0" fontId="6" fillId="2" borderId="0" xfId="0" applyFont="1" applyFill="1"/>
    <xf numFmtId="0" fontId="17" fillId="2" borderId="0" xfId="0" applyFont="1" applyFill="1" applyAlignment="1">
      <alignment horizontal="center"/>
    </xf>
    <xf numFmtId="0" fontId="0" fillId="2" borderId="0" xfId="0" quotePrefix="1" applyFill="1" applyAlignment="1">
      <alignment horizontal="center"/>
    </xf>
    <xf numFmtId="2" fontId="19" fillId="0" borderId="0" xfId="2" applyNumberFormat="1" applyFont="1"/>
    <xf numFmtId="166" fontId="21" fillId="0" borderId="0" xfId="0" applyNumberFormat="1" applyFont="1"/>
    <xf numFmtId="164" fontId="6" fillId="4" borderId="0" xfId="0" applyNumberFormat="1" applyFont="1" applyFill="1"/>
    <xf numFmtId="164" fontId="6" fillId="0" borderId="0" xfId="0" applyNumberFormat="1" applyFont="1"/>
    <xf numFmtId="2" fontId="6" fillId="4" borderId="0" xfId="0" applyNumberFormat="1" applyFont="1" applyFill="1"/>
    <xf numFmtId="167" fontId="6" fillId="4" borderId="0" xfId="1" applyNumberFormat="1" applyFont="1" applyFill="1" applyProtection="1"/>
    <xf numFmtId="10" fontId="6" fillId="5" borderId="0" xfId="0" applyNumberFormat="1" applyFont="1" applyFill="1"/>
    <xf numFmtId="167" fontId="6" fillId="4" borderId="0" xfId="1" applyNumberFormat="1" applyFont="1" applyFill="1" applyAlignment="1" applyProtection="1">
      <alignment horizontal="center"/>
    </xf>
    <xf numFmtId="11" fontId="6" fillId="5" borderId="0" xfId="0" applyNumberFormat="1" applyFont="1" applyFill="1"/>
    <xf numFmtId="11" fontId="6" fillId="0" borderId="0" xfId="0" applyNumberFormat="1" applyFont="1"/>
    <xf numFmtId="11" fontId="6" fillId="6" borderId="0" xfId="0" applyNumberFormat="1" applyFont="1" applyFill="1"/>
    <xf numFmtId="0" fontId="17" fillId="0" borderId="0" xfId="0" applyFont="1" applyAlignment="1">
      <alignment horizontal="center"/>
    </xf>
    <xf numFmtId="164" fontId="5" fillId="5" borderId="0" xfId="0" applyNumberFormat="1" applyFont="1" applyFill="1"/>
    <xf numFmtId="0" fontId="6" fillId="2" borderId="0" xfId="0" applyFont="1" applyFill="1" applyProtection="1">
      <protection locked="0"/>
    </xf>
    <xf numFmtId="0" fontId="6" fillId="2" borderId="0" xfId="0" applyFont="1" applyFill="1" applyAlignment="1" applyProtection="1">
      <alignment horizontal="right"/>
      <protection locked="0"/>
    </xf>
    <xf numFmtId="11" fontId="5" fillId="7" borderId="1" xfId="0" applyNumberFormat="1" applyFont="1" applyFill="1" applyBorder="1" applyProtection="1">
      <protection locked="0"/>
    </xf>
    <xf numFmtId="11" fontId="6" fillId="0" borderId="0" xfId="0" applyNumberFormat="1" applyFont="1" applyProtection="1">
      <protection locked="0"/>
    </xf>
    <xf numFmtId="11" fontId="0" fillId="0" borderId="0" xfId="0" applyNumberFormat="1" applyProtection="1">
      <protection locked="0"/>
    </xf>
    <xf numFmtId="0" fontId="5" fillId="0" borderId="0" xfId="0" applyFont="1" applyAlignment="1">
      <alignment horizontal="center"/>
    </xf>
    <xf numFmtId="11" fontId="6" fillId="7" borderId="0" xfId="0" applyNumberFormat="1" applyFont="1" applyFill="1" applyProtection="1">
      <protection locked="0"/>
    </xf>
    <xf numFmtId="11" fontId="6" fillId="7" borderId="0" xfId="2" applyNumberFormat="1" applyFont="1" applyFill="1" applyProtection="1">
      <protection locked="0"/>
    </xf>
    <xf numFmtId="166" fontId="6" fillId="4" borderId="0" xfId="0" applyNumberFormat="1" applyFont="1" applyFill="1"/>
    <xf numFmtId="2" fontId="6" fillId="0" borderId="0" xfId="0" applyNumberFormat="1" applyFont="1"/>
    <xf numFmtId="1" fontId="6" fillId="0" borderId="0" xfId="0" applyNumberFormat="1" applyFont="1" applyAlignment="1">
      <alignment horizontal="right"/>
    </xf>
    <xf numFmtId="2" fontId="17" fillId="0" borderId="0" xfId="0" applyNumberFormat="1" applyFont="1" applyAlignment="1">
      <alignment horizontal="center"/>
    </xf>
    <xf numFmtId="164" fontId="0" fillId="0" borderId="0" xfId="0" applyNumberFormat="1"/>
    <xf numFmtId="2" fontId="5" fillId="5" borderId="0" xfId="0" applyNumberFormat="1" applyFont="1" applyFill="1"/>
    <xf numFmtId="169" fontId="17" fillId="0" borderId="0" xfId="0" applyNumberFormat="1" applyFont="1" applyAlignment="1">
      <alignment horizontal="center"/>
    </xf>
    <xf numFmtId="166" fontId="6" fillId="4" borderId="0" xfId="2" applyNumberFormat="1" applyFont="1" applyFill="1" applyAlignment="1">
      <alignment horizontal="right"/>
    </xf>
    <xf numFmtId="11" fontId="6" fillId="0" borderId="0" xfId="2" applyNumberFormat="1" applyFont="1" applyProtection="1">
      <protection locked="0"/>
    </xf>
    <xf numFmtId="166" fontId="0" fillId="0" borderId="0" xfId="0" applyNumberFormat="1"/>
    <xf numFmtId="166" fontId="6" fillId="0" borderId="0" xfId="0" applyNumberFormat="1" applyFont="1"/>
    <xf numFmtId="166" fontId="6" fillId="0" borderId="0" xfId="2" applyNumberFormat="1" applyFont="1" applyAlignment="1">
      <alignment horizontal="right"/>
    </xf>
    <xf numFmtId="0" fontId="5" fillId="0" borderId="0" xfId="0" applyFont="1" applyAlignment="1" applyProtection="1">
      <alignment horizontal="center" vertical="center" wrapText="1"/>
      <protection locked="0"/>
    </xf>
    <xf numFmtId="164" fontId="11" fillId="0" borderId="0" xfId="2" applyNumberFormat="1" applyFont="1"/>
    <xf numFmtId="168" fontId="11" fillId="0" borderId="0" xfId="2" applyNumberFormat="1" applyFont="1"/>
    <xf numFmtId="165" fontId="5" fillId="0" borderId="0" xfId="0" applyNumberFormat="1" applyFont="1"/>
    <xf numFmtId="164" fontId="3" fillId="0" borderId="0" xfId="0" applyNumberFormat="1" applyFont="1"/>
    <xf numFmtId="166" fontId="5" fillId="5" borderId="0" xfId="0" applyNumberFormat="1" applyFont="1" applyFill="1"/>
    <xf numFmtId="166" fontId="5" fillId="0" borderId="0" xfId="0" applyNumberFormat="1" applyFont="1"/>
    <xf numFmtId="1" fontId="6" fillId="4" borderId="0" xfId="0" applyNumberFormat="1" applyFont="1" applyFill="1"/>
    <xf numFmtId="1" fontId="0" fillId="0" borderId="0" xfId="0" applyNumberFormat="1"/>
    <xf numFmtId="2" fontId="11" fillId="4" borderId="0" xfId="2" applyNumberFormat="1" applyFont="1" applyFill="1" applyAlignment="1">
      <alignment horizontal="right"/>
    </xf>
    <xf numFmtId="2" fontId="11" fillId="0" borderId="0" xfId="2" applyNumberFormat="1" applyFont="1" applyAlignment="1">
      <alignment horizontal="right"/>
    </xf>
    <xf numFmtId="0" fontId="24" fillId="0" borderId="3" xfId="0" applyFont="1" applyBorder="1" applyProtection="1">
      <protection locked="0"/>
    </xf>
    <xf numFmtId="0" fontId="22" fillId="0" borderId="4" xfId="0" applyFont="1" applyBorder="1" applyProtection="1">
      <protection locked="0"/>
    </xf>
    <xf numFmtId="0" fontId="23" fillId="0" borderId="4" xfId="0" applyFont="1" applyBorder="1" applyProtection="1">
      <protection locked="0"/>
    </xf>
    <xf numFmtId="0" fontId="0" fillId="0" borderId="4" xfId="0" applyBorder="1" applyProtection="1">
      <protection locked="0"/>
    </xf>
    <xf numFmtId="0" fontId="0" fillId="0" borderId="5" xfId="0" applyBorder="1" applyProtection="1">
      <protection locked="0"/>
    </xf>
    <xf numFmtId="0" fontId="23" fillId="0" borderId="6" xfId="0" applyFont="1" applyBorder="1" applyProtection="1">
      <protection locked="0"/>
    </xf>
    <xf numFmtId="0" fontId="24" fillId="0" borderId="0" xfId="0" applyFont="1" applyProtection="1">
      <protection locked="0"/>
    </xf>
    <xf numFmtId="0" fontId="22" fillId="0" borderId="0" xfId="0" applyFont="1" applyProtection="1">
      <protection locked="0"/>
    </xf>
    <xf numFmtId="0" fontId="24" fillId="0" borderId="0" xfId="0" applyFont="1" applyAlignment="1" applyProtection="1">
      <alignment horizontal="right"/>
      <protection locked="0"/>
    </xf>
    <xf numFmtId="0" fontId="23" fillId="0" borderId="0" xfId="0" applyFont="1" applyProtection="1">
      <protection locked="0"/>
    </xf>
    <xf numFmtId="0" fontId="24" fillId="0" borderId="0" xfId="0" applyFont="1" applyAlignment="1" applyProtection="1">
      <alignment horizontal="left"/>
      <protection locked="0"/>
    </xf>
    <xf numFmtId="0" fontId="0" fillId="0" borderId="7" xfId="0" applyBorder="1" applyProtection="1">
      <protection locked="0"/>
    </xf>
    <xf numFmtId="0" fontId="23" fillId="0" borderId="8" xfId="0" applyFont="1" applyBorder="1" applyProtection="1">
      <protection locked="0"/>
    </xf>
    <xf numFmtId="0" fontId="23" fillId="0" borderId="9" xfId="0" applyFont="1" applyBorder="1" applyProtection="1">
      <protection locked="0"/>
    </xf>
    <xf numFmtId="0" fontId="22" fillId="0" borderId="9" xfId="0" applyFont="1" applyBorder="1" applyProtection="1">
      <protection locked="0"/>
    </xf>
    <xf numFmtId="0" fontId="0" fillId="0" borderId="9" xfId="0" applyBorder="1" applyProtection="1">
      <protection locked="0"/>
    </xf>
    <xf numFmtId="0" fontId="0" fillId="0" borderId="10" xfId="0" applyBorder="1" applyProtection="1">
      <protection locked="0"/>
    </xf>
    <xf numFmtId="0" fontId="5" fillId="3" borderId="0" xfId="0" applyFont="1" applyFill="1"/>
    <xf numFmtId="0" fontId="6" fillId="3" borderId="0" xfId="0" applyFont="1" applyFill="1"/>
    <xf numFmtId="0" fontId="6" fillId="3" borderId="0" xfId="0" quotePrefix="1" applyFont="1" applyFill="1" applyAlignment="1">
      <alignment horizontal="right"/>
    </xf>
    <xf numFmtId="0" fontId="5" fillId="3" borderId="0" xfId="0" applyFont="1" applyFill="1" applyAlignment="1">
      <alignment horizontal="left"/>
    </xf>
    <xf numFmtId="0" fontId="5" fillId="3" borderId="0" xfId="0" applyFont="1" applyFill="1" applyAlignment="1">
      <alignment horizontal="right"/>
    </xf>
    <xf numFmtId="0" fontId="6" fillId="3" borderId="0" xfId="0" applyFont="1" applyFill="1" applyAlignment="1">
      <alignment horizontal="right"/>
    </xf>
    <xf numFmtId="0" fontId="6" fillId="9" borderId="0" xfId="0" applyFont="1" applyFill="1"/>
    <xf numFmtId="0" fontId="6" fillId="9" borderId="0" xfId="0" applyFont="1" applyFill="1" applyAlignment="1">
      <alignment horizontal="right"/>
    </xf>
    <xf numFmtId="0" fontId="6" fillId="9" borderId="0" xfId="0" quotePrefix="1" applyFont="1" applyFill="1" applyAlignment="1">
      <alignment horizontal="right"/>
    </xf>
    <xf numFmtId="0" fontId="11" fillId="9" borderId="0" xfId="0" applyFont="1" applyFill="1"/>
    <xf numFmtId="0" fontId="6" fillId="0" borderId="0" xfId="0" quotePrefix="1" applyFont="1" applyAlignment="1">
      <alignment horizontal="right"/>
    </xf>
    <xf numFmtId="1" fontId="6" fillId="9" borderId="0" xfId="0" applyNumberFormat="1" applyFont="1" applyFill="1"/>
    <xf numFmtId="1" fontId="6" fillId="3" borderId="0" xfId="0" applyNumberFormat="1" applyFont="1" applyFill="1"/>
    <xf numFmtId="1" fontId="6" fillId="0" borderId="0" xfId="0" quotePrefix="1" applyNumberFormat="1" applyFont="1" applyAlignment="1">
      <alignment horizontal="right"/>
    </xf>
    <xf numFmtId="0" fontId="15" fillId="3" borderId="0" xfId="0" applyFont="1" applyFill="1"/>
    <xf numFmtId="1" fontId="6" fillId="0" borderId="0" xfId="0" applyNumberFormat="1" applyFont="1"/>
    <xf numFmtId="0" fontId="6" fillId="0" borderId="0" xfId="0" applyFont="1" applyAlignment="1">
      <alignment horizontal="center" wrapText="1"/>
    </xf>
    <xf numFmtId="0" fontId="26" fillId="0" borderId="0" xfId="0" applyFont="1"/>
    <xf numFmtId="0" fontId="25" fillId="0" borderId="0" xfId="0" applyFont="1"/>
    <xf numFmtId="2" fontId="0" fillId="0" borderId="0" xfId="0" applyNumberFormat="1"/>
    <xf numFmtId="9" fontId="5" fillId="8" borderId="0" xfId="0" applyNumberFormat="1" applyFont="1" applyFill="1"/>
    <xf numFmtId="2" fontId="5" fillId="4" borderId="0" xfId="0" applyNumberFormat="1" applyFont="1" applyFill="1"/>
    <xf numFmtId="0" fontId="6" fillId="0" borderId="11" xfId="2" applyFont="1" applyBorder="1"/>
    <xf numFmtId="0" fontId="6" fillId="0" borderId="11" xfId="0" applyFont="1" applyBorder="1"/>
    <xf numFmtId="0" fontId="6" fillId="10" borderId="11" xfId="0" applyFont="1" applyFill="1" applyBorder="1"/>
    <xf numFmtId="0" fontId="0" fillId="11" borderId="0" xfId="0" applyFill="1"/>
    <xf numFmtId="0" fontId="6" fillId="2" borderId="0" xfId="2" applyFont="1" applyFill="1" applyAlignment="1">
      <alignment horizontal="right"/>
    </xf>
    <xf numFmtId="0" fontId="6" fillId="10" borderId="11" xfId="2" applyFont="1" applyFill="1" applyBorder="1"/>
    <xf numFmtId="0" fontId="11" fillId="2" borderId="0" xfId="0" applyFont="1" applyFill="1" applyProtection="1">
      <protection locked="0"/>
    </xf>
    <xf numFmtId="49" fontId="6" fillId="0" borderId="0" xfId="0" quotePrefix="1" applyNumberFormat="1" applyFont="1"/>
    <xf numFmtId="49" fontId="11" fillId="0" borderId="0" xfId="0" quotePrefix="1" applyNumberFormat="1" applyFont="1"/>
    <xf numFmtId="0" fontId="30" fillId="0" borderId="0" xfId="0" applyFont="1"/>
    <xf numFmtId="0" fontId="29" fillId="0" borderId="0" xfId="0" applyFont="1"/>
    <xf numFmtId="0" fontId="3" fillId="0" borderId="0" xfId="0" applyFont="1" applyAlignment="1">
      <alignment horizontal="right"/>
    </xf>
    <xf numFmtId="10" fontId="5" fillId="10" borderId="0" xfId="0" applyNumberFormat="1" applyFont="1" applyFill="1"/>
    <xf numFmtId="2" fontId="27" fillId="5" borderId="0" xfId="0" applyNumberFormat="1" applyFont="1" applyFill="1"/>
    <xf numFmtId="2" fontId="27" fillId="4" borderId="0" xfId="0" applyNumberFormat="1" applyFont="1" applyFill="1"/>
    <xf numFmtId="2" fontId="15" fillId="4" borderId="0" xfId="0" applyNumberFormat="1" applyFont="1" applyFill="1"/>
    <xf numFmtId="2" fontId="11" fillId="4" borderId="0" xfId="0" applyNumberFormat="1" applyFont="1" applyFill="1"/>
    <xf numFmtId="0" fontId="29" fillId="11" borderId="0" xfId="0" applyFont="1" applyFill="1"/>
    <xf numFmtId="1" fontId="11" fillId="10" borderId="11" xfId="0" applyNumberFormat="1" applyFont="1" applyFill="1" applyBorder="1"/>
    <xf numFmtId="0" fontId="11" fillId="0" borderId="0" xfId="0" applyFont="1" applyAlignment="1">
      <alignment horizontal="right"/>
    </xf>
    <xf numFmtId="2" fontId="11" fillId="0" borderId="0" xfId="0" applyNumberFormat="1" applyFont="1"/>
    <xf numFmtId="2" fontId="8" fillId="5" borderId="0" xfId="0" applyNumberFormat="1" applyFont="1" applyFill="1"/>
    <xf numFmtId="2" fontId="8" fillId="4" borderId="0" xfId="0" applyNumberFormat="1" applyFont="1" applyFill="1"/>
    <xf numFmtId="0" fontId="0" fillId="0" borderId="0" xfId="0" applyAlignment="1">
      <alignment horizontal="left"/>
    </xf>
    <xf numFmtId="0" fontId="3" fillId="0" borderId="0" xfId="0" applyFont="1" applyAlignment="1">
      <alignment horizontal="left"/>
    </xf>
    <xf numFmtId="11" fontId="11" fillId="0" borderId="0" xfId="2" applyNumberFormat="1" applyFont="1"/>
    <xf numFmtId="170" fontId="8" fillId="0" borderId="0" xfId="2" applyNumberFormat="1" applyFont="1"/>
    <xf numFmtId="0" fontId="5" fillId="12" borderId="2" xfId="0" applyFont="1" applyFill="1" applyBorder="1" applyAlignment="1" applyProtection="1">
      <alignment horizontal="center" vertical="center" wrapText="1"/>
      <protection locked="0"/>
    </xf>
    <xf numFmtId="0" fontId="6" fillId="12" borderId="0" xfId="2" applyFont="1" applyFill="1" applyAlignment="1" applyProtection="1">
      <alignment horizontal="center"/>
      <protection locked="0"/>
    </xf>
    <xf numFmtId="0" fontId="6" fillId="12" borderId="0" xfId="2" applyFont="1" applyFill="1" applyAlignment="1">
      <alignment horizontal="center"/>
    </xf>
    <xf numFmtId="0" fontId="6" fillId="12" borderId="0" xfId="0" applyFont="1" applyFill="1" applyProtection="1">
      <protection locked="0"/>
    </xf>
    <xf numFmtId="0" fontId="6" fillId="12" borderId="0" xfId="0" applyFont="1" applyFill="1" applyAlignment="1">
      <alignment horizontal="center"/>
    </xf>
    <xf numFmtId="0" fontId="0" fillId="12" borderId="0" xfId="0" applyFill="1"/>
    <xf numFmtId="0" fontId="6" fillId="12" borderId="0" xfId="2" applyFont="1" applyFill="1" applyAlignment="1" applyProtection="1">
      <alignment horizontal="right"/>
      <protection locked="0"/>
    </xf>
    <xf numFmtId="11" fontId="8" fillId="6" borderId="0" xfId="2" applyNumberFormat="1" applyFont="1" applyFill="1"/>
    <xf numFmtId="0" fontId="6" fillId="7" borderId="0" xfId="2" applyFont="1" applyFill="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6" fillId="6" borderId="0" xfId="0" applyFont="1" applyFill="1" applyAlignment="1">
      <alignment horizontal="center" vertical="center" wrapText="1"/>
    </xf>
    <xf numFmtId="0" fontId="6" fillId="12" borderId="0" xfId="0" applyFont="1" applyFill="1" applyAlignment="1">
      <alignment horizontal="center" vertical="center" wrapText="1"/>
    </xf>
    <xf numFmtId="0" fontId="6" fillId="13" borderId="0" xfId="0" applyFont="1" applyFill="1" applyAlignment="1">
      <alignment horizontal="center" vertical="center" wrapText="1"/>
    </xf>
    <xf numFmtId="0" fontId="6" fillId="4" borderId="0" xfId="0" applyFont="1" applyFill="1" applyAlignment="1">
      <alignment horizontal="center" vertical="center" wrapText="1"/>
    </xf>
    <xf numFmtId="0" fontId="32" fillId="0" borderId="0" xfId="2" applyFont="1" applyAlignment="1">
      <alignment horizontal="right"/>
    </xf>
    <xf numFmtId="0" fontId="28" fillId="0" borderId="0" xfId="2" applyFont="1" applyAlignment="1">
      <alignment horizontal="left"/>
    </xf>
    <xf numFmtId="2" fontId="6" fillId="2" borderId="0" xfId="2" applyNumberFormat="1" applyFont="1" applyFill="1" applyAlignment="1">
      <alignment horizontal="center"/>
    </xf>
    <xf numFmtId="0" fontId="5" fillId="12" borderId="0" xfId="0" applyFont="1" applyFill="1" applyAlignment="1" applyProtection="1">
      <alignment horizontal="center" vertical="center" wrapText="1"/>
      <protection locked="0"/>
    </xf>
    <xf numFmtId="0" fontId="15" fillId="12" borderId="0" xfId="0" applyFont="1" applyFill="1" applyProtection="1">
      <protection locked="0"/>
    </xf>
    <xf numFmtId="2" fontId="6" fillId="12" borderId="0" xfId="2" applyNumberFormat="1" applyFont="1" applyFill="1" applyAlignment="1">
      <alignment horizontal="center"/>
    </xf>
    <xf numFmtId="11" fontId="6" fillId="12" borderId="0" xfId="0" applyNumberFormat="1" applyFont="1" applyFill="1"/>
    <xf numFmtId="165" fontId="6" fillId="0" borderId="0" xfId="0" applyNumberFormat="1" applyFont="1"/>
    <xf numFmtId="0" fontId="11" fillId="12" borderId="0" xfId="2" applyFont="1" applyFill="1" applyAlignment="1">
      <alignment horizontal="center"/>
    </xf>
    <xf numFmtId="2" fontId="6" fillId="12" borderId="0" xfId="2" quotePrefix="1" applyNumberFormat="1" applyFont="1" applyFill="1" applyAlignment="1" applyProtection="1">
      <alignment horizontal="center" vertical="center" wrapText="1"/>
      <protection locked="0"/>
    </xf>
    <xf numFmtId="0" fontId="6" fillId="0" borderId="0" xfId="0" applyFont="1" applyAlignment="1" applyProtection="1">
      <alignment vertical="center"/>
      <protection locked="0"/>
    </xf>
    <xf numFmtId="166" fontId="6" fillId="0" borderId="0" xfId="2" quotePrefix="1" applyNumberFormat="1" applyFont="1" applyAlignment="1" applyProtection="1">
      <alignment horizontal="center" vertical="center" wrapText="1"/>
      <protection locked="0"/>
    </xf>
    <xf numFmtId="2" fontId="6" fillId="12" borderId="0" xfId="2" quotePrefix="1" applyNumberFormat="1" applyFont="1" applyFill="1" applyAlignment="1" applyProtection="1">
      <alignment horizontal="right"/>
      <protection locked="0"/>
    </xf>
    <xf numFmtId="2" fontId="6" fillId="0" borderId="0" xfId="0" applyNumberFormat="1" applyFont="1" applyProtection="1">
      <protection locked="0"/>
    </xf>
    <xf numFmtId="2" fontId="6" fillId="0" borderId="0" xfId="2" quotePrefix="1" applyNumberFormat="1" applyFont="1" applyAlignment="1" applyProtection="1">
      <alignment horizontal="right"/>
      <protection locked="0"/>
    </xf>
    <xf numFmtId="2" fontId="0" fillId="0" borderId="0" xfId="0" applyNumberFormat="1" applyProtection="1">
      <protection locked="0"/>
    </xf>
    <xf numFmtId="2" fontId="6" fillId="0" borderId="0" xfId="2" applyNumberFormat="1" applyFont="1"/>
    <xf numFmtId="10" fontId="6" fillId="4" borderId="0" xfId="0" applyNumberFormat="1" applyFont="1" applyFill="1"/>
    <xf numFmtId="10" fontId="6" fillId="0" borderId="0" xfId="0" applyNumberFormat="1" applyFont="1"/>
    <xf numFmtId="0" fontId="3" fillId="0" borderId="0" xfId="0" applyFont="1" applyAlignment="1">
      <alignment horizontal="left" wrapText="1"/>
    </xf>
    <xf numFmtId="11" fontId="8" fillId="12" borderId="0" xfId="2" applyNumberFormat="1" applyFont="1" applyFill="1" applyAlignment="1">
      <alignment horizontal="center"/>
    </xf>
    <xf numFmtId="0" fontId="11" fillId="0" borderId="0" xfId="0" applyFont="1" applyProtection="1">
      <protection locked="0"/>
    </xf>
    <xf numFmtId="165" fontId="11" fillId="0" borderId="0" xfId="2" applyNumberFormat="1" applyFont="1" applyProtection="1">
      <protection locked="0"/>
    </xf>
    <xf numFmtId="0" fontId="29" fillId="0" borderId="0" xfId="0" applyFont="1" applyProtection="1">
      <protection locked="0"/>
    </xf>
    <xf numFmtId="166" fontId="6" fillId="12" borderId="0" xfId="2" quotePrefix="1" applyNumberFormat="1" applyFont="1" applyFill="1" applyAlignment="1" applyProtection="1">
      <alignment horizontal="center" vertical="center" wrapText="1"/>
      <protection locked="0"/>
    </xf>
    <xf numFmtId="2" fontId="11" fillId="4" borderId="0" xfId="2" applyNumberFormat="1" applyFont="1" applyFill="1" applyAlignment="1">
      <alignment horizontal="center"/>
    </xf>
    <xf numFmtId="11" fontId="11" fillId="0" borderId="0" xfId="2" applyNumberFormat="1" applyFont="1" applyAlignment="1">
      <alignment horizontal="center"/>
    </xf>
    <xf numFmtId="11" fontId="11" fillId="4" borderId="0" xfId="0" applyNumberFormat="1" applyFont="1" applyFill="1"/>
    <xf numFmtId="0" fontId="11" fillId="0" borderId="0" xfId="0" applyFont="1"/>
    <xf numFmtId="165" fontId="11" fillId="0" borderId="0" xfId="0" applyNumberFormat="1" applyFont="1"/>
    <xf numFmtId="2" fontId="11" fillId="0" borderId="0" xfId="2" applyNumberFormat="1" applyFont="1" applyAlignment="1">
      <alignment horizontal="center"/>
    </xf>
    <xf numFmtId="0" fontId="11" fillId="12" borderId="0" xfId="0" applyFont="1" applyFill="1" applyProtection="1">
      <protection locked="0"/>
    </xf>
    <xf numFmtId="0" fontId="20" fillId="0" borderId="0" xfId="2" applyFont="1" applyAlignment="1">
      <alignment horizontal="center"/>
    </xf>
    <xf numFmtId="0" fontId="20" fillId="0" borderId="0" xfId="2" applyFont="1"/>
    <xf numFmtId="0" fontId="6" fillId="12" borderId="0" xfId="0" applyFont="1" applyFill="1" applyAlignment="1" applyProtection="1">
      <alignment horizontal="right"/>
      <protection locked="0"/>
    </xf>
    <xf numFmtId="0" fontId="6" fillId="0" borderId="0" xfId="0" applyFont="1" applyAlignment="1" applyProtection="1">
      <alignment horizontal="right"/>
      <protection locked="0"/>
    </xf>
    <xf numFmtId="0" fontId="0" fillId="0" borderId="0" xfId="0" applyAlignment="1" applyProtection="1">
      <alignment horizontal="right"/>
      <protection locked="0"/>
    </xf>
    <xf numFmtId="0" fontId="0" fillId="0" borderId="0" xfId="0" applyAlignment="1">
      <alignment horizontal="right"/>
    </xf>
    <xf numFmtId="0" fontId="8" fillId="0" borderId="0" xfId="2" applyFont="1"/>
    <xf numFmtId="164" fontId="6" fillId="12" borderId="0" xfId="0" applyNumberFormat="1" applyFont="1" applyFill="1" applyProtection="1">
      <protection locked="0"/>
    </xf>
    <xf numFmtId="0" fontId="8" fillId="0" borderId="0" xfId="0" applyFont="1"/>
    <xf numFmtId="0" fontId="6" fillId="0" borderId="0" xfId="0" applyFont="1" applyAlignment="1" applyProtection="1">
      <alignment horizontal="center"/>
      <protection locked="0"/>
    </xf>
    <xf numFmtId="0" fontId="30" fillId="0" borderId="0" xfId="2" applyFont="1" applyAlignment="1">
      <alignment horizontal="left"/>
    </xf>
    <xf numFmtId="0" fontId="6" fillId="2" borderId="0" xfId="2" applyFont="1" applyFill="1" applyAlignment="1" applyProtection="1">
      <alignment horizontal="center"/>
      <protection locked="0"/>
    </xf>
    <xf numFmtId="0" fontId="30" fillId="0" borderId="0" xfId="2" applyFont="1"/>
    <xf numFmtId="0" fontId="31" fillId="0" borderId="0" xfId="2" applyFont="1" applyAlignment="1">
      <alignment horizontal="left"/>
    </xf>
    <xf numFmtId="11" fontId="5" fillId="6" borderId="0" xfId="0" applyNumberFormat="1" applyFont="1" applyFill="1"/>
    <xf numFmtId="0" fontId="6" fillId="7" borderId="0" xfId="0" applyFont="1" applyFill="1" applyAlignment="1">
      <alignment horizontal="center" vertical="center" wrapText="1"/>
    </xf>
    <xf numFmtId="0" fontId="33" fillId="11" borderId="0" xfId="0" applyFont="1" applyFill="1" applyAlignment="1">
      <alignment horizontal="center" vertical="center"/>
    </xf>
    <xf numFmtId="0" fontId="34" fillId="0" borderId="0" xfId="0" applyFont="1"/>
    <xf numFmtId="2" fontId="6" fillId="12" borderId="0" xfId="0" applyNumberFormat="1" applyFont="1" applyFill="1" applyProtection="1">
      <protection locked="0"/>
    </xf>
    <xf numFmtId="0" fontId="5" fillId="0" borderId="0" xfId="0" applyFont="1" applyAlignment="1">
      <alignment horizontal="left"/>
    </xf>
    <xf numFmtId="0" fontId="8" fillId="0" borderId="0" xfId="2" applyFont="1" applyAlignment="1">
      <alignment horizontal="left"/>
    </xf>
    <xf numFmtId="0" fontId="21" fillId="2" borderId="13" xfId="0" applyFont="1" applyFill="1" applyBorder="1" applyAlignment="1">
      <alignment horizontal="right"/>
    </xf>
    <xf numFmtId="0" fontId="21" fillId="2" borderId="14" xfId="0" applyFont="1" applyFill="1" applyBorder="1" applyAlignment="1">
      <alignment horizontal="right"/>
    </xf>
    <xf numFmtId="0" fontId="21" fillId="2" borderId="15" xfId="0" applyFont="1" applyFill="1" applyBorder="1" applyAlignment="1">
      <alignment horizontal="right"/>
    </xf>
    <xf numFmtId="166" fontId="21" fillId="2" borderId="16" xfId="0" applyNumberFormat="1" applyFont="1" applyFill="1" applyBorder="1" applyAlignment="1" applyProtection="1">
      <alignment horizontal="right"/>
      <protection locked="0"/>
    </xf>
    <xf numFmtId="166" fontId="21" fillId="2" borderId="15" xfId="0" applyNumberFormat="1" applyFont="1" applyFill="1" applyBorder="1"/>
    <xf numFmtId="166" fontId="21" fillId="2" borderId="16" xfId="0" applyNumberFormat="1" applyFont="1" applyFill="1" applyBorder="1" applyProtection="1">
      <protection locked="0"/>
    </xf>
    <xf numFmtId="166" fontId="21" fillId="2" borderId="17" xfId="0" applyNumberFormat="1" applyFont="1" applyFill="1" applyBorder="1"/>
    <xf numFmtId="166" fontId="21" fillId="2" borderId="18" xfId="0" applyNumberFormat="1" applyFont="1" applyFill="1" applyBorder="1" applyProtection="1">
      <protection locked="0"/>
    </xf>
    <xf numFmtId="1" fontId="6" fillId="4" borderId="0" xfId="2" applyNumberFormat="1" applyFont="1" applyFill="1" applyProtection="1">
      <protection locked="0"/>
    </xf>
    <xf numFmtId="0" fontId="25" fillId="0" borderId="0" xfId="0" applyFont="1" applyAlignment="1">
      <alignment horizontal="left" vertical="center"/>
    </xf>
    <xf numFmtId="164" fontId="6" fillId="4" borderId="0" xfId="2" applyNumberFormat="1" applyFont="1" applyFill="1" applyAlignment="1" applyProtection="1">
      <alignment horizontal="center"/>
      <protection locked="0"/>
    </xf>
    <xf numFmtId="164" fontId="6" fillId="2" borderId="0" xfId="0" applyNumberFormat="1" applyFont="1" applyFill="1" applyAlignment="1">
      <alignment horizontal="center"/>
    </xf>
    <xf numFmtId="1" fontId="3" fillId="0" borderId="0" xfId="0" applyNumberFormat="1" applyFont="1" applyAlignment="1">
      <alignment horizontal="left"/>
    </xf>
    <xf numFmtId="0" fontId="6" fillId="0" borderId="0" xfId="0" applyFont="1" applyAlignment="1">
      <alignment horizontal="center" vertical="center" wrapText="1"/>
    </xf>
    <xf numFmtId="0" fontId="6" fillId="0" borderId="22" xfId="2" applyFont="1" applyBorder="1"/>
    <xf numFmtId="0" fontId="6" fillId="2" borderId="11" xfId="2" applyFont="1" applyFill="1" applyBorder="1" applyAlignment="1">
      <alignment horizontal="left"/>
    </xf>
    <xf numFmtId="0" fontId="3" fillId="0" borderId="0" xfId="2" applyFont="1"/>
    <xf numFmtId="0" fontId="6" fillId="10" borderId="11" xfId="0" applyFont="1" applyFill="1" applyBorder="1" applyAlignment="1">
      <alignment horizontal="right"/>
    </xf>
    <xf numFmtId="0" fontId="6" fillId="4" borderId="19" xfId="0" applyFont="1" applyFill="1" applyBorder="1" applyAlignment="1">
      <alignment horizontal="right"/>
    </xf>
    <xf numFmtId="0" fontId="1" fillId="0" borderId="0" xfId="2" applyFont="1" applyAlignment="1">
      <alignment horizontal="left"/>
    </xf>
    <xf numFmtId="11" fontId="11" fillId="10" borderId="0" xfId="0" applyNumberFormat="1" applyFont="1" applyFill="1" applyProtection="1">
      <protection locked="0"/>
    </xf>
    <xf numFmtId="165" fontId="11" fillId="10" borderId="0" xfId="0" applyNumberFormat="1" applyFont="1" applyFill="1" applyProtection="1">
      <protection locked="0"/>
    </xf>
    <xf numFmtId="0" fontId="0" fillId="10" borderId="0" xfId="0" applyFill="1"/>
    <xf numFmtId="0" fontId="3" fillId="0" borderId="20" xfId="0" applyFont="1" applyBorder="1"/>
    <xf numFmtId="0" fontId="3" fillId="0" borderId="21" xfId="0" applyFont="1" applyBorder="1"/>
    <xf numFmtId="0" fontId="3" fillId="10" borderId="21" xfId="0" applyFont="1" applyFill="1" applyBorder="1" applyAlignment="1">
      <alignment horizontal="center" vertical="center"/>
    </xf>
    <xf numFmtId="0" fontId="6" fillId="0" borderId="24" xfId="2" applyFont="1" applyBorder="1" applyAlignment="1">
      <alignment vertical="center"/>
    </xf>
    <xf numFmtId="0" fontId="3" fillId="0" borderId="11" xfId="0" applyFont="1" applyBorder="1"/>
    <xf numFmtId="0" fontId="3" fillId="10" borderId="11" xfId="0" applyFont="1" applyFill="1" applyBorder="1" applyAlignment="1">
      <alignment horizontal="center" vertical="center"/>
    </xf>
    <xf numFmtId="0" fontId="3" fillId="10" borderId="11" xfId="2" applyFont="1" applyFill="1" applyBorder="1" applyAlignment="1">
      <alignment horizontal="center" vertical="center" wrapText="1"/>
    </xf>
    <xf numFmtId="0" fontId="6" fillId="0" borderId="24" xfId="2" applyFont="1" applyBorder="1"/>
    <xf numFmtId="0" fontId="36" fillId="10" borderId="11" xfId="0" applyFont="1" applyFill="1" applyBorder="1"/>
    <xf numFmtId="0" fontId="15" fillId="10" borderId="11" xfId="0" applyFont="1" applyFill="1" applyBorder="1"/>
    <xf numFmtId="0" fontId="11" fillId="0" borderId="24" xfId="0" applyFont="1" applyBorder="1"/>
    <xf numFmtId="0" fontId="37" fillId="10" borderId="11" xfId="0" applyFont="1" applyFill="1" applyBorder="1" applyAlignment="1">
      <alignment horizontal="right"/>
    </xf>
    <xf numFmtId="0" fontId="6" fillId="10" borderId="12" xfId="0" applyFont="1" applyFill="1" applyBorder="1"/>
    <xf numFmtId="0" fontId="38" fillId="0" borderId="24" xfId="2" applyFont="1" applyBorder="1"/>
    <xf numFmtId="0" fontId="38" fillId="0" borderId="11" xfId="2" applyFont="1" applyBorder="1"/>
    <xf numFmtId="2" fontId="38" fillId="0" borderId="11" xfId="0" applyNumberFormat="1" applyFont="1" applyBorder="1"/>
    <xf numFmtId="9" fontId="11" fillId="10" borderId="11" xfId="1" applyFont="1" applyFill="1" applyBorder="1"/>
    <xf numFmtId="9" fontId="39" fillId="10" borderId="11" xfId="1" applyFont="1" applyFill="1" applyBorder="1"/>
    <xf numFmtId="0" fontId="6" fillId="0" borderId="23" xfId="2" applyFont="1" applyBorder="1"/>
    <xf numFmtId="0" fontId="38" fillId="0" borderId="20" xfId="2" applyFont="1" applyBorder="1"/>
    <xf numFmtId="0" fontId="6" fillId="0" borderId="21" xfId="2" applyFont="1" applyBorder="1"/>
    <xf numFmtId="0" fontId="38" fillId="0" borderId="21" xfId="0" applyFont="1" applyBorder="1"/>
    <xf numFmtId="0" fontId="38" fillId="0" borderId="11" xfId="0" applyFont="1" applyBorder="1"/>
    <xf numFmtId="0" fontId="36" fillId="10" borderId="11" xfId="2" applyFont="1" applyFill="1" applyBorder="1"/>
    <xf numFmtId="0" fontId="6" fillId="0" borderId="24" xfId="0" applyFont="1" applyBorder="1"/>
    <xf numFmtId="9" fontId="38" fillId="0" borderId="11" xfId="1" applyFont="1" applyFill="1" applyBorder="1"/>
    <xf numFmtId="0" fontId="40" fillId="10" borderId="11" xfId="0" applyFont="1" applyFill="1" applyBorder="1"/>
    <xf numFmtId="0" fontId="41" fillId="10" borderId="11" xfId="0" applyFont="1" applyFill="1" applyBorder="1"/>
    <xf numFmtId="0" fontId="38" fillId="0" borderId="25" xfId="2" applyFont="1" applyBorder="1"/>
    <xf numFmtId="0" fontId="38" fillId="0" borderId="12" xfId="2" applyFont="1" applyBorder="1"/>
    <xf numFmtId="164" fontId="42" fillId="0" borderId="0" xfId="0" applyNumberFormat="1" applyFont="1"/>
    <xf numFmtId="0" fontId="0" fillId="0" borderId="23" xfId="0" applyBorder="1"/>
    <xf numFmtId="0" fontId="40" fillId="0" borderId="23" xfId="0" applyFont="1" applyBorder="1"/>
    <xf numFmtId="0" fontId="43" fillId="0" borderId="23" xfId="0" applyFont="1" applyBorder="1"/>
    <xf numFmtId="0" fontId="6" fillId="0" borderId="13" xfId="2" applyFont="1" applyBorder="1"/>
    <xf numFmtId="0" fontId="8" fillId="0" borderId="26" xfId="2" applyFont="1" applyBorder="1" applyAlignment="1">
      <alignment horizontal="center"/>
    </xf>
    <xf numFmtId="0" fontId="0" fillId="4" borderId="26" xfId="0" applyFill="1" applyBorder="1" applyAlignment="1">
      <alignment horizontal="right"/>
    </xf>
    <xf numFmtId="0" fontId="6" fillId="0" borderId="17" xfId="2" applyFont="1" applyBorder="1"/>
    <xf numFmtId="0" fontId="0" fillId="0" borderId="27" xfId="0" applyBorder="1"/>
    <xf numFmtId="0" fontId="0" fillId="0" borderId="11" xfId="0" applyBorder="1"/>
    <xf numFmtId="0" fontId="0" fillId="10" borderId="11" xfId="0" applyFill="1" applyBorder="1"/>
    <xf numFmtId="2" fontId="0" fillId="10" borderId="11" xfId="0" applyNumberFormat="1" applyFill="1" applyBorder="1"/>
    <xf numFmtId="1" fontId="44" fillId="10" borderId="11" xfId="0" applyNumberFormat="1" applyFont="1" applyFill="1" applyBorder="1"/>
    <xf numFmtId="1" fontId="0" fillId="0" borderId="11" xfId="0" applyNumberFormat="1" applyBorder="1"/>
    <xf numFmtId="2" fontId="0" fillId="0" borderId="0" xfId="0" applyNumberFormat="1" applyAlignment="1">
      <alignment horizontal="left"/>
    </xf>
    <xf numFmtId="0" fontId="0" fillId="0" borderId="15" xfId="0" applyBorder="1"/>
    <xf numFmtId="9" fontId="0" fillId="0" borderId="15" xfId="0" applyNumberFormat="1" applyBorder="1"/>
    <xf numFmtId="10" fontId="0" fillId="0" borderId="15" xfId="0" applyNumberFormat="1" applyBorder="1"/>
    <xf numFmtId="0" fontId="0" fillId="0" borderId="13" xfId="0" applyBorder="1"/>
    <xf numFmtId="0" fontId="0" fillId="0" borderId="26" xfId="0" applyBorder="1"/>
    <xf numFmtId="10" fontId="0" fillId="0" borderId="17" xfId="0" applyNumberFormat="1" applyBorder="1"/>
    <xf numFmtId="0" fontId="0" fillId="0" borderId="26" xfId="0" applyBorder="1" applyAlignment="1">
      <alignment wrapText="1"/>
    </xf>
    <xf numFmtId="0" fontId="0" fillId="0" borderId="14" xfId="0" applyBorder="1" applyAlignment="1">
      <alignment wrapText="1"/>
    </xf>
    <xf numFmtId="0" fontId="0" fillId="0" borderId="0" xfId="0" applyAlignment="1">
      <alignment wrapText="1"/>
    </xf>
    <xf numFmtId="0" fontId="0" fillId="0" borderId="16" xfId="0" applyBorder="1" applyAlignment="1">
      <alignment wrapText="1"/>
    </xf>
    <xf numFmtId="2" fontId="0" fillId="0" borderId="0" xfId="0" applyNumberFormat="1" applyAlignment="1">
      <alignment wrapText="1"/>
    </xf>
    <xf numFmtId="2" fontId="0" fillId="0" borderId="16" xfId="0" applyNumberFormat="1" applyBorder="1" applyAlignment="1">
      <alignment wrapText="1"/>
    </xf>
    <xf numFmtId="2" fontId="0" fillId="0" borderId="27" xfId="0" applyNumberFormat="1" applyBorder="1" applyAlignment="1">
      <alignment wrapText="1"/>
    </xf>
    <xf numFmtId="2" fontId="0" fillId="0" borderId="18" xfId="0" applyNumberFormat="1" applyBorder="1" applyAlignment="1">
      <alignment wrapText="1"/>
    </xf>
    <xf numFmtId="1" fontId="0" fillId="0" borderId="0" xfId="0" applyNumberFormat="1" applyAlignment="1">
      <alignment wrapText="1"/>
    </xf>
    <xf numFmtId="1" fontId="0" fillId="0" borderId="16" xfId="0" applyNumberFormat="1" applyBorder="1" applyAlignment="1">
      <alignment wrapText="1"/>
    </xf>
    <xf numFmtId="0" fontId="3" fillId="0" borderId="0" xfId="0" applyFont="1" applyAlignment="1">
      <alignment horizontal="center" wrapText="1"/>
    </xf>
    <xf numFmtId="0" fontId="3" fillId="0" borderId="0" xfId="0" applyFont="1" applyAlignment="1">
      <alignment horizontal="center"/>
    </xf>
    <xf numFmtId="0" fontId="5" fillId="2" borderId="0" xfId="0" applyFont="1" applyFill="1" applyAlignment="1">
      <alignment horizontal="center"/>
    </xf>
    <xf numFmtId="0" fontId="35" fillId="2" borderId="0" xfId="2" applyFont="1" applyFill="1" applyAlignment="1">
      <alignment horizontal="center"/>
    </xf>
    <xf numFmtId="0" fontId="29" fillId="2" borderId="0" xfId="0" applyFont="1" applyFill="1" applyAlignment="1">
      <alignment horizontal="center"/>
    </xf>
    <xf numFmtId="0" fontId="25" fillId="0" borderId="0" xfId="0" applyFont="1" applyAlignment="1">
      <alignment horizontal="left" vertical="center"/>
    </xf>
  </cellXfs>
  <cellStyles count="7">
    <cellStyle name="Normal" xfId="0" builtinId="0"/>
    <cellStyle name="Normal 2" xfId="2" xr:uid="{00000000-0005-0000-0000-000001000000}"/>
    <cellStyle name="Normal 3" xfId="4" xr:uid="{00000000-0005-0000-0000-000002000000}"/>
    <cellStyle name="Percent" xfId="1" builtinId="5"/>
    <cellStyle name="Percent 2" xfId="5" xr:uid="{00000000-0005-0000-0000-000004000000}"/>
    <cellStyle name="Percent 3" xfId="3" xr:uid="{00000000-0005-0000-0000-000005000000}"/>
    <cellStyle name="Percent 4" xfId="6" xr:uid="{00000000-0005-0000-0000-000006000000}"/>
  </cellStyles>
  <dxfs count="15">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
      <font>
        <color theme="2"/>
      </font>
      <fill>
        <patternFill patternType="gray125">
          <fgColor theme="3" tint="0.39994506668294322"/>
        </patternFill>
      </fill>
    </dxf>
  </dxfs>
  <tableStyles count="0" defaultTableStyle="TableStyleMedium2" defaultPivotStyle="PivotStyleLight16"/>
  <colors>
    <mruColors>
      <color rgb="FFFFFFCC"/>
      <color rgb="FFE06EC2"/>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 Id="rId30" Type="http://schemas.openxmlformats.org/officeDocument/2006/relationships/customXml" Target="../customXml/item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orporateroot-my.sharepoint.com/Users/304481/Box%20Sync/My%20Box%20(304481)/Project%20Work/Morlais/CRM/ERM-CRM%20Feb2019/2019_01_21_Guidance%20-%20Collision%20Risk%20Modelling%20for%20tidal%20turbines%20-%20RI_dv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orporateroot-my.sharepoint.com/Users/304690/Box/I&amp;B-EU-Environment%20General/Knowledge%20Library%20and%20Practices/Marine%20Mammals/Other%20Impacts/Collision%20with%20Turbines/SNH%20Collision%20Consultation/A173327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asons"/>
      <sheetName val="Devices"/>
      <sheetName val="Density"/>
      <sheetName val="ERM - All"/>
      <sheetName val="CRM_1"/>
      <sheetName val="CRM_2"/>
      <sheetName val="CRM_3"/>
      <sheetName val="CRM_4"/>
      <sheetName val="CRM_5a"/>
      <sheetName val="CRM_5b"/>
      <sheetName val="CRM_6a"/>
      <sheetName val="CRM_6b"/>
      <sheetName val="Results"/>
    </sheetNames>
    <sheetDataSet>
      <sheetData sheetId="0"/>
      <sheetData sheetId="1"/>
      <sheetData sheetId="2">
        <row r="38">
          <cell r="B38"/>
        </row>
        <row r="39">
          <cell r="B39"/>
        </row>
        <row r="40">
          <cell r="B40"/>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ty (birds)"/>
      <sheetName val="Density (marine animals)"/>
      <sheetName val="ERM"/>
      <sheetName val="CRM"/>
      <sheetName val="ETPM"/>
      <sheetName val="Avoidance"/>
      <sheetName val="Swim depths"/>
      <sheetName val="Sheet1"/>
      <sheetName val="A1733278"/>
    </sheetNames>
    <sheetDataSet>
      <sheetData sheetId="0"/>
      <sheetData sheetId="1">
        <row r="28">
          <cell r="B28" t="str">
            <v>uniform</v>
          </cell>
        </row>
        <row r="29">
          <cell r="B29" t="str">
            <v>shallow-diving</v>
          </cell>
        </row>
        <row r="30">
          <cell r="B30" t="str">
            <v>deep-diving</v>
          </cell>
        </row>
        <row r="31">
          <cell r="B31" t="str">
            <v>harbour porpoise</v>
          </cell>
        </row>
        <row r="32">
          <cell r="B32" t="str">
            <v>harbour seal</v>
          </cell>
        </row>
        <row r="33">
          <cell r="B33" t="str">
            <v>grey seal</v>
          </cell>
        </row>
        <row r="34">
          <cell r="B34" t="str">
            <v>atlantic salmon</v>
          </cell>
        </row>
      </sheetData>
      <sheetData sheetId="2"/>
      <sheetData sheetId="3"/>
      <sheetData sheetId="4"/>
      <sheetData sheetId="5"/>
      <sheetData sheetId="6"/>
      <sheetData sheetId="7"/>
      <sheetData sheetId="8" refreshError="1"/>
    </sheetDataSet>
  </externalBook>
</externalLink>
</file>

<file path=xl/persons/person.xml><?xml version="1.0" encoding="utf-8"?>
<personList xmlns="http://schemas.microsoft.com/office/spreadsheetml/2018/threadedcomments" xmlns:x="http://schemas.openxmlformats.org/spreadsheetml/2006/main">
  <person displayName="Thomas Benson" id="{224AE3F5-ADC0-421D-A846-E7A6B948218F}" userId="Thomas Benson"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33" dT="2024-03-06T09:54:09.92" personId="{224AE3F5-ADC0-421D-A846-E7A6B948218F}" id="{74A8CFA1-F123-4BE1-A257-39C53C63AAAB}">
    <text>Phase 1</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1DB5A-FB3B-423B-8E96-1505444A9610}">
  <sheetPr codeName="Sheet6"/>
  <dimension ref="A1:G34"/>
  <sheetViews>
    <sheetView zoomScaleNormal="100" workbookViewId="0">
      <selection activeCell="F2" sqref="F2:F36"/>
    </sheetView>
  </sheetViews>
  <sheetFormatPr defaultColWidth="9.1796875" defaultRowHeight="14.5" x14ac:dyDescent="0.35"/>
  <cols>
    <col min="1" max="1" width="32.1796875" customWidth="1"/>
    <col min="2" max="2" width="7.26953125" customWidth="1"/>
    <col min="3" max="3" width="10.81640625" customWidth="1"/>
    <col min="4" max="4" width="12.1796875" customWidth="1"/>
    <col min="5" max="5" width="12.26953125" customWidth="1"/>
    <col min="6" max="6" width="14.1796875" customWidth="1"/>
  </cols>
  <sheetData>
    <row r="1" spans="1:7" x14ac:dyDescent="0.35">
      <c r="A1" s="260" t="s">
        <v>190</v>
      </c>
      <c r="B1" s="261" t="s">
        <v>191</v>
      </c>
      <c r="C1" s="262">
        <v>1</v>
      </c>
      <c r="D1" s="262">
        <v>2</v>
      </c>
      <c r="E1" s="262">
        <v>3</v>
      </c>
      <c r="F1" s="262">
        <v>4</v>
      </c>
    </row>
    <row r="2" spans="1:7" x14ac:dyDescent="0.35">
      <c r="A2" s="263" t="s">
        <v>200</v>
      </c>
      <c r="B2" s="264"/>
      <c r="C2" s="265"/>
      <c r="D2" s="266"/>
      <c r="E2" s="266" t="s">
        <v>255</v>
      </c>
      <c r="F2" s="266"/>
    </row>
    <row r="3" spans="1:7" ht="15.5" x14ac:dyDescent="0.35">
      <c r="A3" s="267" t="s">
        <v>208</v>
      </c>
      <c r="B3" s="142" t="s">
        <v>155</v>
      </c>
      <c r="C3" s="147"/>
      <c r="D3" s="144"/>
      <c r="E3" s="268">
        <v>3.1539999999999999</v>
      </c>
      <c r="F3" s="269"/>
    </row>
    <row r="4" spans="1:7" x14ac:dyDescent="0.35">
      <c r="A4" s="267" t="s">
        <v>91</v>
      </c>
      <c r="B4" s="142" t="s">
        <v>193</v>
      </c>
      <c r="C4" s="147"/>
      <c r="D4" s="144"/>
      <c r="E4" s="144">
        <v>2</v>
      </c>
      <c r="F4" s="144"/>
    </row>
    <row r="5" spans="1:7" ht="15.5" x14ac:dyDescent="0.35">
      <c r="A5" s="267" t="s">
        <v>26</v>
      </c>
      <c r="B5" s="142" t="s">
        <v>155</v>
      </c>
      <c r="C5" s="147"/>
      <c r="D5" s="144"/>
      <c r="E5" s="268">
        <v>10.5</v>
      </c>
      <c r="F5" s="269"/>
    </row>
    <row r="6" spans="1:7" x14ac:dyDescent="0.35">
      <c r="A6" s="267" t="s">
        <v>28</v>
      </c>
      <c r="B6" s="142" t="s">
        <v>193</v>
      </c>
      <c r="C6" s="147"/>
      <c r="D6" s="144"/>
      <c r="E6" s="144">
        <v>3</v>
      </c>
      <c r="F6" s="144"/>
    </row>
    <row r="7" spans="1:7" ht="15.5" x14ac:dyDescent="0.35">
      <c r="A7" s="270" t="s">
        <v>203</v>
      </c>
      <c r="B7" s="143" t="s">
        <v>155</v>
      </c>
      <c r="C7" s="268"/>
      <c r="D7" s="268"/>
      <c r="E7" s="268">
        <v>1.0069999999999999</v>
      </c>
      <c r="F7" s="271"/>
    </row>
    <row r="8" spans="1:7" x14ac:dyDescent="0.35">
      <c r="A8" s="267" t="s">
        <v>36</v>
      </c>
      <c r="B8" s="142" t="s">
        <v>38</v>
      </c>
      <c r="C8" s="272"/>
      <c r="D8" s="144"/>
      <c r="E8" s="144">
        <v>9.98</v>
      </c>
      <c r="F8" s="144"/>
    </row>
    <row r="9" spans="1:7" x14ac:dyDescent="0.35">
      <c r="A9" s="273" t="s">
        <v>112</v>
      </c>
      <c r="B9" s="274" t="s">
        <v>194</v>
      </c>
      <c r="C9" s="275"/>
      <c r="D9" s="275"/>
      <c r="E9" s="275">
        <f t="shared" ref="C9:F9" si="0">(1/2)*E5*E8*2*PI()/60</f>
        <v>5.4867915694945735</v>
      </c>
      <c r="F9" s="275"/>
    </row>
    <row r="10" spans="1:7" ht="15.5" x14ac:dyDescent="0.35">
      <c r="A10" s="267" t="s">
        <v>39</v>
      </c>
      <c r="B10" s="142" t="s">
        <v>195</v>
      </c>
      <c r="C10" s="276"/>
      <c r="D10" s="277"/>
      <c r="E10" s="276">
        <v>0.26</v>
      </c>
      <c r="F10" s="276"/>
    </row>
    <row r="11" spans="1:7" x14ac:dyDescent="0.35">
      <c r="A11" s="267" t="s">
        <v>196</v>
      </c>
      <c r="B11" s="142" t="s">
        <v>194</v>
      </c>
      <c r="C11" s="147"/>
      <c r="D11" s="147"/>
      <c r="E11" s="147">
        <v>1.52</v>
      </c>
      <c r="F11" s="147"/>
    </row>
    <row r="12" spans="1:7" x14ac:dyDescent="0.35">
      <c r="A12" s="273" t="s">
        <v>113</v>
      </c>
      <c r="B12" s="274" t="s">
        <v>193</v>
      </c>
      <c r="C12" s="275"/>
      <c r="D12" s="275"/>
      <c r="E12" s="275">
        <f>SQRT(E9*E9+E11*E11)</f>
        <v>5.6934419929491442</v>
      </c>
      <c r="F12" s="275"/>
    </row>
    <row r="13" spans="1:7" ht="15" thickBot="1" x14ac:dyDescent="0.4">
      <c r="A13" s="251" t="s">
        <v>197</v>
      </c>
      <c r="B13" s="278" t="s">
        <v>193</v>
      </c>
      <c r="C13" s="278"/>
      <c r="D13" s="278"/>
      <c r="E13" s="278"/>
      <c r="F13" s="278"/>
    </row>
    <row r="14" spans="1:7" x14ac:dyDescent="0.35">
      <c r="A14" s="279" t="s">
        <v>91</v>
      </c>
      <c r="B14" s="280" t="s">
        <v>193</v>
      </c>
      <c r="C14" s="281"/>
      <c r="D14" s="281"/>
      <c r="E14" s="281">
        <f>E4</f>
        <v>2</v>
      </c>
      <c r="F14" s="281"/>
    </row>
    <row r="15" spans="1:7" x14ac:dyDescent="0.35">
      <c r="A15" s="273" t="s">
        <v>26</v>
      </c>
      <c r="B15" s="274" t="s">
        <v>155</v>
      </c>
      <c r="C15" s="282"/>
      <c r="D15" s="282"/>
      <c r="E15" s="282">
        <f t="shared" ref="C15:F16" si="1">E5</f>
        <v>10.5</v>
      </c>
      <c r="F15" s="282"/>
    </row>
    <row r="16" spans="1:7" x14ac:dyDescent="0.35">
      <c r="A16" s="273" t="s">
        <v>28</v>
      </c>
      <c r="B16" s="274" t="s">
        <v>193</v>
      </c>
      <c r="C16" s="282"/>
      <c r="D16" s="282"/>
      <c r="E16" s="282">
        <f t="shared" si="1"/>
        <v>3</v>
      </c>
      <c r="F16" s="282"/>
      <c r="G16" s="224"/>
    </row>
    <row r="17" spans="1:6" ht="15.5" x14ac:dyDescent="0.35">
      <c r="A17" s="270" t="s">
        <v>204</v>
      </c>
      <c r="B17" s="143" t="s">
        <v>155</v>
      </c>
      <c r="C17" s="283"/>
      <c r="D17" s="268"/>
      <c r="E17" s="268">
        <v>1.393</v>
      </c>
      <c r="F17" s="271"/>
    </row>
    <row r="18" spans="1:6" ht="15.5" x14ac:dyDescent="0.35">
      <c r="A18" s="284" t="s">
        <v>92</v>
      </c>
      <c r="B18" s="143" t="s">
        <v>33</v>
      </c>
      <c r="C18" s="268"/>
      <c r="D18" s="268"/>
      <c r="E18" s="268">
        <v>0.01</v>
      </c>
      <c r="F18" s="269"/>
    </row>
    <row r="19" spans="1:6" x14ac:dyDescent="0.35">
      <c r="A19" s="284" t="s">
        <v>34</v>
      </c>
      <c r="B19" s="143" t="s">
        <v>193</v>
      </c>
      <c r="C19" s="254"/>
      <c r="D19" s="254"/>
      <c r="E19" s="254" t="s">
        <v>198</v>
      </c>
      <c r="F19" s="254"/>
    </row>
    <row r="20" spans="1:6" x14ac:dyDescent="0.35">
      <c r="A20" s="273" t="s">
        <v>36</v>
      </c>
      <c r="B20" s="274" t="s">
        <v>38</v>
      </c>
      <c r="C20" s="282"/>
      <c r="D20" s="282"/>
      <c r="E20" s="282">
        <f t="shared" ref="C20:F20" si="2">E8</f>
        <v>9.98</v>
      </c>
      <c r="F20" s="282"/>
    </row>
    <row r="21" spans="1:6" x14ac:dyDescent="0.35">
      <c r="A21" s="273" t="s">
        <v>39</v>
      </c>
      <c r="B21" s="274"/>
      <c r="C21" s="285"/>
      <c r="D21" s="285"/>
      <c r="E21" s="285">
        <f t="shared" ref="C21:F21" si="3">E10</f>
        <v>0.26</v>
      </c>
      <c r="F21" s="285"/>
    </row>
    <row r="22" spans="1:6" x14ac:dyDescent="0.35">
      <c r="A22" s="267" t="s">
        <v>209</v>
      </c>
      <c r="B22" s="142" t="s">
        <v>23</v>
      </c>
      <c r="C22" s="147"/>
      <c r="D22" s="286"/>
      <c r="E22" s="286">
        <v>36</v>
      </c>
      <c r="F22" s="287"/>
    </row>
    <row r="23" spans="1:6" x14ac:dyDescent="0.35">
      <c r="A23" s="288" t="s">
        <v>214</v>
      </c>
      <c r="B23" s="289" t="s">
        <v>215</v>
      </c>
      <c r="C23" s="290"/>
      <c r="D23" s="290"/>
      <c r="E23" s="290">
        <f>PI()*E15^2*E14</f>
        <v>692.72118011654936</v>
      </c>
      <c r="F23" s="290"/>
    </row>
    <row r="24" spans="1:6" ht="15" thickBot="1" x14ac:dyDescent="0.4">
      <c r="A24" s="251" t="s">
        <v>205</v>
      </c>
      <c r="B24" s="291"/>
      <c r="C24" s="292"/>
      <c r="D24" s="291"/>
      <c r="E24" s="293">
        <f>E22-(E3+E5*2)</f>
        <v>11.846</v>
      </c>
      <c r="F24" s="291"/>
    </row>
    <row r="25" spans="1:6" x14ac:dyDescent="0.35">
      <c r="A25" s="294" t="s">
        <v>245</v>
      </c>
      <c r="B25" s="295" t="s">
        <v>49</v>
      </c>
      <c r="C25" s="296"/>
      <c r="D25" s="296"/>
      <c r="E25" s="296" t="str">
        <f t="shared" ref="C25:F25" si="4">$B25</f>
        <v>years</v>
      </c>
      <c r="F25" s="296"/>
    </row>
    <row r="26" spans="1:6" ht="15" thickBot="1" x14ac:dyDescent="0.4">
      <c r="A26" s="297" t="s">
        <v>246</v>
      </c>
      <c r="B26" s="298"/>
      <c r="C26" s="298"/>
      <c r="D26" s="298"/>
      <c r="E26" s="298">
        <v>1</v>
      </c>
      <c r="F26" s="298"/>
    </row>
    <row r="27" spans="1:6" x14ac:dyDescent="0.35">
      <c r="A27" s="4"/>
    </row>
    <row r="28" spans="1:6" x14ac:dyDescent="0.35">
      <c r="A28" s="253" t="s">
        <v>253</v>
      </c>
      <c r="B28" s="13"/>
      <c r="C28" s="13"/>
    </row>
    <row r="29" spans="1:6" x14ac:dyDescent="0.35">
      <c r="A29" s="252" t="s">
        <v>250</v>
      </c>
      <c r="B29" s="254" t="s">
        <v>256</v>
      </c>
    </row>
    <row r="30" spans="1:6" x14ac:dyDescent="0.35">
      <c r="A30" s="252" t="s">
        <v>251</v>
      </c>
      <c r="B30" s="254">
        <v>1</v>
      </c>
    </row>
    <row r="31" spans="1:6" x14ac:dyDescent="0.35">
      <c r="A31" s="252" t="s">
        <v>252</v>
      </c>
      <c r="B31" s="255">
        <f>SUM(C34:K34)</f>
        <v>6</v>
      </c>
    </row>
    <row r="32" spans="1:6" x14ac:dyDescent="0.35">
      <c r="A32" s="143" t="s">
        <v>206</v>
      </c>
      <c r="B32" s="299" t="s">
        <v>207</v>
      </c>
      <c r="C32" s="300"/>
      <c r="D32" s="301"/>
      <c r="E32" s="300">
        <f>2*0.75</f>
        <v>1.5</v>
      </c>
      <c r="F32" s="300"/>
    </row>
    <row r="33" spans="1:6" ht="21" x14ac:dyDescent="0.5">
      <c r="A33" s="142" t="s">
        <v>257</v>
      </c>
      <c r="B33" s="142" t="s">
        <v>193</v>
      </c>
      <c r="C33" s="147"/>
      <c r="D33" s="160"/>
      <c r="E33" s="302">
        <v>4</v>
      </c>
      <c r="F33" s="160"/>
    </row>
    <row r="34" spans="1:6" x14ac:dyDescent="0.35">
      <c r="A34" s="142" t="s">
        <v>258</v>
      </c>
      <c r="B34" s="299" t="s">
        <v>207</v>
      </c>
      <c r="C34" s="299"/>
      <c r="D34" s="303"/>
      <c r="E34" s="299">
        <f t="shared" ref="C34:F34" si="5">E32*E33</f>
        <v>6</v>
      </c>
      <c r="F34" s="299"/>
    </row>
  </sheetData>
  <dataValidations count="1">
    <dataValidation type="list" allowBlank="1" showInputMessage="1" showErrorMessage="1" sqref="B25" xr:uid="{3B30F8E5-4F13-493D-B0E7-8F590E5886EE}">
      <formula1>"years,months,weeks"</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7DCEE-CB38-40F7-A1EC-E6C7B928B687}">
  <sheetPr codeName="Sheet1"/>
  <dimension ref="A1:T34"/>
  <sheetViews>
    <sheetView zoomScale="115" zoomScaleNormal="115" workbookViewId="0">
      <selection activeCell="L27" sqref="L27"/>
    </sheetView>
  </sheetViews>
  <sheetFormatPr defaultRowHeight="14.5" x14ac:dyDescent="0.35"/>
  <cols>
    <col min="2" max="2" width="18.1796875" customWidth="1"/>
    <col min="4" max="4" width="11.1796875" customWidth="1"/>
    <col min="8" max="8" width="2.81640625" customWidth="1"/>
    <col min="10" max="10" width="3" customWidth="1"/>
    <col min="12" max="12" width="3.1796875" customWidth="1"/>
    <col min="14" max="14" width="3.453125" customWidth="1"/>
    <col min="16" max="16" width="3" customWidth="1"/>
    <col min="18" max="18" width="3" customWidth="1"/>
  </cols>
  <sheetData>
    <row r="1" spans="1:20" ht="30" customHeight="1" x14ac:dyDescent="0.35">
      <c r="A1" s="46" t="s">
        <v>244</v>
      </c>
      <c r="C1" s="181" t="s">
        <v>247</v>
      </c>
      <c r="D1" s="183" t="s">
        <v>240</v>
      </c>
      <c r="E1" s="180" t="s">
        <v>241</v>
      </c>
      <c r="G1" s="13"/>
      <c r="H1" s="13"/>
      <c r="I1" s="13"/>
      <c r="J1" s="13"/>
      <c r="K1" s="13"/>
      <c r="L1" s="13"/>
      <c r="M1" s="13"/>
    </row>
    <row r="2" spans="1:20" x14ac:dyDescent="0.35">
      <c r="C2" s="13"/>
      <c r="D2" s="13"/>
      <c r="E2" s="13"/>
      <c r="F2" s="13"/>
      <c r="G2" s="13"/>
      <c r="H2" s="13"/>
      <c r="I2" s="13"/>
      <c r="J2" s="13"/>
      <c r="K2" s="13"/>
      <c r="L2" s="13"/>
      <c r="M2" s="13"/>
    </row>
    <row r="3" spans="1:20" ht="24" x14ac:dyDescent="0.35">
      <c r="A3" s="50" t="s">
        <v>94</v>
      </c>
      <c r="C3" s="13"/>
      <c r="D3" s="13"/>
      <c r="E3" s="13"/>
      <c r="F3" s="13"/>
      <c r="G3" s="187" t="s">
        <v>77</v>
      </c>
      <c r="H3" s="52"/>
      <c r="I3" s="187" t="s">
        <v>143</v>
      </c>
      <c r="J3" s="92"/>
      <c r="K3" s="187" t="s">
        <v>107</v>
      </c>
      <c r="L3" s="52"/>
      <c r="M3" s="187" t="s">
        <v>78</v>
      </c>
      <c r="N3" s="53"/>
      <c r="O3" s="187" t="s">
        <v>188</v>
      </c>
      <c r="Q3" s="187" t="s">
        <v>189</v>
      </c>
      <c r="S3" s="187" t="s">
        <v>199</v>
      </c>
    </row>
    <row r="4" spans="1:20" x14ac:dyDescent="0.35">
      <c r="A4" s="4" t="s">
        <v>103</v>
      </c>
      <c r="C4" s="13"/>
      <c r="D4" s="13"/>
      <c r="E4" s="13"/>
      <c r="F4" s="13"/>
      <c r="G4" s="170" t="s">
        <v>102</v>
      </c>
      <c r="H4" s="43"/>
      <c r="I4" s="170" t="s">
        <v>102</v>
      </c>
      <c r="J4" s="43"/>
      <c r="K4" s="170" t="s">
        <v>102</v>
      </c>
      <c r="L4" s="43"/>
      <c r="M4" s="170" t="s">
        <v>102</v>
      </c>
      <c r="N4" s="24"/>
      <c r="O4" s="170" t="s">
        <v>102</v>
      </c>
      <c r="P4" s="43"/>
      <c r="Q4" s="170" t="s">
        <v>102</v>
      </c>
      <c r="S4" s="170" t="s">
        <v>102</v>
      </c>
    </row>
    <row r="5" spans="1:20" x14ac:dyDescent="0.35">
      <c r="A5" s="4" t="s">
        <v>7</v>
      </c>
      <c r="B5" s="256"/>
      <c r="C5" s="189" t="s">
        <v>8</v>
      </c>
      <c r="D5" s="189" t="s">
        <v>6</v>
      </c>
      <c r="E5" s="170">
        <v>10</v>
      </c>
      <c r="F5" s="28"/>
      <c r="G5" s="10">
        <f>$E5</f>
        <v>10</v>
      </c>
      <c r="H5" s="13"/>
      <c r="I5" s="10">
        <f>$E5</f>
        <v>10</v>
      </c>
      <c r="J5" s="93"/>
      <c r="K5" s="10">
        <f>$E5</f>
        <v>10</v>
      </c>
      <c r="L5" s="13"/>
      <c r="M5" s="10">
        <f>$E5</f>
        <v>10</v>
      </c>
      <c r="O5" s="10">
        <f>$E5</f>
        <v>10</v>
      </c>
      <c r="Q5" s="10">
        <f>$E5</f>
        <v>10</v>
      </c>
      <c r="S5" s="10">
        <f>$E5</f>
        <v>10</v>
      </c>
    </row>
    <row r="6" spans="1:20" x14ac:dyDescent="0.35">
      <c r="A6" s="4" t="s">
        <v>230</v>
      </c>
      <c r="B6" s="2"/>
      <c r="C6" s="204" t="s">
        <v>0</v>
      </c>
      <c r="D6" s="204" t="s">
        <v>41</v>
      </c>
      <c r="E6" s="13"/>
      <c r="F6" s="13"/>
      <c r="G6" s="257">
        <f>0.33/1000000</f>
        <v>3.3000000000000002E-7</v>
      </c>
      <c r="H6" s="205"/>
      <c r="I6" s="257">
        <f>0.0005/1000000</f>
        <v>5.0000000000000003E-10</v>
      </c>
      <c r="J6" s="206"/>
      <c r="K6" s="257">
        <f>0.155/1000000</f>
        <v>1.55E-7</v>
      </c>
      <c r="L6" s="205"/>
      <c r="M6" s="258">
        <f>0.00883/1000000</f>
        <v>8.8299999999999987E-9</v>
      </c>
      <c r="N6" s="207"/>
      <c r="O6" s="258">
        <f>0.005/1000000</f>
        <v>5.0000000000000001E-9</v>
      </c>
      <c r="P6" s="152"/>
      <c r="Q6" s="258">
        <f>0.00958/1000000</f>
        <v>9.5800000000000004E-9</v>
      </c>
      <c r="R6" s="152"/>
      <c r="S6" s="258">
        <f>0.00233/1000000</f>
        <v>2.33E-9</v>
      </c>
    </row>
    <row r="7" spans="1:20" x14ac:dyDescent="0.35">
      <c r="A7" s="8" t="s">
        <v>105</v>
      </c>
      <c r="B7" s="2"/>
      <c r="C7" s="8"/>
      <c r="D7" s="5"/>
      <c r="E7" s="216"/>
      <c r="F7" s="217"/>
      <c r="G7" s="218" t="s">
        <v>96</v>
      </c>
      <c r="H7" s="219"/>
      <c r="I7" s="218" t="s">
        <v>96</v>
      </c>
      <c r="J7" s="219"/>
      <c r="K7" s="218" t="s">
        <v>96</v>
      </c>
      <c r="L7" s="219"/>
      <c r="M7" s="218" t="s">
        <v>96</v>
      </c>
      <c r="N7" s="220"/>
      <c r="O7" s="218" t="s">
        <v>96</v>
      </c>
      <c r="P7" s="221"/>
      <c r="Q7" s="218" t="s">
        <v>96</v>
      </c>
      <c r="R7" s="221"/>
      <c r="S7" s="218" t="s">
        <v>96</v>
      </c>
    </row>
    <row r="8" spans="1:20" x14ac:dyDescent="0.35">
      <c r="B8" s="256"/>
      <c r="C8" s="12"/>
      <c r="D8" s="12"/>
      <c r="E8" s="24"/>
      <c r="F8" s="28"/>
      <c r="G8" s="93"/>
      <c r="H8" s="13"/>
      <c r="I8" s="93"/>
      <c r="J8" s="93"/>
      <c r="K8" s="93"/>
      <c r="L8" s="13"/>
      <c r="M8" s="93"/>
      <c r="O8" s="93"/>
      <c r="Q8" s="93"/>
      <c r="S8" s="93"/>
    </row>
    <row r="9" spans="1:20" x14ac:dyDescent="0.35">
      <c r="A9" s="222" t="s">
        <v>231</v>
      </c>
      <c r="B9" s="256"/>
      <c r="C9" s="12"/>
      <c r="D9" s="12"/>
      <c r="E9" s="24"/>
      <c r="F9" s="28"/>
      <c r="G9" s="93"/>
      <c r="H9" s="13"/>
      <c r="I9" s="93"/>
      <c r="J9" s="93"/>
      <c r="K9" s="93"/>
      <c r="L9" s="13"/>
      <c r="M9" s="93"/>
      <c r="O9" s="93"/>
      <c r="Q9" s="93"/>
      <c r="S9" s="93"/>
    </row>
    <row r="10" spans="1:20" ht="24" x14ac:dyDescent="0.35">
      <c r="A10" s="4" t="s">
        <v>86</v>
      </c>
      <c r="B10" s="2"/>
      <c r="C10" s="192"/>
      <c r="D10" s="171"/>
      <c r="E10" s="3"/>
      <c r="F10" s="41"/>
      <c r="G10" s="208" t="s">
        <v>77</v>
      </c>
      <c r="H10" s="194"/>
      <c r="I10" s="208" t="s">
        <v>143</v>
      </c>
      <c r="J10" s="195"/>
      <c r="K10" s="208" t="s">
        <v>107</v>
      </c>
      <c r="L10" s="45"/>
      <c r="M10" s="208" t="s">
        <v>83</v>
      </c>
      <c r="N10" s="43"/>
      <c r="O10" s="208" t="s">
        <v>83</v>
      </c>
      <c r="Q10" s="208" t="s">
        <v>83</v>
      </c>
      <c r="S10" s="208" t="s">
        <v>83</v>
      </c>
    </row>
    <row r="11" spans="1:20" x14ac:dyDescent="0.35">
      <c r="A11" s="4" t="s">
        <v>56</v>
      </c>
      <c r="B11" s="2"/>
      <c r="C11" s="192" t="s">
        <v>57</v>
      </c>
      <c r="D11" s="171" t="s">
        <v>58</v>
      </c>
      <c r="E11" s="3"/>
      <c r="F11" s="41"/>
      <c r="G11" s="196"/>
      <c r="H11" s="197"/>
      <c r="I11" s="196">
        <v>0.85</v>
      </c>
      <c r="J11" s="198"/>
      <c r="K11" s="196">
        <v>0.61</v>
      </c>
      <c r="L11" s="197"/>
      <c r="M11" s="196"/>
      <c r="N11" s="199"/>
      <c r="O11" s="196"/>
      <c r="Q11" s="196"/>
      <c r="S11" s="196"/>
    </row>
    <row r="12" spans="1:20" x14ac:dyDescent="0.35">
      <c r="A12" s="4" t="s">
        <v>4</v>
      </c>
      <c r="B12" s="2"/>
      <c r="C12" s="171" t="s">
        <v>5</v>
      </c>
      <c r="D12" s="171" t="s">
        <v>6</v>
      </c>
      <c r="E12" s="13"/>
      <c r="F12" s="13"/>
      <c r="G12" s="259">
        <v>26.2</v>
      </c>
      <c r="I12" s="259">
        <v>180</v>
      </c>
      <c r="K12" s="259">
        <v>297</v>
      </c>
      <c r="M12" s="259">
        <v>104</v>
      </c>
      <c r="O12" s="259">
        <v>25.8</v>
      </c>
      <c r="Q12" s="259">
        <v>25.8</v>
      </c>
      <c r="S12" s="259">
        <v>25.8</v>
      </c>
    </row>
    <row r="13" spans="1:20" x14ac:dyDescent="0.35">
      <c r="A13" s="4" t="s">
        <v>74</v>
      </c>
      <c r="B13" s="2"/>
      <c r="C13" s="171" t="s">
        <v>75</v>
      </c>
      <c r="D13" s="171" t="s">
        <v>6</v>
      </c>
      <c r="E13" s="13"/>
      <c r="F13" s="13"/>
      <c r="G13" s="172">
        <v>3.9</v>
      </c>
      <c r="H13" s="45"/>
      <c r="I13" s="223">
        <v>39.512</v>
      </c>
      <c r="J13" s="45"/>
      <c r="K13" s="172">
        <v>165</v>
      </c>
      <c r="L13" s="45"/>
      <c r="M13" s="172">
        <v>3.5</v>
      </c>
      <c r="N13" s="43"/>
      <c r="O13" s="172">
        <v>3.7</v>
      </c>
      <c r="Q13" s="215">
        <v>3.7</v>
      </c>
      <c r="S13" s="215">
        <v>3.7</v>
      </c>
      <c r="T13" s="259" t="s">
        <v>254</v>
      </c>
    </row>
    <row r="15" spans="1:20" x14ac:dyDescent="0.35">
      <c r="A15" s="1" t="s">
        <v>236</v>
      </c>
    </row>
    <row r="16" spans="1:20" x14ac:dyDescent="0.35">
      <c r="A16" s="8" t="s">
        <v>2</v>
      </c>
      <c r="B16" s="2"/>
      <c r="C16" s="209" t="s">
        <v>3</v>
      </c>
      <c r="D16" s="209" t="s">
        <v>1</v>
      </c>
      <c r="E16" s="5"/>
      <c r="F16" s="210" t="s">
        <v>233</v>
      </c>
      <c r="G16" s="211">
        <f>IF(G7="yes",1/(G12+G13),0)</f>
        <v>0</v>
      </c>
      <c r="H16" s="212"/>
      <c r="I16" s="211">
        <f>IF(I7="yes",1/(I12+I13),0)</f>
        <v>0</v>
      </c>
      <c r="J16" s="213"/>
      <c r="K16" s="211">
        <f>IF(K7="yes",1/(K12+K13),0)</f>
        <v>0</v>
      </c>
      <c r="L16" s="212"/>
      <c r="M16" s="211">
        <f>IF(M7="yes",1/(M12+M13),0)</f>
        <v>0</v>
      </c>
      <c r="N16" s="152"/>
      <c r="O16" s="211">
        <f>IF(O7="yes",1/(O12+O13),0)</f>
        <v>0</v>
      </c>
      <c r="P16" s="152"/>
      <c r="Q16" s="211">
        <f>IF(Q7="yes",1/(Q12+Q13),0)</f>
        <v>0</v>
      </c>
      <c r="R16" s="152"/>
      <c r="S16" s="211">
        <f>IF(S7="yes",1/(S12+S13),0)</f>
        <v>0</v>
      </c>
    </row>
    <row r="17" spans="1:19" x14ac:dyDescent="0.35">
      <c r="A17" s="8" t="s">
        <v>9</v>
      </c>
      <c r="B17" s="2"/>
      <c r="C17" s="209"/>
      <c r="D17" s="209"/>
      <c r="E17" s="5"/>
      <c r="F17" s="214" t="s">
        <v>10</v>
      </c>
      <c r="G17" s="11">
        <f>1-G16*MAX(0,(G12-G5))</f>
        <v>1</v>
      </c>
      <c r="H17" s="212"/>
      <c r="I17" s="11">
        <f>1-I16*MAX(0,(I12-I5))</f>
        <v>1</v>
      </c>
      <c r="J17" s="94"/>
      <c r="K17" s="11">
        <f>1-K16*MAX(0,(K12-K5))</f>
        <v>1</v>
      </c>
      <c r="L17" s="212"/>
      <c r="M17" s="11">
        <f>1-M16*MAX(0,(M12-M5))</f>
        <v>1</v>
      </c>
      <c r="N17" s="152"/>
      <c r="O17" s="11">
        <f>1-O16*MAX(0,(O12-O5))</f>
        <v>1</v>
      </c>
      <c r="P17" s="152"/>
      <c r="Q17" s="11">
        <f>1-Q16*MAX(0,(Q12-Q5))</f>
        <v>1</v>
      </c>
      <c r="R17" s="152"/>
      <c r="S17" s="11">
        <f>1-S16*MAX(0,(S12-S5))</f>
        <v>1</v>
      </c>
    </row>
    <row r="18" spans="1:19" x14ac:dyDescent="0.35">
      <c r="A18" s="8" t="s">
        <v>15</v>
      </c>
      <c r="B18" s="2"/>
      <c r="C18" s="35" t="s">
        <v>234</v>
      </c>
      <c r="D18" s="209" t="s">
        <v>235</v>
      </c>
      <c r="E18" s="212"/>
      <c r="F18" s="212"/>
      <c r="G18" s="176">
        <f>G6/G17</f>
        <v>3.3000000000000002E-7</v>
      </c>
      <c r="H18" s="224"/>
      <c r="I18" s="176">
        <f>I6/I17</f>
        <v>5.0000000000000003E-10</v>
      </c>
      <c r="J18" s="168"/>
      <c r="K18" s="176">
        <f>K6/K17</f>
        <v>1.55E-7</v>
      </c>
      <c r="L18" s="224"/>
      <c r="M18" s="176">
        <f>M6/M17</f>
        <v>8.8299999999999987E-9</v>
      </c>
      <c r="N18" s="151"/>
      <c r="O18" s="176">
        <f>O6/O17</f>
        <v>5.0000000000000001E-9</v>
      </c>
      <c r="P18" s="151"/>
      <c r="Q18" s="176">
        <f>Q6/Q17</f>
        <v>9.5800000000000004E-9</v>
      </c>
      <c r="R18" s="151"/>
      <c r="S18" s="176">
        <f>S6/S17</f>
        <v>2.33E-9</v>
      </c>
    </row>
    <row r="19" spans="1:19" x14ac:dyDescent="0.35">
      <c r="A19" s="4"/>
    </row>
    <row r="20" spans="1:19" x14ac:dyDescent="0.35">
      <c r="A20" s="222" t="s">
        <v>232</v>
      </c>
    </row>
    <row r="21" spans="1:19" x14ac:dyDescent="0.35">
      <c r="A21" s="4" t="s">
        <v>80</v>
      </c>
      <c r="C21" s="173" t="s">
        <v>43</v>
      </c>
      <c r="D21" s="173" t="s">
        <v>23</v>
      </c>
      <c r="G21" s="259">
        <v>1.22</v>
      </c>
      <c r="I21" s="259">
        <v>1.41</v>
      </c>
      <c r="K21" s="259">
        <v>1.37</v>
      </c>
      <c r="M21" s="259">
        <v>5.2</v>
      </c>
      <c r="O21" s="259">
        <v>2.57</v>
      </c>
      <c r="Q21" s="259">
        <v>2.37</v>
      </c>
      <c r="S21" s="259">
        <v>1.77</v>
      </c>
    </row>
    <row r="22" spans="1:19" x14ac:dyDescent="0.35">
      <c r="A22" s="4" t="s">
        <v>72</v>
      </c>
      <c r="C22" s="171" t="s">
        <v>44</v>
      </c>
      <c r="D22" s="171" t="s">
        <v>23</v>
      </c>
      <c r="E22" s="13"/>
      <c r="F22" s="167"/>
      <c r="G22" s="259">
        <v>0.3</v>
      </c>
      <c r="I22" s="259">
        <v>0.34</v>
      </c>
      <c r="K22" s="259">
        <v>0.32</v>
      </c>
      <c r="M22" s="259">
        <v>2.2000000000000002</v>
      </c>
      <c r="O22" s="259">
        <v>0.64</v>
      </c>
      <c r="Q22" s="259">
        <v>0.55000000000000004</v>
      </c>
      <c r="S22" s="259">
        <v>0.44</v>
      </c>
    </row>
    <row r="23" spans="1:19" x14ac:dyDescent="0.35">
      <c r="A23" s="4" t="s">
        <v>95</v>
      </c>
      <c r="C23" s="171" t="s">
        <v>79</v>
      </c>
      <c r="D23" s="171" t="s">
        <v>58</v>
      </c>
      <c r="G23" s="259">
        <v>2</v>
      </c>
      <c r="I23" s="259">
        <v>1.8</v>
      </c>
      <c r="K23" s="259">
        <v>1.86</v>
      </c>
      <c r="M23" s="259">
        <v>1.62</v>
      </c>
      <c r="O23" s="259">
        <v>2.1</v>
      </c>
      <c r="Q23" s="259">
        <v>1.94</v>
      </c>
      <c r="S23" s="259">
        <v>3</v>
      </c>
    </row>
    <row r="24" spans="1:19" x14ac:dyDescent="0.35">
      <c r="A24" s="4" t="s">
        <v>68</v>
      </c>
      <c r="B24" s="2"/>
      <c r="C24" s="171" t="s">
        <v>69</v>
      </c>
      <c r="D24" s="171"/>
      <c r="F24" s="12" t="s">
        <v>93</v>
      </c>
      <c r="G24" s="172">
        <v>0.5</v>
      </c>
      <c r="H24" s="84"/>
      <c r="I24" s="172">
        <v>0.5</v>
      </c>
      <c r="J24" s="62"/>
      <c r="K24" s="172">
        <v>0.5</v>
      </c>
      <c r="L24" s="62"/>
      <c r="M24" s="172">
        <v>0.5</v>
      </c>
      <c r="N24" s="45"/>
      <c r="O24" s="172">
        <v>0.5</v>
      </c>
      <c r="P24" s="62"/>
      <c r="Q24" s="172">
        <v>0.5</v>
      </c>
      <c r="S24" s="172">
        <v>0.5</v>
      </c>
    </row>
    <row r="27" spans="1:19" x14ac:dyDescent="0.35">
      <c r="A27" s="49" t="s">
        <v>210</v>
      </c>
    </row>
    <row r="28" spans="1:19" x14ac:dyDescent="0.35">
      <c r="B28" s="149" t="s">
        <v>83</v>
      </c>
    </row>
    <row r="29" spans="1:19" x14ac:dyDescent="0.35">
      <c r="B29" s="149" t="s">
        <v>211</v>
      </c>
    </row>
    <row r="30" spans="1:19" x14ac:dyDescent="0.35">
      <c r="B30" s="149" t="s">
        <v>212</v>
      </c>
    </row>
    <row r="31" spans="1:19" x14ac:dyDescent="0.35">
      <c r="B31" s="150" t="s">
        <v>77</v>
      </c>
    </row>
    <row r="32" spans="1:19" x14ac:dyDescent="0.35">
      <c r="B32" s="150" t="s">
        <v>143</v>
      </c>
    </row>
    <row r="33" spans="2:2" x14ac:dyDescent="0.35">
      <c r="B33" s="150" t="s">
        <v>107</v>
      </c>
    </row>
    <row r="34" spans="2:2" x14ac:dyDescent="0.35">
      <c r="B34" s="150" t="s">
        <v>213</v>
      </c>
    </row>
  </sheetData>
  <conditionalFormatting sqref="G12:G13 O12:O13 M12:M13 I12:K13">
    <cfRule type="expression" dxfId="14" priority="3">
      <formula>(G$6="non-diving")</formula>
    </cfRule>
  </conditionalFormatting>
  <conditionalFormatting sqref="Q12:Q13">
    <cfRule type="expression" dxfId="13" priority="2">
      <formula>(Q$6="non-diving")</formula>
    </cfRule>
  </conditionalFormatting>
  <conditionalFormatting sqref="S12:S13">
    <cfRule type="expression" dxfId="12" priority="1">
      <formula>(S$6="non-diving")</formula>
    </cfRule>
  </conditionalFormatting>
  <dataValidations count="5">
    <dataValidation type="list" allowBlank="1" showInputMessage="1" showErrorMessage="1" sqref="G10 I10 K10 M10 O10 Q10 S10" xr:uid="{75BD95C8-9AD4-41A0-8FCF-7922BFD99686}">
      <formula1>$B$28:$B$34</formula1>
    </dataValidation>
    <dataValidation type="list" allowBlank="1" showInputMessage="1" showErrorMessage="1" sqref="N4:N5" xr:uid="{1D01C0C0-A029-4427-B9C7-49DEB5F207BC}">
      <formula1>"diving bird, sea mammal, fish"</formula1>
    </dataValidation>
    <dataValidation type="list" allowBlank="1" showInputMessage="1" showErrorMessage="1" sqref="G4:G5 I4:I5 K4:K5 M4:M5 O4:O5 Q4:Q5 S4:S5" xr:uid="{61920356-0CB9-487E-9DB0-F811C06C4FB0}">
      <formula1>"marine animal, diving bird"</formula1>
    </dataValidation>
    <dataValidation type="list" allowBlank="1" showInputMessage="1" showErrorMessage="1" sqref="G7 I7:K7 M7 O7 Q7 S7" xr:uid="{280043AE-FB91-49FF-B667-E45D87D3681A}">
      <formula1>"yes, no"</formula1>
    </dataValidation>
    <dataValidation type="list" allowBlank="1" showInputMessage="1" showErrorMessage="1" sqref="J10" xr:uid="{26EBA41D-8F78-466C-BF09-A9A3728B9FCE}">
      <formula1>$B$96:$B$102</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7"/>
  <dimension ref="A1:X37"/>
  <sheetViews>
    <sheetView workbookViewId="0">
      <selection activeCell="M34" sqref="M34"/>
    </sheetView>
  </sheetViews>
  <sheetFormatPr defaultColWidth="9.1796875" defaultRowHeight="14.5" x14ac:dyDescent="0.35"/>
  <cols>
    <col min="1" max="1" width="6.1796875" style="43" customWidth="1"/>
    <col min="2" max="9" width="9.1796875" style="43"/>
    <col min="10" max="10" width="5.54296875" style="43" customWidth="1"/>
    <col min="11" max="15" width="9.1796875" style="43"/>
    <col min="16" max="16" width="6.54296875" style="43" customWidth="1"/>
    <col min="17" max="16384" width="9.1796875" style="43"/>
  </cols>
  <sheetData>
    <row r="1" spans="1:24" x14ac:dyDescent="0.35">
      <c r="B1" s="45" t="s">
        <v>182</v>
      </c>
    </row>
    <row r="2" spans="1:24" x14ac:dyDescent="0.35">
      <c r="B2" s="43" t="s">
        <v>183</v>
      </c>
      <c r="K2" s="43" t="s">
        <v>184</v>
      </c>
    </row>
    <row r="3" spans="1:24" customFormat="1" x14ac:dyDescent="0.35">
      <c r="A3" s="13"/>
      <c r="B3" s="120" t="s">
        <v>77</v>
      </c>
      <c r="C3" s="121"/>
      <c r="D3" s="122" t="s">
        <v>114</v>
      </c>
      <c r="E3" s="122" t="s">
        <v>115</v>
      </c>
      <c r="F3" s="122" t="s">
        <v>116</v>
      </c>
      <c r="G3" s="122" t="s">
        <v>117</v>
      </c>
      <c r="H3" s="122" t="s">
        <v>118</v>
      </c>
      <c r="J3" s="13"/>
      <c r="K3" s="120" t="s">
        <v>143</v>
      </c>
      <c r="L3" s="121"/>
      <c r="M3" s="122" t="s">
        <v>144</v>
      </c>
      <c r="N3" s="122" t="s">
        <v>145</v>
      </c>
      <c r="P3" s="123" t="s">
        <v>107</v>
      </c>
      <c r="Q3" s="124"/>
      <c r="R3" s="125"/>
      <c r="S3" s="54" t="s">
        <v>156</v>
      </c>
      <c r="T3" s="54" t="s">
        <v>144</v>
      </c>
      <c r="U3" s="54" t="s">
        <v>145</v>
      </c>
      <c r="V3" s="54" t="s">
        <v>157</v>
      </c>
      <c r="W3" s="54" t="s">
        <v>158</v>
      </c>
      <c r="X3" s="54" t="s">
        <v>159</v>
      </c>
    </row>
    <row r="4" spans="1:24" customFormat="1" x14ac:dyDescent="0.35">
      <c r="A4" s="126"/>
      <c r="B4" s="126"/>
      <c r="C4" s="126" t="s">
        <v>119</v>
      </c>
      <c r="D4" s="126">
        <v>40</v>
      </c>
      <c r="E4" s="126">
        <v>60</v>
      </c>
      <c r="F4" s="126">
        <v>80</v>
      </c>
      <c r="G4" s="126">
        <v>100</v>
      </c>
      <c r="H4" s="126">
        <v>150</v>
      </c>
      <c r="J4" s="126"/>
      <c r="K4" s="126"/>
      <c r="L4" s="127" t="s">
        <v>119</v>
      </c>
      <c r="M4" s="128">
        <v>30</v>
      </c>
      <c r="N4" s="128">
        <v>40</v>
      </c>
      <c r="P4" s="126"/>
      <c r="Q4" s="129"/>
      <c r="R4" s="129" t="s">
        <v>119</v>
      </c>
      <c r="S4" s="129">
        <v>20</v>
      </c>
      <c r="T4" s="129">
        <v>30</v>
      </c>
      <c r="U4" s="129">
        <v>40</v>
      </c>
      <c r="V4" s="129">
        <v>50</v>
      </c>
      <c r="W4" s="129">
        <v>60</v>
      </c>
      <c r="X4" s="129">
        <v>100</v>
      </c>
    </row>
    <row r="5" spans="1:24" customFormat="1" x14ac:dyDescent="0.35">
      <c r="A5" s="127" t="s">
        <v>120</v>
      </c>
      <c r="B5" s="54" t="s">
        <v>121</v>
      </c>
      <c r="C5" s="13">
        <v>0</v>
      </c>
      <c r="D5" s="13">
        <v>0.14699999999999999</v>
      </c>
      <c r="E5" s="13">
        <v>0.11600000000000001</v>
      </c>
      <c r="F5" s="13">
        <v>0.115</v>
      </c>
      <c r="G5" s="13">
        <v>0.127</v>
      </c>
      <c r="H5" s="13">
        <v>0.126</v>
      </c>
      <c r="J5" s="127" t="s">
        <v>120</v>
      </c>
      <c r="K5" s="54" t="s">
        <v>121</v>
      </c>
      <c r="L5" s="13">
        <v>0</v>
      </c>
      <c r="M5" s="13">
        <v>0.2</v>
      </c>
      <c r="N5" s="13">
        <v>0.22</v>
      </c>
      <c r="P5" s="127" t="s">
        <v>120</v>
      </c>
      <c r="Q5" s="54" t="s">
        <v>121</v>
      </c>
      <c r="R5" s="13">
        <v>0</v>
      </c>
      <c r="S5" s="13"/>
      <c r="T5" s="13"/>
      <c r="U5" s="13"/>
      <c r="V5" s="13"/>
      <c r="W5" s="13"/>
      <c r="X5" s="13"/>
    </row>
    <row r="6" spans="1:24" customFormat="1" x14ac:dyDescent="0.35">
      <c r="A6" s="126">
        <v>1</v>
      </c>
      <c r="B6" s="130" t="s">
        <v>122</v>
      </c>
      <c r="C6" s="121">
        <v>0.05</v>
      </c>
      <c r="D6" s="80">
        <v>5.2999999999999999E-2</v>
      </c>
      <c r="E6" s="80">
        <v>8.6999999999999994E-2</v>
      </c>
      <c r="F6" s="80">
        <v>0.153</v>
      </c>
      <c r="G6" s="80">
        <v>0.14899999999999999</v>
      </c>
      <c r="H6" s="80">
        <v>0.253</v>
      </c>
      <c r="J6" s="126">
        <v>1</v>
      </c>
      <c r="K6" s="48" t="s">
        <v>146</v>
      </c>
      <c r="L6" s="121">
        <v>5</v>
      </c>
      <c r="M6" s="37">
        <v>0.06</v>
      </c>
      <c r="N6" s="37">
        <v>0.04</v>
      </c>
      <c r="P6" s="131">
        <v>1</v>
      </c>
      <c r="Q6" s="82" t="s">
        <v>146</v>
      </c>
      <c r="R6" s="132">
        <v>5</v>
      </c>
      <c r="S6" s="37">
        <v>0.2</v>
      </c>
      <c r="T6" s="37">
        <v>0.2</v>
      </c>
      <c r="U6" s="37">
        <v>0.2</v>
      </c>
      <c r="V6" s="37">
        <v>0.2</v>
      </c>
      <c r="W6" s="37">
        <v>0.2</v>
      </c>
      <c r="X6" s="37">
        <v>0.2</v>
      </c>
    </row>
    <row r="7" spans="1:24" customFormat="1" x14ac:dyDescent="0.35">
      <c r="A7" s="126">
        <f>A6+1</f>
        <v>2</v>
      </c>
      <c r="B7" s="130" t="s">
        <v>123</v>
      </c>
      <c r="C7" s="121">
        <v>0.1</v>
      </c>
      <c r="D7" s="80">
        <v>3.3000000000000002E-2</v>
      </c>
      <c r="E7" s="80">
        <v>0.16200000000000001</v>
      </c>
      <c r="F7" s="80">
        <v>0.16700000000000001</v>
      </c>
      <c r="G7" s="80">
        <v>0.14299999999999999</v>
      </c>
      <c r="H7" s="80">
        <v>0.17599999999999999</v>
      </c>
      <c r="J7" s="126">
        <v>2</v>
      </c>
      <c r="K7" s="48" t="s">
        <v>147</v>
      </c>
      <c r="L7" s="121">
        <v>10</v>
      </c>
      <c r="M7" s="37">
        <v>0.13</v>
      </c>
      <c r="N7" s="37">
        <v>0.11</v>
      </c>
      <c r="P7" s="131">
        <v>2</v>
      </c>
      <c r="Q7" s="133" t="s">
        <v>147</v>
      </c>
      <c r="R7" s="132">
        <v>10</v>
      </c>
      <c r="S7" s="37">
        <v>0.12</v>
      </c>
      <c r="T7" s="37">
        <v>0.05</v>
      </c>
      <c r="U7" s="37">
        <v>0.04</v>
      </c>
      <c r="V7" s="37">
        <v>0.1</v>
      </c>
      <c r="W7" s="37">
        <v>0.09</v>
      </c>
      <c r="X7" s="37">
        <v>0.09</v>
      </c>
    </row>
    <row r="8" spans="1:24" customFormat="1" x14ac:dyDescent="0.35">
      <c r="A8" s="126">
        <f t="shared" ref="A8:A24" si="0">A7+1</f>
        <v>3</v>
      </c>
      <c r="B8" s="130" t="s">
        <v>124</v>
      </c>
      <c r="C8" s="121">
        <v>0.15</v>
      </c>
      <c r="D8" s="80">
        <v>3.3000000000000002E-2</v>
      </c>
      <c r="E8" s="80">
        <v>0.13600000000000001</v>
      </c>
      <c r="F8" s="80">
        <v>0.104</v>
      </c>
      <c r="G8" s="80">
        <v>0.1</v>
      </c>
      <c r="H8" s="80">
        <v>0.109</v>
      </c>
      <c r="J8" s="126">
        <v>3</v>
      </c>
      <c r="K8" s="48" t="s">
        <v>148</v>
      </c>
      <c r="L8" s="121">
        <v>15</v>
      </c>
      <c r="M8" s="37">
        <v>0.14000000000000001</v>
      </c>
      <c r="N8" s="37">
        <v>0.14000000000000001</v>
      </c>
      <c r="P8" s="131">
        <v>3</v>
      </c>
      <c r="Q8" s="133" t="s">
        <v>148</v>
      </c>
      <c r="R8" s="132">
        <v>15</v>
      </c>
      <c r="S8" s="37">
        <v>0.14000000000000001</v>
      </c>
      <c r="T8" s="37">
        <v>0.01</v>
      </c>
      <c r="U8" s="37">
        <v>0.05</v>
      </c>
      <c r="V8" s="37">
        <v>0.1</v>
      </c>
      <c r="W8" s="37">
        <v>0.16</v>
      </c>
      <c r="X8" s="37">
        <v>0.11</v>
      </c>
    </row>
    <row r="9" spans="1:24" customFormat="1" x14ac:dyDescent="0.35">
      <c r="A9" s="126">
        <f t="shared" si="0"/>
        <v>4</v>
      </c>
      <c r="B9" s="130" t="s">
        <v>125</v>
      </c>
      <c r="C9" s="121">
        <v>0.2</v>
      </c>
      <c r="D9" s="80">
        <v>4.2000000000000003E-2</v>
      </c>
      <c r="E9" s="80">
        <v>6.6000000000000003E-2</v>
      </c>
      <c r="F9" s="80">
        <v>5.1999999999999998E-2</v>
      </c>
      <c r="G9" s="80">
        <v>9.6000000000000002E-2</v>
      </c>
      <c r="H9" s="80">
        <v>7.0999999999999994E-2</v>
      </c>
      <c r="J9" s="126">
        <v>4</v>
      </c>
      <c r="K9" s="48" t="s">
        <v>149</v>
      </c>
      <c r="L9" s="121">
        <v>20</v>
      </c>
      <c r="M9" s="37">
        <v>0.11</v>
      </c>
      <c r="N9" s="37">
        <v>0.09</v>
      </c>
      <c r="P9" s="131">
        <v>4</v>
      </c>
      <c r="Q9" s="82" t="s">
        <v>149</v>
      </c>
      <c r="R9" s="132">
        <v>20</v>
      </c>
      <c r="S9" s="37">
        <v>0.19</v>
      </c>
      <c r="T9" s="37">
        <v>0.12</v>
      </c>
      <c r="U9" s="37">
        <v>0.08</v>
      </c>
      <c r="V9" s="37">
        <v>0.1</v>
      </c>
      <c r="W9" s="37">
        <v>0.12</v>
      </c>
      <c r="X9" s="37">
        <v>0.1</v>
      </c>
    </row>
    <row r="10" spans="1:24" customFormat="1" x14ac:dyDescent="0.35">
      <c r="A10" s="126">
        <f t="shared" si="0"/>
        <v>5</v>
      </c>
      <c r="B10" s="130" t="s">
        <v>126</v>
      </c>
      <c r="C10" s="121">
        <v>0.25</v>
      </c>
      <c r="D10" s="80">
        <v>4.3999999999999997E-2</v>
      </c>
      <c r="E10" s="80">
        <v>4.4999999999999998E-2</v>
      </c>
      <c r="F10" s="80">
        <v>5.0999999999999997E-2</v>
      </c>
      <c r="G10" s="80">
        <v>8.2000000000000003E-2</v>
      </c>
      <c r="H10" s="80">
        <v>6.4000000000000001E-2</v>
      </c>
      <c r="J10" s="126">
        <v>5</v>
      </c>
      <c r="K10" s="48" t="s">
        <v>150</v>
      </c>
      <c r="L10" s="121">
        <v>25</v>
      </c>
      <c r="M10" s="37">
        <v>0.24</v>
      </c>
      <c r="N10" s="37">
        <v>7.0000000000000007E-2</v>
      </c>
      <c r="P10" s="131">
        <v>5</v>
      </c>
      <c r="Q10" s="82" t="s">
        <v>150</v>
      </c>
      <c r="R10" s="132">
        <v>25</v>
      </c>
      <c r="S10" s="37">
        <v>0.34</v>
      </c>
      <c r="T10" s="37">
        <v>0.27</v>
      </c>
      <c r="U10" s="37">
        <v>0.09</v>
      </c>
      <c r="V10" s="37">
        <v>7.0000000000000007E-2</v>
      </c>
      <c r="W10" s="37">
        <v>0.11</v>
      </c>
      <c r="X10" s="37">
        <v>0.11</v>
      </c>
    </row>
    <row r="11" spans="1:24" customFormat="1" x14ac:dyDescent="0.35">
      <c r="A11" s="126">
        <f t="shared" si="0"/>
        <v>6</v>
      </c>
      <c r="B11" s="130" t="s">
        <v>127</v>
      </c>
      <c r="C11" s="121">
        <v>0.3</v>
      </c>
      <c r="D11" s="80">
        <v>3.9E-2</v>
      </c>
      <c r="E11" s="80">
        <v>5.0999999999999997E-2</v>
      </c>
      <c r="F11" s="80">
        <v>5.1999999999999998E-2</v>
      </c>
      <c r="G11" s="80">
        <v>8.7999999999999995E-2</v>
      </c>
      <c r="H11" s="80">
        <v>4.9000000000000002E-2</v>
      </c>
      <c r="J11" s="126">
        <v>6</v>
      </c>
      <c r="K11" s="48" t="s">
        <v>151</v>
      </c>
      <c r="L11" s="121">
        <v>30</v>
      </c>
      <c r="M11" s="37">
        <v>0.12</v>
      </c>
      <c r="N11" s="37">
        <v>0.19</v>
      </c>
      <c r="P11" s="131">
        <v>6</v>
      </c>
      <c r="Q11" s="82" t="s">
        <v>151</v>
      </c>
      <c r="R11" s="132">
        <v>30</v>
      </c>
      <c r="S11" s="37"/>
      <c r="T11" s="37">
        <v>0.22</v>
      </c>
      <c r="U11" s="37">
        <v>0.1</v>
      </c>
      <c r="V11" s="37">
        <v>7.0000000000000007E-2</v>
      </c>
      <c r="W11" s="37">
        <v>0.05</v>
      </c>
      <c r="X11" s="37">
        <v>0.08</v>
      </c>
    </row>
    <row r="12" spans="1:24" customFormat="1" x14ac:dyDescent="0.35">
      <c r="A12" s="126">
        <f t="shared" si="0"/>
        <v>7</v>
      </c>
      <c r="B12" s="54" t="s">
        <v>128</v>
      </c>
      <c r="C12" s="121">
        <v>0.35</v>
      </c>
      <c r="D12" s="80">
        <v>6.6000000000000003E-2</v>
      </c>
      <c r="E12" s="80">
        <v>4.2000000000000003E-2</v>
      </c>
      <c r="F12" s="80">
        <v>4.2000000000000003E-2</v>
      </c>
      <c r="G12" s="80">
        <v>6.6000000000000003E-2</v>
      </c>
      <c r="H12" s="80">
        <v>3.5000000000000003E-2</v>
      </c>
      <c r="J12" s="126">
        <v>7</v>
      </c>
      <c r="K12" s="48" t="s">
        <v>152</v>
      </c>
      <c r="L12" s="121">
        <v>35</v>
      </c>
      <c r="M12" s="37"/>
      <c r="N12" s="37">
        <v>0.12</v>
      </c>
      <c r="P12" s="131">
        <v>7</v>
      </c>
      <c r="Q12" s="82" t="s">
        <v>152</v>
      </c>
      <c r="R12" s="132">
        <v>35</v>
      </c>
      <c r="S12" s="37"/>
      <c r="T12" s="37">
        <v>0.05</v>
      </c>
      <c r="U12" s="37">
        <v>0.19</v>
      </c>
      <c r="V12" s="37">
        <v>7.0000000000000007E-2</v>
      </c>
      <c r="W12" s="37">
        <v>0.05</v>
      </c>
      <c r="X12" s="37">
        <v>0.06</v>
      </c>
    </row>
    <row r="13" spans="1:24" customFormat="1" x14ac:dyDescent="0.35">
      <c r="A13" s="126">
        <f t="shared" si="0"/>
        <v>8</v>
      </c>
      <c r="B13" s="54" t="s">
        <v>129</v>
      </c>
      <c r="C13" s="121">
        <v>0.4</v>
      </c>
      <c r="D13" s="80">
        <v>6.6000000000000003E-2</v>
      </c>
      <c r="E13" s="80">
        <v>4.3999999999999997E-2</v>
      </c>
      <c r="F13" s="80">
        <v>3.9E-2</v>
      </c>
      <c r="G13" s="80">
        <v>4.2999999999999997E-2</v>
      </c>
      <c r="H13" s="80">
        <v>2.4E-2</v>
      </c>
      <c r="J13" s="126">
        <v>8</v>
      </c>
      <c r="K13" s="48" t="s">
        <v>153</v>
      </c>
      <c r="L13" s="121">
        <v>40</v>
      </c>
      <c r="M13" s="37"/>
      <c r="N13" s="37">
        <v>0.02</v>
      </c>
      <c r="P13" s="131">
        <v>8</v>
      </c>
      <c r="Q13" s="82" t="s">
        <v>153</v>
      </c>
      <c r="R13" s="132">
        <v>40</v>
      </c>
      <c r="S13" s="37"/>
      <c r="T13" s="37"/>
      <c r="U13" s="37">
        <v>0.19</v>
      </c>
      <c r="V13" s="37">
        <v>7.0000000000000007E-2</v>
      </c>
      <c r="W13" s="37">
        <v>0.03</v>
      </c>
      <c r="X13" s="37">
        <v>0.04</v>
      </c>
    </row>
    <row r="14" spans="1:24" customFormat="1" x14ac:dyDescent="0.35">
      <c r="A14" s="126">
        <f t="shared" si="0"/>
        <v>9</v>
      </c>
      <c r="B14" s="54" t="s">
        <v>130</v>
      </c>
      <c r="C14" s="121">
        <v>0.45</v>
      </c>
      <c r="D14" s="80">
        <v>7.6999999999999999E-2</v>
      </c>
      <c r="E14" s="80">
        <v>5.6000000000000001E-2</v>
      </c>
      <c r="F14" s="80">
        <v>3.3000000000000002E-2</v>
      </c>
      <c r="G14" s="80">
        <v>2.9000000000000001E-2</v>
      </c>
      <c r="H14" s="80">
        <v>2.1000000000000001E-2</v>
      </c>
      <c r="J14" s="126">
        <v>9</v>
      </c>
      <c r="K14" s="40" t="s">
        <v>154</v>
      </c>
      <c r="L14" s="134">
        <v>100</v>
      </c>
      <c r="M14" s="37"/>
      <c r="N14" s="37"/>
      <c r="P14" s="131">
        <v>9</v>
      </c>
      <c r="Q14" s="82" t="s">
        <v>160</v>
      </c>
      <c r="R14" s="132">
        <v>45</v>
      </c>
      <c r="S14" s="37"/>
      <c r="T14" s="37"/>
      <c r="U14" s="37">
        <v>0.06</v>
      </c>
      <c r="V14" s="37">
        <v>7.0000000000000007E-2</v>
      </c>
      <c r="W14" s="37">
        <v>0.03</v>
      </c>
      <c r="X14" s="37">
        <v>0.04</v>
      </c>
    </row>
    <row r="15" spans="1:24" customFormat="1" x14ac:dyDescent="0.35">
      <c r="A15" s="126">
        <f t="shared" si="0"/>
        <v>10</v>
      </c>
      <c r="B15" s="54" t="s">
        <v>131</v>
      </c>
      <c r="C15" s="121">
        <v>0.5</v>
      </c>
      <c r="D15" s="80">
        <v>7.6999999999999999E-2</v>
      </c>
      <c r="E15" s="80">
        <v>0.05</v>
      </c>
      <c r="F15" s="80">
        <v>2.8000000000000001E-2</v>
      </c>
      <c r="G15" s="80">
        <v>1.7000000000000001E-2</v>
      </c>
      <c r="H15" s="80">
        <v>0.02</v>
      </c>
      <c r="J15" s="13"/>
      <c r="K15" s="40" t="s">
        <v>155</v>
      </c>
      <c r="L15" s="54" t="s">
        <v>168</v>
      </c>
      <c r="M15" s="13">
        <f>SUM(M5:M12)</f>
        <v>1</v>
      </c>
      <c r="N15" s="13">
        <f>SUM(N5:N13)</f>
        <v>0.99999999999999989</v>
      </c>
      <c r="P15" s="131">
        <v>10</v>
      </c>
      <c r="Q15" s="82" t="s">
        <v>161</v>
      </c>
      <c r="R15" s="132">
        <v>50</v>
      </c>
      <c r="S15" s="37"/>
      <c r="T15" s="37"/>
      <c r="U15" s="37"/>
      <c r="V15" s="37">
        <v>7.0000000000000007E-2</v>
      </c>
      <c r="W15" s="37">
        <v>0.03</v>
      </c>
      <c r="X15" s="37">
        <v>0.02</v>
      </c>
    </row>
    <row r="16" spans="1:24" customFormat="1" x14ac:dyDescent="0.35">
      <c r="A16" s="126">
        <f t="shared" si="0"/>
        <v>11</v>
      </c>
      <c r="B16" s="54" t="s">
        <v>132</v>
      </c>
      <c r="C16" s="121">
        <v>0.55000000000000004</v>
      </c>
      <c r="D16" s="80">
        <v>5.5E-2</v>
      </c>
      <c r="E16" s="80">
        <v>3.4000000000000002E-2</v>
      </c>
      <c r="F16" s="80">
        <v>2.4E-2</v>
      </c>
      <c r="G16" s="80">
        <v>1.2999999999999999E-2</v>
      </c>
      <c r="H16" s="80">
        <v>1.2E-2</v>
      </c>
      <c r="P16" s="131">
        <v>11</v>
      </c>
      <c r="Q16" s="82" t="s">
        <v>162</v>
      </c>
      <c r="R16" s="132">
        <v>55</v>
      </c>
      <c r="S16" s="37"/>
      <c r="T16" s="37"/>
      <c r="U16" s="37"/>
      <c r="V16" s="37">
        <v>0.06</v>
      </c>
      <c r="W16" s="37">
        <v>0.03</v>
      </c>
      <c r="X16" s="37">
        <v>0.02</v>
      </c>
    </row>
    <row r="17" spans="1:24" customFormat="1" x14ac:dyDescent="0.35">
      <c r="A17" s="126">
        <f t="shared" si="0"/>
        <v>12</v>
      </c>
      <c r="B17" s="54" t="s">
        <v>133</v>
      </c>
      <c r="C17" s="121">
        <v>0.6</v>
      </c>
      <c r="D17" s="80">
        <v>5.7000000000000002E-2</v>
      </c>
      <c r="E17" s="80">
        <v>2.9000000000000001E-2</v>
      </c>
      <c r="F17" s="80">
        <v>2.1999999999999999E-2</v>
      </c>
      <c r="G17" s="80">
        <v>8.9999999999999993E-3</v>
      </c>
      <c r="H17" s="80">
        <v>8.9999999999999993E-3</v>
      </c>
      <c r="P17" s="131">
        <v>12</v>
      </c>
      <c r="Q17" s="82" t="s">
        <v>163</v>
      </c>
      <c r="R17" s="132">
        <v>60</v>
      </c>
      <c r="S17" s="37"/>
      <c r="T17" s="37"/>
      <c r="U17" s="37"/>
      <c r="V17" s="37"/>
      <c r="W17" s="37">
        <v>0.04</v>
      </c>
      <c r="X17" s="37">
        <v>0.02</v>
      </c>
    </row>
    <row r="18" spans="1:24" customFormat="1" x14ac:dyDescent="0.35">
      <c r="A18" s="126">
        <f t="shared" si="0"/>
        <v>13</v>
      </c>
      <c r="B18" s="54" t="s">
        <v>134</v>
      </c>
      <c r="C18" s="121">
        <v>0.65</v>
      </c>
      <c r="D18" s="80">
        <v>4.5999999999999999E-2</v>
      </c>
      <c r="E18" s="80">
        <v>2.3E-2</v>
      </c>
      <c r="F18" s="80">
        <v>2.1999999999999999E-2</v>
      </c>
      <c r="G18" s="80">
        <v>1.2999999999999999E-2</v>
      </c>
      <c r="H18" s="80">
        <v>7.0000000000000001E-3</v>
      </c>
      <c r="P18" s="131">
        <v>13</v>
      </c>
      <c r="Q18" s="82" t="s">
        <v>164</v>
      </c>
      <c r="R18" s="132">
        <v>65</v>
      </c>
      <c r="S18" s="37"/>
      <c r="T18" s="37"/>
      <c r="U18" s="37"/>
      <c r="V18" s="37"/>
      <c r="W18" s="37">
        <v>0.05</v>
      </c>
      <c r="X18" s="37">
        <v>0.03</v>
      </c>
    </row>
    <row r="19" spans="1:24" customFormat="1" x14ac:dyDescent="0.35">
      <c r="A19" s="126">
        <f t="shared" si="0"/>
        <v>14</v>
      </c>
      <c r="B19" s="54" t="s">
        <v>135</v>
      </c>
      <c r="C19" s="121">
        <v>0.7</v>
      </c>
      <c r="D19" s="80">
        <v>3.1E-2</v>
      </c>
      <c r="E19" s="80">
        <v>1.6E-2</v>
      </c>
      <c r="F19" s="80">
        <v>2.1000000000000001E-2</v>
      </c>
      <c r="G19" s="80">
        <v>6.0000000000000001E-3</v>
      </c>
      <c r="H19" s="80">
        <v>8.0000000000000002E-3</v>
      </c>
      <c r="P19" s="131">
        <v>14</v>
      </c>
      <c r="Q19" s="82" t="s">
        <v>165</v>
      </c>
      <c r="R19" s="132">
        <v>70</v>
      </c>
      <c r="S19" s="37"/>
      <c r="T19" s="37"/>
      <c r="U19" s="37"/>
      <c r="V19" s="37"/>
      <c r="W19" s="37"/>
      <c r="X19" s="37">
        <v>0.03</v>
      </c>
    </row>
    <row r="20" spans="1:24" customFormat="1" x14ac:dyDescent="0.35">
      <c r="A20" s="126">
        <f t="shared" si="0"/>
        <v>15</v>
      </c>
      <c r="B20" s="54" t="s">
        <v>136</v>
      </c>
      <c r="C20" s="121">
        <v>0.75</v>
      </c>
      <c r="D20" s="80">
        <v>3.9E-2</v>
      </c>
      <c r="E20" s="80">
        <v>6.0000000000000001E-3</v>
      </c>
      <c r="F20" s="80">
        <v>1.4E-2</v>
      </c>
      <c r="G20" s="80">
        <v>4.0000000000000001E-3</v>
      </c>
      <c r="H20" s="80">
        <v>3.0000000000000001E-3</v>
      </c>
      <c r="P20" s="131">
        <v>15</v>
      </c>
      <c r="Q20" s="82" t="s">
        <v>166</v>
      </c>
      <c r="R20" s="132">
        <v>75</v>
      </c>
      <c r="S20" s="37"/>
      <c r="T20" s="37"/>
      <c r="U20" s="37"/>
      <c r="V20" s="37"/>
      <c r="W20" s="37"/>
      <c r="X20" s="37">
        <v>0.03</v>
      </c>
    </row>
    <row r="21" spans="1:24" customFormat="1" x14ac:dyDescent="0.35">
      <c r="A21" s="126">
        <f t="shared" si="0"/>
        <v>16</v>
      </c>
      <c r="B21" s="54" t="s">
        <v>137</v>
      </c>
      <c r="C21" s="121">
        <v>0.8</v>
      </c>
      <c r="D21" s="80">
        <v>0.02</v>
      </c>
      <c r="E21" s="80">
        <v>6.0000000000000001E-3</v>
      </c>
      <c r="F21" s="80">
        <v>1.4999999999999999E-2</v>
      </c>
      <c r="G21" s="80">
        <v>2E-3</v>
      </c>
      <c r="H21" s="80">
        <v>3.0000000000000001E-3</v>
      </c>
      <c r="P21" s="131">
        <v>16</v>
      </c>
      <c r="Q21" s="82" t="s">
        <v>167</v>
      </c>
      <c r="R21" s="132">
        <v>80</v>
      </c>
      <c r="S21" s="37"/>
      <c r="T21" s="37"/>
      <c r="U21" s="37"/>
      <c r="V21" s="37"/>
      <c r="W21" s="37"/>
      <c r="X21" s="37">
        <v>0.01</v>
      </c>
    </row>
    <row r="22" spans="1:24" customFormat="1" x14ac:dyDescent="0.35">
      <c r="A22" s="126">
        <f t="shared" si="0"/>
        <v>17</v>
      </c>
      <c r="B22" s="54" t="s">
        <v>138</v>
      </c>
      <c r="C22" s="121">
        <v>0.85</v>
      </c>
      <c r="D22" s="80">
        <v>8.9999999999999993E-3</v>
      </c>
      <c r="E22" s="80">
        <v>0.01</v>
      </c>
      <c r="F22" s="80">
        <v>0.01</v>
      </c>
      <c r="G22" s="80">
        <v>2E-3</v>
      </c>
      <c r="H22" s="80">
        <v>2E-3</v>
      </c>
      <c r="P22" s="135"/>
      <c r="Q22" s="135" t="s">
        <v>155</v>
      </c>
      <c r="R22" s="135"/>
      <c r="S22" s="13"/>
      <c r="T22" s="13"/>
      <c r="U22" s="13"/>
      <c r="V22" s="13"/>
      <c r="W22" s="13"/>
      <c r="X22" s="13"/>
    </row>
    <row r="23" spans="1:24" customFormat="1" x14ac:dyDescent="0.35">
      <c r="A23" s="126">
        <f t="shared" si="0"/>
        <v>18</v>
      </c>
      <c r="B23" s="54" t="s">
        <v>139</v>
      </c>
      <c r="C23" s="121">
        <v>0.9</v>
      </c>
      <c r="D23" s="80">
        <v>2E-3</v>
      </c>
      <c r="E23" s="80">
        <v>7.0000000000000001E-3</v>
      </c>
      <c r="F23" s="80">
        <v>0.01</v>
      </c>
      <c r="G23" s="80">
        <v>1E-3</v>
      </c>
      <c r="H23" s="80">
        <v>2E-3</v>
      </c>
      <c r="P23" s="135"/>
      <c r="Q23" s="135"/>
      <c r="R23" s="82" t="s">
        <v>168</v>
      </c>
      <c r="S23" s="13">
        <f t="shared" ref="S23:X23" si="1">SUM(S6:S21)</f>
        <v>0.99</v>
      </c>
      <c r="T23" s="13">
        <f t="shared" si="1"/>
        <v>0.92</v>
      </c>
      <c r="U23" s="13">
        <f t="shared" si="1"/>
        <v>1</v>
      </c>
      <c r="V23" s="13">
        <f t="shared" si="1"/>
        <v>0.98000000000000043</v>
      </c>
      <c r="W23" s="13">
        <f t="shared" si="1"/>
        <v>0.99000000000000032</v>
      </c>
      <c r="X23" s="13">
        <f t="shared" si="1"/>
        <v>0.99000000000000021</v>
      </c>
    </row>
    <row r="24" spans="1:24" customFormat="1" x14ac:dyDescent="0.35">
      <c r="A24" s="126">
        <f t="shared" si="0"/>
        <v>19</v>
      </c>
      <c r="B24" s="54" t="s">
        <v>140</v>
      </c>
      <c r="C24" s="121">
        <v>0.95</v>
      </c>
      <c r="D24" s="80">
        <v>8.9999999999999993E-3</v>
      </c>
      <c r="E24" s="80">
        <v>3.0000000000000001E-3</v>
      </c>
      <c r="F24" s="80">
        <v>8.0000000000000002E-3</v>
      </c>
      <c r="G24" s="80">
        <v>1E-3</v>
      </c>
      <c r="H24" s="80">
        <v>2E-3</v>
      </c>
    </row>
    <row r="25" spans="1:24" customFormat="1" x14ac:dyDescent="0.35">
      <c r="A25" s="126">
        <f>A24+1</f>
        <v>20</v>
      </c>
      <c r="B25" s="54" t="s">
        <v>141</v>
      </c>
      <c r="C25" s="121">
        <v>1</v>
      </c>
      <c r="D25" s="80">
        <v>5.7000000000000002E-2</v>
      </c>
      <c r="E25" s="80">
        <v>0.01</v>
      </c>
      <c r="F25" s="80">
        <v>2.1000000000000001E-2</v>
      </c>
      <c r="G25" s="80">
        <v>8.0000000000000002E-3</v>
      </c>
      <c r="H25" s="80">
        <v>5.0000000000000001E-3</v>
      </c>
    </row>
    <row r="26" spans="1:24" customFormat="1" ht="25.5" x14ac:dyDescent="0.45">
      <c r="A26" s="13"/>
      <c r="B26" s="136" t="s">
        <v>142</v>
      </c>
      <c r="C26" s="13"/>
      <c r="D26" s="13"/>
      <c r="E26" s="13"/>
      <c r="F26" s="13"/>
      <c r="G26" s="13"/>
      <c r="H26" s="13"/>
      <c r="K26" s="137" t="s">
        <v>181</v>
      </c>
    </row>
    <row r="27" spans="1:24" customFormat="1" x14ac:dyDescent="0.35">
      <c r="A27" s="13"/>
      <c r="B27" s="13"/>
      <c r="C27" s="54" t="s">
        <v>168</v>
      </c>
      <c r="D27" s="13">
        <f>SUM(D5:D25)</f>
        <v>1.002</v>
      </c>
      <c r="E27" s="13">
        <f>SUM(E5:E25)</f>
        <v>0.99900000000000033</v>
      </c>
      <c r="F27" s="13">
        <f>SUM(F5:F25)</f>
        <v>1.0030000000000003</v>
      </c>
      <c r="G27" s="13">
        <f>SUM(G5:G25)</f>
        <v>0.99900000000000011</v>
      </c>
      <c r="H27" s="13">
        <f>SUM(H5:H25)</f>
        <v>1.0010000000000001</v>
      </c>
      <c r="K27" s="138"/>
    </row>
    <row r="29" spans="1:24" x14ac:dyDescent="0.35">
      <c r="A29" s="103" t="s">
        <v>174</v>
      </c>
      <c r="B29" s="104"/>
      <c r="C29" s="105"/>
      <c r="D29" s="105"/>
      <c r="E29" s="105"/>
      <c r="F29" s="106"/>
      <c r="G29" s="106"/>
      <c r="H29" s="106"/>
      <c r="I29" s="107"/>
    </row>
    <row r="30" spans="1:24" x14ac:dyDescent="0.35">
      <c r="A30" s="108"/>
      <c r="B30" s="109" t="s">
        <v>169</v>
      </c>
      <c r="C30" s="110"/>
      <c r="D30" s="111" t="s">
        <v>77</v>
      </c>
      <c r="E30" s="112"/>
      <c r="F30" s="113" t="s">
        <v>180</v>
      </c>
      <c r="G30" s="111"/>
      <c r="I30" s="114"/>
    </row>
    <row r="31" spans="1:24" x14ac:dyDescent="0.35">
      <c r="A31" s="108"/>
      <c r="B31" s="109" t="s">
        <v>170</v>
      </c>
      <c r="C31" s="110"/>
      <c r="D31" s="109">
        <v>35</v>
      </c>
      <c r="E31" s="112"/>
      <c r="F31" s="113" t="s">
        <v>178</v>
      </c>
      <c r="G31" s="111"/>
      <c r="I31" s="114"/>
    </row>
    <row r="32" spans="1:24" x14ac:dyDescent="0.35">
      <c r="A32" s="108"/>
      <c r="B32" s="109" t="s">
        <v>171</v>
      </c>
      <c r="C32" s="110"/>
      <c r="D32" s="109">
        <v>8</v>
      </c>
      <c r="E32" s="112"/>
      <c r="F32" s="113" t="s">
        <v>179</v>
      </c>
      <c r="G32" s="111"/>
      <c r="I32" s="114"/>
    </row>
    <row r="33" spans="1:9" x14ac:dyDescent="0.35">
      <c r="A33" s="108"/>
      <c r="B33" s="109" t="s">
        <v>172</v>
      </c>
      <c r="C33" s="110"/>
      <c r="D33" s="109">
        <v>25</v>
      </c>
      <c r="E33" s="112"/>
      <c r="I33" s="114"/>
    </row>
    <row r="34" spans="1:9" x14ac:dyDescent="0.35">
      <c r="A34" s="108"/>
      <c r="B34" s="109" t="s">
        <v>173</v>
      </c>
      <c r="C34" s="110"/>
      <c r="D34" s="109">
        <v>1</v>
      </c>
      <c r="E34" s="112"/>
      <c r="I34" s="114"/>
    </row>
    <row r="35" spans="1:9" x14ac:dyDescent="0.35">
      <c r="A35" s="108"/>
      <c r="B35" s="110"/>
      <c r="C35" s="110"/>
      <c r="D35" s="110"/>
      <c r="E35" s="112"/>
      <c r="I35" s="114"/>
    </row>
    <row r="36" spans="1:9" x14ac:dyDescent="0.35">
      <c r="A36" s="108"/>
      <c r="B36" s="109" t="s">
        <v>177</v>
      </c>
      <c r="C36" s="110"/>
      <c r="D36" s="109">
        <f>Q2R2(D30,D31,D32,D33)</f>
        <v>0.54400002956390381</v>
      </c>
      <c r="E36" s="112"/>
      <c r="I36" s="114"/>
    </row>
    <row r="37" spans="1:9" x14ac:dyDescent="0.35">
      <c r="A37" s="115"/>
      <c r="B37" s="116"/>
      <c r="C37" s="116"/>
      <c r="D37" s="117" t="s">
        <v>175</v>
      </c>
      <c r="E37" s="116"/>
      <c r="F37" s="118"/>
      <c r="G37" s="118"/>
      <c r="H37" s="118"/>
      <c r="I37" s="119"/>
    </row>
  </sheetData>
  <dataValidations count="1">
    <dataValidation type="list" allowBlank="1" showInputMessage="1" showErrorMessage="1" sqref="D30" xr:uid="{00000000-0002-0000-1500-000000000000}">
      <formula1>"harbour porpoise,harbour seal,grey seal"</formula1>
    </dataValidation>
  </dataValidations>
  <pageMargins left="0.7" right="0.7" top="0.75" bottom="0.75" header="0.3" footer="0.3"/>
  <pageSetup paperSize="9" orientation="landscape" horizontalDpi="4294967293" verticalDpi="12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25120-0273-4110-AAC6-B088991CCD25}">
  <sheetPr codeName="Sheet8"/>
  <dimension ref="A1:S21"/>
  <sheetViews>
    <sheetView defaultGridColor="0" colorId="22" zoomScale="115" zoomScaleNormal="115" workbookViewId="0">
      <selection activeCell="K21" sqref="K21"/>
    </sheetView>
  </sheetViews>
  <sheetFormatPr defaultRowHeight="14.5" x14ac:dyDescent="0.35"/>
  <cols>
    <col min="1" max="1" width="10" customWidth="1"/>
    <col min="2" max="2" width="19.81640625" customWidth="1"/>
    <col min="3" max="3" width="11.7265625" style="13" customWidth="1"/>
    <col min="4" max="4" width="9.1796875" style="13"/>
    <col min="5" max="5" width="10.453125" style="13" customWidth="1"/>
    <col min="6" max="6" width="12.54296875" style="13" customWidth="1"/>
    <col min="7" max="7" width="10.81640625" style="13" customWidth="1"/>
    <col min="8" max="8" width="2.54296875" style="13" customWidth="1"/>
    <col min="9" max="9" width="10.81640625" style="13" customWidth="1"/>
    <col min="10" max="10" width="2.81640625" style="13" customWidth="1"/>
    <col min="11" max="11" width="10.81640625" style="13" customWidth="1"/>
    <col min="12" max="12" width="2.81640625" style="13" customWidth="1"/>
    <col min="13" max="13" width="10.81640625" style="13" customWidth="1"/>
    <col min="14" max="14" width="1.81640625" customWidth="1"/>
    <col min="15" max="15" width="9.1796875" customWidth="1"/>
    <col min="16" max="16" width="2.26953125" customWidth="1"/>
    <col min="18" max="18" width="2.7265625" customWidth="1"/>
  </cols>
  <sheetData>
    <row r="1" spans="1:19" ht="27.75" customHeight="1" x14ac:dyDescent="0.35">
      <c r="A1" s="321" t="s">
        <v>239</v>
      </c>
      <c r="B1" s="322"/>
      <c r="C1" s="181" t="s">
        <v>238</v>
      </c>
      <c r="D1" s="182" t="s">
        <v>237</v>
      </c>
      <c r="E1" s="183" t="s">
        <v>240</v>
      </c>
      <c r="F1" s="180" t="s">
        <v>241</v>
      </c>
    </row>
    <row r="2" spans="1:19" ht="15" customHeight="1" x14ac:dyDescent="0.35">
      <c r="A2" s="178"/>
      <c r="B2" s="179"/>
      <c r="C2" s="136"/>
      <c r="D2" s="136"/>
    </row>
    <row r="3" spans="1:19" ht="15" customHeight="1" x14ac:dyDescent="0.35">
      <c r="A3" s="203" t="s">
        <v>200</v>
      </c>
      <c r="B3" s="153"/>
      <c r="C3" s="136"/>
      <c r="D3" s="136"/>
    </row>
    <row r="4" spans="1:19" x14ac:dyDescent="0.35">
      <c r="A4" s="235" t="s">
        <v>191</v>
      </c>
      <c r="C4" s="323">
        <f>Devices!C1</f>
        <v>1</v>
      </c>
      <c r="D4" s="323"/>
      <c r="E4" s="216"/>
      <c r="F4" s="217"/>
      <c r="G4" s="225"/>
      <c r="H4" s="225"/>
      <c r="I4" s="225"/>
      <c r="J4" s="225"/>
      <c r="K4" s="225"/>
      <c r="L4" s="225"/>
      <c r="M4" s="225"/>
      <c r="N4" s="43"/>
      <c r="O4" s="225"/>
      <c r="Q4" s="225"/>
      <c r="S4" s="225"/>
    </row>
    <row r="5" spans="1:19" x14ac:dyDescent="0.35">
      <c r="A5" s="236" t="s">
        <v>242</v>
      </c>
      <c r="C5" s="324">
        <f>Devices!C2</f>
        <v>0</v>
      </c>
      <c r="D5" s="324"/>
      <c r="E5" s="216"/>
      <c r="F5" s="217"/>
      <c r="G5" s="225"/>
      <c r="H5" s="225"/>
      <c r="I5" s="225"/>
      <c r="J5" s="225"/>
      <c r="K5" s="225"/>
      <c r="L5" s="225"/>
      <c r="M5" s="225"/>
      <c r="N5" s="43"/>
      <c r="O5" s="225"/>
      <c r="Q5" s="225"/>
      <c r="S5" s="225"/>
    </row>
    <row r="6" spans="1:19" x14ac:dyDescent="0.35">
      <c r="A6" s="226"/>
      <c r="B6" s="184"/>
      <c r="C6" s="8"/>
      <c r="D6" s="5"/>
      <c r="E6" s="216"/>
      <c r="F6" s="217"/>
      <c r="G6" s="225"/>
      <c r="H6" s="225"/>
      <c r="I6" s="225"/>
      <c r="J6" s="225"/>
      <c r="K6" s="225"/>
      <c r="L6" s="225"/>
      <c r="M6" s="225"/>
      <c r="N6" s="43"/>
      <c r="O6" s="225"/>
      <c r="Q6" s="225"/>
      <c r="S6" s="225"/>
    </row>
    <row r="7" spans="1:19" x14ac:dyDescent="0.35">
      <c r="A7" s="1" t="s">
        <v>54</v>
      </c>
      <c r="B7" s="185"/>
      <c r="C7" s="3"/>
      <c r="D7" s="12"/>
      <c r="F7" s="217"/>
      <c r="G7" s="225"/>
      <c r="H7" s="225"/>
      <c r="I7" s="225"/>
      <c r="J7" s="225"/>
      <c r="K7" s="225"/>
      <c r="L7" s="225"/>
      <c r="M7" s="225"/>
      <c r="N7" s="43"/>
      <c r="O7" s="225"/>
      <c r="Q7" s="225"/>
      <c r="S7" s="225"/>
    </row>
    <row r="8" spans="1:19" x14ac:dyDescent="0.35">
      <c r="A8" s="1" t="s">
        <v>26</v>
      </c>
      <c r="B8" s="185"/>
      <c r="C8" s="14" t="s">
        <v>27</v>
      </c>
      <c r="D8" s="186" t="s">
        <v>23</v>
      </c>
      <c r="E8" s="248">
        <f>Devices!C5</f>
        <v>0</v>
      </c>
      <c r="F8" s="217"/>
      <c r="G8" s="225"/>
      <c r="H8" s="225"/>
      <c r="I8" s="225"/>
      <c r="J8" s="225"/>
      <c r="K8" s="225"/>
      <c r="L8" s="225"/>
      <c r="M8" s="225"/>
      <c r="N8" s="43"/>
      <c r="O8" s="225"/>
      <c r="Q8" s="225"/>
      <c r="S8" s="225"/>
    </row>
    <row r="9" spans="1:19" x14ac:dyDescent="0.35">
      <c r="A9" s="4" t="s">
        <v>24</v>
      </c>
      <c r="B9" s="2"/>
      <c r="C9" s="9" t="s">
        <v>25</v>
      </c>
      <c r="D9" s="7" t="s">
        <v>23</v>
      </c>
      <c r="E9" s="247">
        <f>2*E8</f>
        <v>0</v>
      </c>
      <c r="F9" s="217"/>
      <c r="G9" s="225"/>
      <c r="H9" s="225"/>
      <c r="I9" s="225"/>
      <c r="J9" s="225"/>
      <c r="K9" s="225"/>
      <c r="L9" s="225"/>
      <c r="M9" s="225"/>
      <c r="N9" s="43"/>
      <c r="O9" s="225"/>
      <c r="Q9" s="225"/>
      <c r="S9" s="225"/>
    </row>
    <row r="10" spans="1:19" x14ac:dyDescent="0.35">
      <c r="A10" s="4" t="s">
        <v>55</v>
      </c>
      <c r="B10" s="2"/>
      <c r="C10" s="14"/>
      <c r="D10" s="186" t="s">
        <v>23</v>
      </c>
      <c r="E10" s="44">
        <f>Devices!C3</f>
        <v>0</v>
      </c>
      <c r="F10" s="217"/>
      <c r="G10" s="225"/>
      <c r="H10" s="225"/>
      <c r="I10" s="225"/>
      <c r="J10" s="225"/>
      <c r="K10" s="225"/>
      <c r="L10" s="225"/>
      <c r="M10" s="225"/>
      <c r="N10" s="43"/>
      <c r="O10" s="225"/>
      <c r="Q10" s="225"/>
      <c r="S10" s="225"/>
    </row>
    <row r="11" spans="1:19" x14ac:dyDescent="0.35">
      <c r="A11" s="4" t="s">
        <v>186</v>
      </c>
      <c r="B11" s="2"/>
      <c r="C11" s="14"/>
      <c r="D11" s="14" t="s">
        <v>23</v>
      </c>
      <c r="E11" s="227">
        <f>Devices!C22</f>
        <v>0</v>
      </c>
      <c r="F11" s="217"/>
      <c r="G11" s="225"/>
      <c r="H11" s="225"/>
      <c r="I11" s="225"/>
      <c r="J11" s="225"/>
      <c r="K11" s="225"/>
      <c r="L11" s="225"/>
      <c r="M11" s="225"/>
      <c r="N11" s="43"/>
      <c r="O11" s="225"/>
      <c r="Q11" s="225"/>
      <c r="S11" s="225"/>
    </row>
    <row r="12" spans="1:19" x14ac:dyDescent="0.35">
      <c r="A12" s="4"/>
      <c r="B12" s="2"/>
      <c r="C12" s="3"/>
      <c r="D12" s="3"/>
      <c r="E12" s="24"/>
      <c r="F12" s="217"/>
      <c r="G12" s="225"/>
      <c r="H12" s="225"/>
      <c r="I12" s="225"/>
      <c r="J12" s="225"/>
      <c r="K12" s="225"/>
      <c r="L12" s="225"/>
      <c r="M12" s="225"/>
      <c r="N12" s="43"/>
      <c r="O12" s="225"/>
      <c r="Q12" s="225"/>
      <c r="S12" s="225"/>
    </row>
    <row r="13" spans="1:19" ht="24" x14ac:dyDescent="0.35">
      <c r="A13" s="228" t="s">
        <v>243</v>
      </c>
      <c r="B13" s="229"/>
      <c r="C13" s="8"/>
      <c r="D13" s="5"/>
      <c r="E13" s="216"/>
      <c r="F13" s="217"/>
      <c r="G13" s="187" t="s">
        <v>77</v>
      </c>
      <c r="H13" s="52"/>
      <c r="I13" s="187" t="s">
        <v>143</v>
      </c>
      <c r="J13" s="92"/>
      <c r="K13" s="187" t="s">
        <v>107</v>
      </c>
      <c r="L13" s="52"/>
      <c r="M13" s="187" t="s">
        <v>78</v>
      </c>
      <c r="N13" s="53"/>
      <c r="O13" s="187" t="s">
        <v>188</v>
      </c>
      <c r="Q13" s="187" t="s">
        <v>189</v>
      </c>
      <c r="S13" s="187" t="s">
        <v>199</v>
      </c>
    </row>
    <row r="14" spans="1:19" x14ac:dyDescent="0.35">
      <c r="A14" s="4" t="s">
        <v>4</v>
      </c>
      <c r="B14" s="2"/>
      <c r="C14" s="171" t="s">
        <v>259</v>
      </c>
      <c r="D14" s="171" t="s">
        <v>6</v>
      </c>
      <c r="G14" s="172">
        <f>Animals!G12</f>
        <v>26.2</v>
      </c>
      <c r="H14" s="45"/>
      <c r="I14" s="172">
        <f>Animals!I12</f>
        <v>180</v>
      </c>
      <c r="J14" s="45"/>
      <c r="K14" s="172">
        <f>Animals!K12</f>
        <v>297</v>
      </c>
      <c r="L14" s="45"/>
      <c r="M14" s="172">
        <f>Animals!M12</f>
        <v>104</v>
      </c>
      <c r="N14" s="43"/>
      <c r="O14" s="172">
        <f>Animals!O12</f>
        <v>25.8</v>
      </c>
      <c r="Q14" s="188">
        <f>Animals!Q12</f>
        <v>25.8</v>
      </c>
      <c r="S14" s="188">
        <f>Animals!S12</f>
        <v>25.8</v>
      </c>
    </row>
    <row r="15" spans="1:19" x14ac:dyDescent="0.35">
      <c r="A15" s="4" t="s">
        <v>2</v>
      </c>
      <c r="B15" s="2"/>
      <c r="C15" s="189" t="s">
        <v>3</v>
      </c>
      <c r="D15" s="189" t="s">
        <v>260</v>
      </c>
      <c r="E15" s="5"/>
      <c r="F15" s="28" t="s">
        <v>261</v>
      </c>
      <c r="G15" s="190">
        <f>Animals!G16</f>
        <v>0</v>
      </c>
      <c r="I15" s="190">
        <f>Animals!I16</f>
        <v>0</v>
      </c>
      <c r="J15" s="191"/>
      <c r="K15" s="190">
        <f>Animals!K16</f>
        <v>0</v>
      </c>
      <c r="M15" s="190">
        <f>Animals!M16</f>
        <v>0</v>
      </c>
      <c r="O15" s="190">
        <f>Animals!O16</f>
        <v>0</v>
      </c>
      <c r="Q15" s="190">
        <f>Animals!Q16</f>
        <v>0</v>
      </c>
      <c r="S15" s="190">
        <f>Animals!S16</f>
        <v>0</v>
      </c>
    </row>
    <row r="16" spans="1:19" ht="24" x14ac:dyDescent="0.35">
      <c r="A16" s="4" t="s">
        <v>86</v>
      </c>
      <c r="B16" s="2"/>
      <c r="C16" s="192"/>
      <c r="D16" s="171"/>
      <c r="E16" s="3"/>
      <c r="F16" s="41"/>
      <c r="G16" s="193" t="str">
        <f>Animals!G10</f>
        <v>harbour porpoise</v>
      </c>
      <c r="H16" s="194"/>
      <c r="I16" s="193" t="str">
        <f>Animals!I10</f>
        <v>harbour seal</v>
      </c>
      <c r="J16" s="195"/>
      <c r="K16" s="193" t="str">
        <f>Animals!K10</f>
        <v>grey seal</v>
      </c>
      <c r="L16" s="45"/>
      <c r="M16" s="193" t="str">
        <f>Animals!M10</f>
        <v>uniform</v>
      </c>
      <c r="N16" s="43"/>
      <c r="O16" s="193" t="str">
        <f>Animals!O10</f>
        <v>uniform</v>
      </c>
      <c r="Q16" s="193" t="str">
        <f>Animals!Q10</f>
        <v>uniform</v>
      </c>
      <c r="S16" s="193" t="str">
        <f>Animals!S10</f>
        <v>uniform</v>
      </c>
    </row>
    <row r="17" spans="1:19" x14ac:dyDescent="0.35">
      <c r="A17" s="4" t="s">
        <v>56</v>
      </c>
      <c r="B17" s="2"/>
      <c r="C17" s="192" t="s">
        <v>57</v>
      </c>
      <c r="D17" s="171" t="s">
        <v>262</v>
      </c>
      <c r="E17" s="3"/>
      <c r="F17" s="41"/>
      <c r="G17" s="196">
        <f>Animals!G11</f>
        <v>0</v>
      </c>
      <c r="H17" s="197"/>
      <c r="I17" s="196">
        <f>Animals!I11</f>
        <v>0.85</v>
      </c>
      <c r="J17" s="198"/>
      <c r="K17" s="196">
        <f>Animals!K11</f>
        <v>0.61</v>
      </c>
      <c r="L17" s="197"/>
      <c r="M17" s="196">
        <f>Animals!M11</f>
        <v>0</v>
      </c>
      <c r="N17" s="199"/>
      <c r="O17" s="196">
        <f>Animals!O11</f>
        <v>0</v>
      </c>
      <c r="Q17" s="196">
        <f>Animals!Q11</f>
        <v>0</v>
      </c>
      <c r="S17" s="196">
        <f>Animals!S11</f>
        <v>0</v>
      </c>
    </row>
    <row r="18" spans="1:19" x14ac:dyDescent="0.35">
      <c r="A18" s="4" t="s">
        <v>15</v>
      </c>
      <c r="B18" s="2"/>
      <c r="C18" s="171" t="s">
        <v>263</v>
      </c>
      <c r="D18" s="189" t="s">
        <v>264</v>
      </c>
      <c r="G18" s="190">
        <f>Animals!G18</f>
        <v>3.3000000000000002E-7</v>
      </c>
      <c r="I18" s="190">
        <f>Animals!I18</f>
        <v>5.0000000000000003E-10</v>
      </c>
      <c r="K18" s="190">
        <f>Animals!K18</f>
        <v>1.55E-7</v>
      </c>
      <c r="M18" s="190">
        <f>Animals!M18</f>
        <v>8.8299999999999987E-9</v>
      </c>
      <c r="O18" s="190">
        <f>Animals!O18</f>
        <v>5.0000000000000001E-9</v>
      </c>
      <c r="Q18" s="190">
        <f>Animals!Q18</f>
        <v>9.5800000000000004E-9</v>
      </c>
      <c r="S18" s="190">
        <f>Animals!S18</f>
        <v>2.33E-9</v>
      </c>
    </row>
    <row r="19" spans="1:19" x14ac:dyDescent="0.35">
      <c r="A19" s="4" t="s">
        <v>11</v>
      </c>
      <c r="B19" s="2"/>
      <c r="C19" s="7" t="s">
        <v>12</v>
      </c>
      <c r="D19" s="7" t="s">
        <v>6</v>
      </c>
      <c r="E19" s="3"/>
      <c r="F19" s="28"/>
      <c r="G19" s="20" t="str">
        <f>IF(G16="shallow-diving",MAX(0,G14-2*$E10/G17),IF(G16="deep-diving",2*$E9/G17,""))</f>
        <v/>
      </c>
      <c r="I19" s="20" t="str">
        <f>IF(I16="shallow-diving",MAX(0,I14-2*$E10/I17),IF(I16="deep-diving",2*$E9/I17,""))</f>
        <v/>
      </c>
      <c r="J19" s="200"/>
      <c r="K19" s="20" t="str">
        <f>IF(K16="shallow-diving",MAX(0,K14-2*$E10/K17),IF(K16="deep-diving",2*$E9/K17,""))</f>
        <v/>
      </c>
      <c r="M19" s="20" t="str">
        <f>IF(M16="shallow-diving",MAX(0,M14-2*$E10/M17),IF(M16="deep-diving",2*$E9/M17,""))</f>
        <v/>
      </c>
      <c r="O19" s="20" t="str">
        <f>IF(O16="shallow-diving",MAX(0,O14-2*$E10/O17),IF(O16="deep-diving",2*$E9/O17,""))</f>
        <v/>
      </c>
      <c r="Q19" s="20" t="str">
        <f>IF(Q16="shallow-diving",MAX(0,Q14-2*$E10/Q17),IF(Q16="deep-diving",2*$E9/Q17,""))</f>
        <v/>
      </c>
      <c r="S19" s="20" t="str">
        <f>IF(S16="shallow-diving",MAX(0,S14-2*$E10/S17),IF(S16="deep-diving",2*$E9/S17,""))</f>
        <v/>
      </c>
    </row>
    <row r="20" spans="1:19" x14ac:dyDescent="0.35">
      <c r="A20" s="4" t="s">
        <v>13</v>
      </c>
      <c r="B20" s="2"/>
      <c r="C20" s="7" t="s">
        <v>177</v>
      </c>
      <c r="D20" s="7"/>
      <c r="E20" s="3"/>
      <c r="F20" s="28" t="s">
        <v>14</v>
      </c>
      <c r="G20" s="201" t="e">
        <f ca="1">Q2R(G16,G17,G14,G15,E10,E9,E11)</f>
        <v>#NAME?</v>
      </c>
      <c r="I20" s="201" t="e">
        <f ca="1">Q2R($I$16,$I$17,$I$14,$I$15,$E10,$E9,$E11)</f>
        <v>#NAME?</v>
      </c>
      <c r="J20" s="202"/>
      <c r="K20" s="201" t="e">
        <f ca="1">Q2R($K$16,$K$17,$K$14,$K$15,$E10,$E9,$E11)</f>
        <v>#NAME?</v>
      </c>
      <c r="M20" s="201" t="e">
        <f ca="1">Q2R($M$16,$M$17,$M$14,$M$15,$E10,$E9,$E11)</f>
        <v>#NAME?</v>
      </c>
      <c r="O20" s="201" t="e">
        <f ca="1">Q2R($O$16,$O$17,$O$14,$O$15,$E10,$E9,$E11)</f>
        <v>#NAME?</v>
      </c>
      <c r="Q20" s="201" t="e">
        <f ca="1">Q2R($Q$16,$Q$17,$Q$14,$Q$15,$E10,$E9,$E11)</f>
        <v>#NAME?</v>
      </c>
      <c r="S20" s="201" t="e">
        <f ca="1">Q2R($S$16,$S$17,$S$14,$S$15,$E10,$E9,$E11)</f>
        <v>#NAME?</v>
      </c>
    </row>
    <row r="21" spans="1:19" x14ac:dyDescent="0.35">
      <c r="A21" s="4" t="s">
        <v>265</v>
      </c>
      <c r="B21" s="2"/>
      <c r="C21" s="9" t="s">
        <v>16</v>
      </c>
      <c r="D21" s="7" t="s">
        <v>266</v>
      </c>
      <c r="E21" s="3"/>
      <c r="F21" s="28" t="s">
        <v>267</v>
      </c>
      <c r="G21" s="230" t="e">
        <f ca="1">G18*G20/$E9</f>
        <v>#NAME?</v>
      </c>
      <c r="I21" s="230" t="e">
        <f ca="1">I18*I20/$E9</f>
        <v>#NAME?</v>
      </c>
      <c r="J21" s="95"/>
      <c r="K21" s="230" t="e">
        <f ca="1">K18*K20/$E9</f>
        <v>#NAME?</v>
      </c>
      <c r="M21" s="230" t="e">
        <f ca="1">M18*M20/$E9</f>
        <v>#NAME?</v>
      </c>
      <c r="O21" s="230" t="e">
        <f ca="1">O18*O20/$E9</f>
        <v>#NAME?</v>
      </c>
      <c r="Q21" s="230" t="e">
        <f ca="1">Q18*Q20/$E9</f>
        <v>#NAME?</v>
      </c>
      <c r="S21" s="230" t="e">
        <f ca="1">S18*S20/$E9</f>
        <v>#NAME?</v>
      </c>
    </row>
  </sheetData>
  <dataConsolidate/>
  <mergeCells count="3">
    <mergeCell ref="A1:B1"/>
    <mergeCell ref="C4:D4"/>
    <mergeCell ref="C5:D5"/>
  </mergeCells>
  <conditionalFormatting sqref="G14 I14:K14 M14 O14">
    <cfRule type="expression" dxfId="11" priority="3">
      <formula>(#REF!="non-diving")</formula>
    </cfRule>
  </conditionalFormatting>
  <conditionalFormatting sqref="Q14">
    <cfRule type="expression" dxfId="10" priority="2">
      <formula>(#REF!="non-diving")</formula>
    </cfRule>
  </conditionalFormatting>
  <conditionalFormatting sqref="S14">
    <cfRule type="expression" dxfId="9" priority="1">
      <formula>(#REF!="non-diving")</formula>
    </cfRule>
  </conditionalFormatting>
  <dataValidations count="2">
    <dataValidation type="list" allowBlank="1" showInputMessage="1" showErrorMessage="1" sqref="G4:G12 S4:S12 Q4:Q12 O4:O12 M4:M12 I4:K12" xr:uid="{6CE32C23-950D-433E-8F4C-28E4AD39F546}">
      <formula1>"yes, no"</formula1>
    </dataValidation>
    <dataValidation type="list" allowBlank="1" showInputMessage="1" showErrorMessage="1" sqref="J16" xr:uid="{825B8C44-47AD-4B14-B8A0-6223BF44A8D2}">
      <formula1>#REF!</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F76BC-73FD-4DB3-86B4-BD6DA2A344E3}">
  <sheetPr codeName="Sheet9"/>
  <dimension ref="A1:W97"/>
  <sheetViews>
    <sheetView defaultGridColor="0" colorId="22" zoomScale="120" zoomScaleNormal="120" workbookViewId="0">
      <selection activeCell="V45" sqref="V45"/>
    </sheetView>
  </sheetViews>
  <sheetFormatPr defaultRowHeight="14.5" x14ac:dyDescent="0.35"/>
  <cols>
    <col min="1" max="1" width="26" customWidth="1"/>
    <col min="4" max="4" width="10.26953125" customWidth="1"/>
    <col min="5" max="5" width="14.81640625" customWidth="1"/>
    <col min="6" max="6" width="13.453125" customWidth="1"/>
    <col min="7" max="7" width="5.81640625" customWidth="1"/>
    <col min="8" max="8" width="3.54296875" customWidth="1"/>
    <col min="9" max="9" width="10.1796875" customWidth="1"/>
    <col min="10" max="10" width="2.81640625" customWidth="1"/>
    <col min="11" max="11" width="10.453125" customWidth="1"/>
    <col min="12" max="12" width="2.26953125" customWidth="1"/>
    <col min="13" max="13" width="9.54296875" customWidth="1"/>
    <col min="14" max="14" width="2.26953125" customWidth="1"/>
    <col min="15" max="15" width="10.453125" customWidth="1"/>
    <col min="16" max="16" width="3" customWidth="1"/>
    <col min="17" max="17" width="10.453125" customWidth="1"/>
    <col min="18" max="18" width="2.453125" customWidth="1"/>
    <col min="19" max="19" width="10.453125" customWidth="1"/>
    <col min="20" max="20" width="2.54296875" customWidth="1"/>
  </cols>
  <sheetData>
    <row r="1" spans="1:20" ht="34.5" customHeight="1" x14ac:dyDescent="0.35">
      <c r="A1" s="232" t="s">
        <v>202</v>
      </c>
      <c r="B1" s="181" t="s">
        <v>238</v>
      </c>
      <c r="C1" s="182" t="s">
        <v>237</v>
      </c>
      <c r="D1" s="231" t="s">
        <v>248</v>
      </c>
      <c r="E1" s="183" t="s">
        <v>240</v>
      </c>
      <c r="F1" s="180" t="s">
        <v>241</v>
      </c>
      <c r="G1" s="250"/>
    </row>
    <row r="2" spans="1:20" x14ac:dyDescent="0.35">
      <c r="A2" s="233" t="s">
        <v>200</v>
      </c>
      <c r="C2" s="152"/>
      <c r="D2" s="138"/>
      <c r="E2" s="138"/>
      <c r="F2" s="138"/>
      <c r="G2" s="138"/>
      <c r="H2" s="138"/>
      <c r="I2" s="138"/>
      <c r="J2" s="138"/>
      <c r="K2" s="138"/>
      <c r="L2" s="138"/>
      <c r="M2" s="138"/>
      <c r="N2" s="138"/>
      <c r="O2" s="138"/>
      <c r="P2" s="138"/>
      <c r="Q2" s="138"/>
      <c r="R2" s="138"/>
      <c r="S2" s="138"/>
      <c r="T2" s="138"/>
    </row>
    <row r="3" spans="1:20" x14ac:dyDescent="0.35">
      <c r="A3" s="235" t="s">
        <v>191</v>
      </c>
      <c r="C3" s="325">
        <f>Devices!C1</f>
        <v>1</v>
      </c>
      <c r="D3" s="325"/>
      <c r="E3" s="138"/>
      <c r="F3" s="138"/>
      <c r="G3" s="138"/>
      <c r="H3" s="138"/>
      <c r="I3" s="138"/>
      <c r="J3" s="138"/>
      <c r="K3" s="138"/>
      <c r="L3" s="138"/>
      <c r="M3" s="138"/>
      <c r="N3" s="138"/>
      <c r="O3" s="138"/>
      <c r="P3" s="138"/>
      <c r="Q3" s="138"/>
      <c r="R3" s="138"/>
      <c r="S3" s="138"/>
      <c r="T3" s="138"/>
    </row>
    <row r="4" spans="1:20" x14ac:dyDescent="0.35">
      <c r="A4" s="236" t="s">
        <v>242</v>
      </c>
      <c r="C4" s="325">
        <f>Devices!C2</f>
        <v>0</v>
      </c>
      <c r="D4" s="325"/>
      <c r="E4" s="138"/>
      <c r="F4" s="138"/>
      <c r="G4" s="138"/>
      <c r="H4" s="138"/>
      <c r="I4" s="138"/>
      <c r="J4" s="138"/>
      <c r="K4" s="138"/>
      <c r="L4" s="138"/>
      <c r="M4" s="138"/>
      <c r="N4" s="138"/>
      <c r="O4" s="138"/>
      <c r="P4" s="138"/>
      <c r="Q4" s="138"/>
      <c r="R4" s="138"/>
      <c r="S4" s="138"/>
      <c r="T4" s="138"/>
    </row>
    <row r="5" spans="1:20" x14ac:dyDescent="0.35">
      <c r="A5" s="152"/>
      <c r="B5" s="152"/>
      <c r="C5" s="152"/>
      <c r="D5" s="138"/>
      <c r="E5" s="138"/>
      <c r="F5" s="138"/>
      <c r="G5" s="138"/>
      <c r="H5" s="138"/>
      <c r="I5" s="138"/>
      <c r="J5" s="138"/>
      <c r="K5" s="138"/>
      <c r="L5" s="138"/>
      <c r="M5" s="138"/>
      <c r="N5" s="138"/>
      <c r="O5" s="138"/>
      <c r="P5" s="138"/>
      <c r="Q5" s="138"/>
      <c r="R5" s="138"/>
      <c r="S5" s="138"/>
      <c r="T5" s="138"/>
    </row>
    <row r="6" spans="1:20" x14ac:dyDescent="0.35">
      <c r="A6" s="1" t="s">
        <v>45</v>
      </c>
      <c r="B6" s="2"/>
      <c r="C6" s="3" t="s">
        <v>46</v>
      </c>
      <c r="D6" s="3" t="s">
        <v>47</v>
      </c>
      <c r="E6" s="4"/>
    </row>
    <row r="7" spans="1:20" x14ac:dyDescent="0.35">
      <c r="A7" s="4" t="s">
        <v>48</v>
      </c>
      <c r="B7" s="2"/>
      <c r="C7" s="15"/>
      <c r="D7" s="25">
        <f>Devices!C25</f>
        <v>0</v>
      </c>
      <c r="E7" s="26">
        <f>Devices!C26</f>
        <v>0</v>
      </c>
    </row>
    <row r="8" spans="1:20" x14ac:dyDescent="0.35">
      <c r="A8" s="4" t="s">
        <v>50</v>
      </c>
      <c r="B8" s="2"/>
      <c r="C8" s="9" t="s">
        <v>51</v>
      </c>
      <c r="D8" s="9" t="s">
        <v>6</v>
      </c>
      <c r="E8" s="36" t="b">
        <f>IF(D7="years",E7*365*24*3600,IF(D7="months",E7*30.4*24*3600,IF(D7="weeks",E7*7*24*3600)))</f>
        <v>0</v>
      </c>
    </row>
    <row r="9" spans="1:20" x14ac:dyDescent="0.35">
      <c r="A9" s="4"/>
      <c r="B9" s="2"/>
      <c r="C9" s="3"/>
      <c r="D9" s="3"/>
      <c r="E9" s="28"/>
    </row>
    <row r="10" spans="1:20" x14ac:dyDescent="0.35">
      <c r="A10" s="1" t="s">
        <v>21</v>
      </c>
      <c r="B10" s="2"/>
      <c r="C10" s="3"/>
      <c r="D10" s="5"/>
      <c r="E10" s="55"/>
    </row>
    <row r="11" spans="1:20" x14ac:dyDescent="0.35">
      <c r="A11" s="4" t="s">
        <v>91</v>
      </c>
      <c r="B11" s="2"/>
      <c r="C11" s="14" t="s">
        <v>22</v>
      </c>
      <c r="D11" s="15" t="s">
        <v>23</v>
      </c>
      <c r="E11" s="16">
        <f>Devices!C4</f>
        <v>0</v>
      </c>
    </row>
    <row r="12" spans="1:20" x14ac:dyDescent="0.35">
      <c r="A12" s="4" t="s">
        <v>24</v>
      </c>
      <c r="B12" s="2"/>
      <c r="C12" s="9" t="s">
        <v>25</v>
      </c>
      <c r="D12" s="35" t="s">
        <v>23</v>
      </c>
      <c r="E12" s="245">
        <f>E13*2</f>
        <v>0</v>
      </c>
      <c r="F12" s="326"/>
      <c r="G12" s="246"/>
    </row>
    <row r="13" spans="1:20" x14ac:dyDescent="0.35">
      <c r="A13" s="4" t="s">
        <v>26</v>
      </c>
      <c r="B13" s="2"/>
      <c r="C13" s="14" t="s">
        <v>27</v>
      </c>
      <c r="D13" s="15" t="s">
        <v>23</v>
      </c>
      <c r="E13" s="146">
        <f>Devices!C5</f>
        <v>0</v>
      </c>
      <c r="F13" s="326"/>
      <c r="G13" s="246"/>
    </row>
    <row r="14" spans="1:20" x14ac:dyDescent="0.35">
      <c r="A14" s="4" t="s">
        <v>28</v>
      </c>
      <c r="B14" s="2"/>
      <c r="C14" s="17" t="s">
        <v>29</v>
      </c>
      <c r="D14" s="15"/>
      <c r="E14" s="18">
        <f>Devices!C6</f>
        <v>0</v>
      </c>
    </row>
    <row r="15" spans="1:20" x14ac:dyDescent="0.35">
      <c r="A15" s="13" t="s">
        <v>73</v>
      </c>
      <c r="B15" s="49"/>
      <c r="C15" s="51" t="s">
        <v>60</v>
      </c>
      <c r="D15" s="51" t="s">
        <v>23</v>
      </c>
      <c r="E15" s="148">
        <f>Devices!C7</f>
        <v>0</v>
      </c>
    </row>
    <row r="16" spans="1:20" x14ac:dyDescent="0.35">
      <c r="A16" s="4" t="s">
        <v>36</v>
      </c>
      <c r="B16" s="2"/>
      <c r="C16" s="17" t="s">
        <v>37</v>
      </c>
      <c r="D16" s="15" t="s">
        <v>38</v>
      </c>
      <c r="E16" s="19">
        <f>Devices!C8</f>
        <v>0</v>
      </c>
    </row>
    <row r="17" spans="1:21" x14ac:dyDescent="0.35">
      <c r="A17" s="4" t="s">
        <v>112</v>
      </c>
      <c r="B17" s="2"/>
      <c r="C17" s="34" t="s">
        <v>268</v>
      </c>
      <c r="D17" s="35" t="s">
        <v>262</v>
      </c>
      <c r="E17" s="20">
        <f>(1/2)*$E13*$E16*2*PI()/60</f>
        <v>0</v>
      </c>
    </row>
    <row r="18" spans="1:21" x14ac:dyDescent="0.35">
      <c r="A18" s="4" t="s">
        <v>39</v>
      </c>
      <c r="B18" s="2"/>
      <c r="C18" s="17" t="s">
        <v>40</v>
      </c>
      <c r="D18" s="15"/>
      <c r="E18" s="21">
        <f>Devices!C21</f>
        <v>0</v>
      </c>
    </row>
    <row r="19" spans="1:21" x14ac:dyDescent="0.35">
      <c r="A19" s="4" t="s">
        <v>269</v>
      </c>
      <c r="B19" s="2"/>
      <c r="C19" s="14" t="s">
        <v>270</v>
      </c>
      <c r="D19" s="15" t="s">
        <v>262</v>
      </c>
      <c r="E19" s="19">
        <f>Devices!C11</f>
        <v>0</v>
      </c>
    </row>
    <row r="20" spans="1:21" x14ac:dyDescent="0.35">
      <c r="A20" s="4" t="s">
        <v>113</v>
      </c>
      <c r="B20" s="2"/>
      <c r="C20" s="35" t="s">
        <v>61</v>
      </c>
      <c r="D20" s="35" t="s">
        <v>262</v>
      </c>
      <c r="E20" s="101">
        <f>SQRT(E17*E17+E19*E19)</f>
        <v>0</v>
      </c>
      <c r="F20" s="70" t="s">
        <v>271</v>
      </c>
      <c r="G20" s="70"/>
    </row>
    <row r="21" spans="1:21" x14ac:dyDescent="0.35">
      <c r="A21" s="4"/>
      <c r="B21" s="2"/>
      <c r="C21" s="5"/>
      <c r="D21" s="5"/>
      <c r="E21" s="102"/>
    </row>
    <row r="22" spans="1:21" x14ac:dyDescent="0.35">
      <c r="A22" s="50" t="s">
        <v>42</v>
      </c>
      <c r="I22" s="77"/>
    </row>
    <row r="23" spans="1:21" ht="24" x14ac:dyDescent="0.35">
      <c r="A23" s="13" t="s">
        <v>87</v>
      </c>
      <c r="I23" s="169" t="s">
        <v>77</v>
      </c>
      <c r="J23" s="52"/>
      <c r="K23" s="169" t="s">
        <v>143</v>
      </c>
      <c r="L23" s="92"/>
      <c r="M23" s="169" t="s">
        <v>107</v>
      </c>
      <c r="N23" s="52"/>
      <c r="O23" s="169" t="s">
        <v>78</v>
      </c>
      <c r="P23" s="53"/>
      <c r="Q23" s="169" t="s">
        <v>188</v>
      </c>
      <c r="S23" s="169" t="s">
        <v>189</v>
      </c>
      <c r="U23" s="169" t="s">
        <v>199</v>
      </c>
    </row>
    <row r="24" spans="1:21" x14ac:dyDescent="0.35">
      <c r="A24" s="4" t="s">
        <v>106</v>
      </c>
      <c r="C24" s="177" t="s">
        <v>16</v>
      </c>
      <c r="D24" s="177" t="s">
        <v>272</v>
      </c>
      <c r="I24" s="78" t="e">
        <f ca="1">Density_1!G21</f>
        <v>#NAME?</v>
      </c>
      <c r="J24" s="75"/>
      <c r="K24" s="78" t="e">
        <f ca="1">Density_1!I21</f>
        <v>#NAME?</v>
      </c>
      <c r="L24" s="75"/>
      <c r="M24" s="78" t="e">
        <f ca="1">Density_1!K21</f>
        <v>#NAME?</v>
      </c>
      <c r="N24" s="75"/>
      <c r="O24" s="79" t="e">
        <f ca="1">Density_1!M21</f>
        <v>#NAME?</v>
      </c>
      <c r="P24" s="88"/>
      <c r="Q24" s="79" t="e">
        <f ca="1">Density_1!O21</f>
        <v>#NAME?</v>
      </c>
      <c r="R24" s="75"/>
      <c r="S24" s="79" t="e">
        <f ca="1">Density_1!Q21</f>
        <v>#NAME?</v>
      </c>
      <c r="U24" s="79" t="e">
        <f ca="1">Density_1!S21</f>
        <v>#NAME?</v>
      </c>
    </row>
    <row r="25" spans="1:21" x14ac:dyDescent="0.35">
      <c r="A25" s="4" t="s">
        <v>103</v>
      </c>
      <c r="I25" s="170" t="s">
        <v>102</v>
      </c>
      <c r="J25" s="43"/>
      <c r="K25" s="170" t="s">
        <v>102</v>
      </c>
      <c r="L25" s="43"/>
      <c r="M25" s="170" t="s">
        <v>102</v>
      </c>
      <c r="N25" s="43"/>
      <c r="O25" s="170" t="s">
        <v>102</v>
      </c>
      <c r="P25" s="24"/>
      <c r="Q25" s="170" t="s">
        <v>102</v>
      </c>
      <c r="R25" s="43"/>
      <c r="S25" s="170" t="s">
        <v>102</v>
      </c>
      <c r="U25" s="170" t="s">
        <v>102</v>
      </c>
    </row>
    <row r="26" spans="1:21" x14ac:dyDescent="0.35">
      <c r="A26" s="4" t="s">
        <v>80</v>
      </c>
      <c r="C26" s="173" t="s">
        <v>43</v>
      </c>
      <c r="D26" s="173" t="s">
        <v>23</v>
      </c>
      <c r="I26" s="175">
        <f>Animals!G21</f>
        <v>1.22</v>
      </c>
      <c r="J26" s="43"/>
      <c r="K26" s="175">
        <f>Animals!I21</f>
        <v>1.41</v>
      </c>
      <c r="L26" s="45"/>
      <c r="M26" s="175">
        <f>Animals!K21</f>
        <v>1.37</v>
      </c>
      <c r="N26" s="45"/>
      <c r="O26" s="175">
        <f>Animals!M21</f>
        <v>5.2</v>
      </c>
      <c r="P26" s="45"/>
      <c r="Q26" s="175">
        <f>Animals!O21</f>
        <v>2.57</v>
      </c>
      <c r="R26" s="45"/>
      <c r="S26" s="175">
        <f>Animals!Q21</f>
        <v>2.37</v>
      </c>
      <c r="U26" s="175">
        <f>Animals!S21</f>
        <v>1.77</v>
      </c>
    </row>
    <row r="27" spans="1:21" x14ac:dyDescent="0.35">
      <c r="A27" s="4" t="s">
        <v>72</v>
      </c>
      <c r="C27" s="171" t="s">
        <v>44</v>
      </c>
      <c r="D27" s="171" t="s">
        <v>23</v>
      </c>
      <c r="E27" s="3"/>
      <c r="I27" s="172">
        <f>Animals!G22</f>
        <v>0.3</v>
      </c>
      <c r="J27" s="43"/>
      <c r="K27" s="172">
        <f>Animals!I22</f>
        <v>0.34</v>
      </c>
      <c r="L27" s="45"/>
      <c r="M27" s="172">
        <f>Animals!K22</f>
        <v>0.32</v>
      </c>
      <c r="N27" s="45"/>
      <c r="O27" s="172">
        <f>Animals!M22</f>
        <v>2.2000000000000002</v>
      </c>
      <c r="P27" s="45"/>
      <c r="Q27" s="172">
        <f>Animals!O22</f>
        <v>0.64</v>
      </c>
      <c r="R27" s="45"/>
      <c r="S27" s="172">
        <f>Animals!Q22</f>
        <v>0.55000000000000004</v>
      </c>
      <c r="U27" s="172">
        <f>Animals!S22</f>
        <v>0.44</v>
      </c>
    </row>
    <row r="28" spans="1:21" x14ac:dyDescent="0.35">
      <c r="A28" s="4" t="s">
        <v>95</v>
      </c>
      <c r="C28" s="171" t="s">
        <v>273</v>
      </c>
      <c r="D28" s="171" t="s">
        <v>262</v>
      </c>
      <c r="E28" s="3"/>
      <c r="I28" s="172">
        <f>Animals!G23</f>
        <v>2</v>
      </c>
      <c r="J28" s="43"/>
      <c r="K28" s="172">
        <f>Animals!I23</f>
        <v>1.8</v>
      </c>
      <c r="L28" s="45"/>
      <c r="M28" s="172">
        <f>Animals!K23</f>
        <v>1.86</v>
      </c>
      <c r="N28" s="45"/>
      <c r="O28" s="172">
        <f>Animals!M23</f>
        <v>1.62</v>
      </c>
      <c r="P28" s="45"/>
      <c r="Q28" s="172">
        <f>Animals!O23</f>
        <v>2.1</v>
      </c>
      <c r="R28" s="45"/>
      <c r="S28" s="172">
        <f>Animals!Q23</f>
        <v>1.94</v>
      </c>
      <c r="U28" s="172">
        <f>Animals!S23</f>
        <v>3</v>
      </c>
    </row>
    <row r="29" spans="1:21" x14ac:dyDescent="0.35">
      <c r="A29" s="4" t="s">
        <v>56</v>
      </c>
      <c r="C29" s="171" t="s">
        <v>57</v>
      </c>
      <c r="D29" s="171" t="s">
        <v>262</v>
      </c>
      <c r="E29" s="3"/>
      <c r="I29" s="234">
        <f>Animals!G11</f>
        <v>0</v>
      </c>
      <c r="J29" s="43"/>
      <c r="K29" s="234">
        <f>Animals!I11</f>
        <v>0.85</v>
      </c>
      <c r="L29" s="45"/>
      <c r="M29" s="234">
        <f>Animals!K11</f>
        <v>0.61</v>
      </c>
      <c r="N29" s="45"/>
      <c r="O29" s="234">
        <f>Animals!M11</f>
        <v>0</v>
      </c>
      <c r="P29" s="45"/>
      <c r="Q29" s="234">
        <f>Animals!O11</f>
        <v>0</v>
      </c>
      <c r="R29" s="45"/>
      <c r="S29" s="234">
        <f>Animals!Q11</f>
        <v>0</v>
      </c>
      <c r="U29" s="234">
        <f>Animals!S11</f>
        <v>0</v>
      </c>
    </row>
    <row r="30" spans="1:21" x14ac:dyDescent="0.35">
      <c r="A30" s="4" t="s">
        <v>68</v>
      </c>
      <c r="B30" s="2"/>
      <c r="C30" s="171" t="s">
        <v>69</v>
      </c>
      <c r="D30" s="171"/>
      <c r="E30" s="3"/>
      <c r="F30" s="12" t="s">
        <v>93</v>
      </c>
      <c r="G30" s="12"/>
      <c r="I30" s="172">
        <f>Animals!G24</f>
        <v>0.5</v>
      </c>
      <c r="J30" s="84"/>
      <c r="K30" s="172">
        <f>Animals!I24</f>
        <v>0.5</v>
      </c>
      <c r="L30" s="62"/>
      <c r="M30" s="172">
        <f>Animals!K24</f>
        <v>0.5</v>
      </c>
      <c r="N30" s="62"/>
      <c r="O30" s="172">
        <f>Animals!M24</f>
        <v>0.5</v>
      </c>
      <c r="P30" s="45"/>
      <c r="Q30" s="172">
        <f>Animals!O24</f>
        <v>0.5</v>
      </c>
      <c r="R30" s="62"/>
      <c r="S30" s="172">
        <f>Animals!Q24</f>
        <v>0.5</v>
      </c>
      <c r="U30" s="172">
        <f>Animals!S24</f>
        <v>0.5</v>
      </c>
    </row>
    <row r="32" spans="1:21" x14ac:dyDescent="0.35">
      <c r="A32" s="1" t="s">
        <v>62</v>
      </c>
      <c r="B32" s="2"/>
      <c r="C32" s="5"/>
      <c r="D32" s="5"/>
      <c r="E32" s="5"/>
      <c r="F32" s="41"/>
      <c r="G32" s="41"/>
    </row>
    <row r="33" spans="1:21" x14ac:dyDescent="0.35">
      <c r="A33" s="4" t="s">
        <v>104</v>
      </c>
      <c r="B33" s="2"/>
      <c r="C33" s="7" t="s">
        <v>70</v>
      </c>
      <c r="D33" s="7" t="s">
        <v>23</v>
      </c>
      <c r="E33" s="3"/>
      <c r="F33" s="12" t="s">
        <v>71</v>
      </c>
      <c r="G33" s="12"/>
      <c r="I33" s="87">
        <f>MAX(I26,I27)*I30/2</f>
        <v>0.30499999999999999</v>
      </c>
      <c r="J33" s="89"/>
      <c r="K33" s="87">
        <f>MAX(K26,K27)*K30/2</f>
        <v>0.35249999999999998</v>
      </c>
      <c r="L33" s="90"/>
      <c r="M33" s="87">
        <f>MAX(M26,M27)*M30/2</f>
        <v>0.34250000000000003</v>
      </c>
      <c r="N33" s="90"/>
      <c r="O33" s="87">
        <f>MAX(O26,O27)*O30/2</f>
        <v>1.3</v>
      </c>
      <c r="P33" s="91"/>
      <c r="Q33" s="87">
        <f>MAX(Q26,Q27)*Q30/2</f>
        <v>0.64249999999999996</v>
      </c>
      <c r="R33" s="90"/>
      <c r="S33" s="87">
        <f>MAX(S26,S27)*S30/2</f>
        <v>0.59250000000000003</v>
      </c>
      <c r="T33" s="89"/>
      <c r="U33" s="87">
        <f>MAX(U26,U27)*U30/2</f>
        <v>0.4425</v>
      </c>
    </row>
    <row r="34" spans="1:21" x14ac:dyDescent="0.35">
      <c r="A34" s="4" t="s">
        <v>63</v>
      </c>
      <c r="B34" s="2"/>
      <c r="C34" s="7" t="s">
        <v>64</v>
      </c>
      <c r="D34" s="7" t="s">
        <v>215</v>
      </c>
      <c r="E34" s="3"/>
      <c r="F34" s="29" t="s">
        <v>274</v>
      </c>
      <c r="G34" s="29"/>
      <c r="I34" s="63">
        <f>$E11*$E14*($E15+2*I33)*($E13+I33)</f>
        <v>0</v>
      </c>
      <c r="K34" s="63">
        <f>$E11*$E14*($E15+2*K33)*($E13+K33)</f>
        <v>0</v>
      </c>
      <c r="M34" s="63">
        <f>$E11*$E14*($E15+2*M33)*($E13+M33)</f>
        <v>0</v>
      </c>
      <c r="O34" s="63">
        <f>$E11*$E14*($E15+2*O33)*($E13+O33)</f>
        <v>0</v>
      </c>
      <c r="P34" s="81"/>
      <c r="Q34" s="63">
        <f>$E11*$E14*($E15+2*Q33)*($E13+Q33)</f>
        <v>0</v>
      </c>
      <c r="S34" s="63">
        <f>$E11*$E14*($E15+2*S33)*($E13+S33)</f>
        <v>0</v>
      </c>
      <c r="U34" s="63">
        <f>$E11*$E14*($E15+2*U33)*($E13+U33)</f>
        <v>0</v>
      </c>
    </row>
    <row r="35" spans="1:21" x14ac:dyDescent="0.35">
      <c r="A35" s="4" t="s">
        <v>81</v>
      </c>
      <c r="B35" s="2"/>
      <c r="C35" s="7" t="s">
        <v>275</v>
      </c>
      <c r="D35" s="7"/>
      <c r="E35" s="3"/>
      <c r="F35" s="29" t="s">
        <v>276</v>
      </c>
      <c r="G35" s="29"/>
      <c r="I35" s="63">
        <f>IF(I25="diving bird",I29,I28)</f>
        <v>2</v>
      </c>
      <c r="K35" s="63">
        <f>IF(K25="diving bird",K29,K28)</f>
        <v>1.8</v>
      </c>
      <c r="M35" s="63">
        <f>IF(M25="diving bird",M29,M28)</f>
        <v>1.86</v>
      </c>
      <c r="O35" s="63">
        <f>IF(O25="diving bird",O29,O28)</f>
        <v>1.62</v>
      </c>
      <c r="P35" s="81"/>
      <c r="Q35" s="63">
        <f>IF(Q25="diving bird",Q29,Q28)</f>
        <v>2.1</v>
      </c>
      <c r="S35" s="63">
        <f>IF(S25="diving bird",S29,S28)</f>
        <v>1.94</v>
      </c>
      <c r="U35" s="63">
        <f>IF(U25="diving bird",U29,U28)</f>
        <v>3</v>
      </c>
    </row>
    <row r="36" spans="1:21" x14ac:dyDescent="0.35">
      <c r="A36" s="4" t="s">
        <v>65</v>
      </c>
      <c r="B36" s="2"/>
      <c r="C36" s="20"/>
      <c r="D36" s="7" t="s">
        <v>277</v>
      </c>
      <c r="E36" s="3"/>
      <c r="F36" s="30" t="s">
        <v>278</v>
      </c>
      <c r="G36" s="30"/>
      <c r="I36" s="63" t="e">
        <f>I34*(I35*I35+3*$E17*$E17)/(3*$E17)</f>
        <v>#DIV/0!</v>
      </c>
      <c r="K36" s="61" t="e">
        <f>K34*(K35*K35+3*$E17*$E17)/(3*$E17)</f>
        <v>#DIV/0!</v>
      </c>
      <c r="M36" s="61" t="e">
        <f>M34*(M35*M35+3*$E17*$E17)/(3*$E17)</f>
        <v>#DIV/0!</v>
      </c>
      <c r="O36" s="61" t="e">
        <f>O34*(O35*O35+3*$E17*$E17)/(3*$E17)</f>
        <v>#DIV/0!</v>
      </c>
      <c r="P36" s="62"/>
      <c r="Q36" s="61" t="e">
        <f>Q34*(Q35*Q35+3*$E17*$E17)/(3*$E17)</f>
        <v>#DIV/0!</v>
      </c>
      <c r="S36" s="61" t="e">
        <f>S34*(S35*S35+3*$E17*$E17)/(3*$E17)</f>
        <v>#DIV/0!</v>
      </c>
      <c r="U36" s="61" t="e">
        <f>U34*(U35*U35+3*$E17*$E17)/(3*$E17)</f>
        <v>#DIV/0!</v>
      </c>
    </row>
    <row r="37" spans="1:21" x14ac:dyDescent="0.35">
      <c r="A37" s="4" t="s">
        <v>66</v>
      </c>
      <c r="B37" s="2"/>
      <c r="C37" s="7" t="s">
        <v>279</v>
      </c>
      <c r="D37" s="7" t="s">
        <v>277</v>
      </c>
      <c r="E37" s="3"/>
      <c r="F37" s="30" t="s">
        <v>280</v>
      </c>
      <c r="G37" s="30"/>
      <c r="I37" s="39" t="e">
        <f ca="1">I36*I24</f>
        <v>#DIV/0!</v>
      </c>
      <c r="K37" s="39" t="e">
        <f ca="1">K36*K24</f>
        <v>#DIV/0!</v>
      </c>
      <c r="M37" s="39" t="e">
        <f ca="1">M36*M24</f>
        <v>#DIV/0!</v>
      </c>
      <c r="O37" s="39" t="e">
        <f ca="1">O36*O24</f>
        <v>#DIV/0!</v>
      </c>
      <c r="P37" s="68"/>
      <c r="Q37" s="39" t="e">
        <f ca="1">Q36*Q24</f>
        <v>#DIV/0!</v>
      </c>
      <c r="S37" s="39" t="e">
        <f ca="1">S36*S24</f>
        <v>#DIV/0!</v>
      </c>
      <c r="U37" s="39" t="e">
        <f ca="1">U36*U24</f>
        <v>#DIV/0!</v>
      </c>
    </row>
    <row r="38" spans="1:21" x14ac:dyDescent="0.35">
      <c r="A38" s="4" t="s">
        <v>67</v>
      </c>
      <c r="B38" s="2"/>
      <c r="C38" s="31"/>
      <c r="D38" s="32" t="s">
        <v>59</v>
      </c>
      <c r="E38" s="3"/>
      <c r="F38" s="12" t="s">
        <v>281</v>
      </c>
      <c r="G38" s="12"/>
      <c r="I38" s="85" t="e">
        <f ca="1">I37*$E8*(1-$E18)</f>
        <v>#DIV/0!</v>
      </c>
      <c r="J38" s="46"/>
      <c r="K38" s="85" t="e">
        <f ca="1">K37*$E8*(1-$E18)</f>
        <v>#DIV/0!</v>
      </c>
      <c r="L38" s="46"/>
      <c r="M38" s="85" t="e">
        <f ca="1">M37*$E8*(1-$E18)</f>
        <v>#DIV/0!</v>
      </c>
      <c r="N38" s="46"/>
      <c r="O38" s="85" t="e">
        <f ca="1">O37*$E8*(1-$E18)</f>
        <v>#DIV/0!</v>
      </c>
      <c r="P38" s="98"/>
      <c r="Q38" s="97" t="e">
        <f ca="1">Q37*$E8*(1-$E18)</f>
        <v>#DIV/0!</v>
      </c>
      <c r="R38" s="46"/>
      <c r="S38" s="97" t="e">
        <f ca="1">S37*$E8*(1-$E18)</f>
        <v>#DIV/0!</v>
      </c>
      <c r="T38" s="46"/>
      <c r="U38" s="97" t="e">
        <f ca="1">U37*$E8*(1-$E18)</f>
        <v>#DIV/0!</v>
      </c>
    </row>
    <row r="44" spans="1:21" ht="24" x14ac:dyDescent="0.35">
      <c r="G44" s="165"/>
      <c r="I44" s="169" t="s">
        <v>77</v>
      </c>
      <c r="J44" s="52"/>
      <c r="K44" s="169" t="s">
        <v>143</v>
      </c>
      <c r="L44" s="92"/>
      <c r="M44" s="169" t="s">
        <v>107</v>
      </c>
      <c r="N44" s="52"/>
      <c r="O44" s="169" t="s">
        <v>78</v>
      </c>
      <c r="P44" s="53"/>
      <c r="Q44" s="169" t="s">
        <v>188</v>
      </c>
      <c r="S44" s="169" t="s">
        <v>189</v>
      </c>
      <c r="U44" s="169" t="s">
        <v>199</v>
      </c>
    </row>
    <row r="45" spans="1:21" x14ac:dyDescent="0.35">
      <c r="A45" s="46" t="s">
        <v>187</v>
      </c>
      <c r="E45" t="s">
        <v>226</v>
      </c>
      <c r="F45" s="165">
        <v>1</v>
      </c>
      <c r="G45" s="165"/>
      <c r="I45" s="139" t="e">
        <f ca="1">$I$38*1</f>
        <v>#DIV/0!</v>
      </c>
      <c r="K45" s="139" t="e">
        <f ca="1">$K$38*1</f>
        <v>#DIV/0!</v>
      </c>
      <c r="M45" s="139" t="e">
        <f ca="1">$M$38*1</f>
        <v>#DIV/0!</v>
      </c>
      <c r="O45" s="139" t="e">
        <f ca="1">$O$38*1</f>
        <v>#DIV/0!</v>
      </c>
      <c r="Q45" s="139" t="e">
        <f ca="1">$Q$38*1</f>
        <v>#DIV/0!</v>
      </c>
      <c r="S45" s="139" t="e">
        <f ca="1">$S$38*1</f>
        <v>#DIV/0!</v>
      </c>
      <c r="U45" s="139" t="e">
        <f ca="1">$U$38*1</f>
        <v>#DIV/0!</v>
      </c>
    </row>
    <row r="46" spans="1:21" x14ac:dyDescent="0.35">
      <c r="A46" t="s">
        <v>185</v>
      </c>
      <c r="E46" t="s">
        <v>207</v>
      </c>
      <c r="F46" s="165">
        <f>Devices!C32</f>
        <v>0</v>
      </c>
      <c r="I46" s="174" t="s">
        <v>218</v>
      </c>
      <c r="K46" s="174" t="s">
        <v>220</v>
      </c>
      <c r="M46" s="174" t="s">
        <v>221</v>
      </c>
      <c r="O46" s="174" t="s">
        <v>207</v>
      </c>
      <c r="Q46" s="174" t="s">
        <v>219</v>
      </c>
      <c r="S46" s="174" t="s">
        <v>222</v>
      </c>
      <c r="U46" s="174" t="s">
        <v>223</v>
      </c>
    </row>
    <row r="47" spans="1:21" x14ac:dyDescent="0.35">
      <c r="A47" s="42">
        <v>0.5</v>
      </c>
      <c r="I47" s="157" t="e">
        <f t="shared" ref="I47:I52" ca="1" si="0">I$45*(1-$A47)</f>
        <v>#DIV/0!</v>
      </c>
      <c r="K47" s="63" t="e">
        <f t="shared" ref="K47:K52" ca="1" si="1">K$45*(1-$A47)</f>
        <v>#DIV/0!</v>
      </c>
      <c r="M47" s="157" t="e">
        <f t="shared" ref="M47:M52" ca="1" si="2">M$45*(1-$A47)</f>
        <v>#DIV/0!</v>
      </c>
      <c r="O47" s="157" t="e">
        <f t="shared" ref="O47:O52" ca="1" si="3">O$45*(1-$A47)</f>
        <v>#DIV/0!</v>
      </c>
      <c r="Q47" s="157" t="e">
        <f t="shared" ref="Q47:Q52" ca="1" si="4">Q$45*(1-$A47)</f>
        <v>#DIV/0!</v>
      </c>
      <c r="S47" s="157" t="e">
        <f t="shared" ref="S47:S52" ca="1" si="5">S$45*(1-$A47)</f>
        <v>#DIV/0!</v>
      </c>
      <c r="U47" s="157" t="e">
        <f t="shared" ref="U47:U52" ca="1" si="6">U$45*(1-$A47)</f>
        <v>#DIV/0!</v>
      </c>
    </row>
    <row r="48" spans="1:21" s="46" customFormat="1" x14ac:dyDescent="0.35">
      <c r="A48" s="42">
        <v>0.9</v>
      </c>
      <c r="B48"/>
      <c r="C48"/>
      <c r="D48"/>
      <c r="E48"/>
      <c r="F48"/>
      <c r="G48"/>
      <c r="H48"/>
      <c r="I48" s="157" t="e">
        <f t="shared" ca="1" si="0"/>
        <v>#DIV/0!</v>
      </c>
      <c r="J48"/>
      <c r="K48" s="63" t="e">
        <f t="shared" ca="1" si="1"/>
        <v>#DIV/0!</v>
      </c>
      <c r="L48"/>
      <c r="M48" s="63" t="e">
        <f t="shared" ca="1" si="2"/>
        <v>#DIV/0!</v>
      </c>
      <c r="N48"/>
      <c r="O48" s="157" t="e">
        <f t="shared" ca="1" si="3"/>
        <v>#DIV/0!</v>
      </c>
      <c r="P48"/>
      <c r="Q48" s="63" t="e">
        <f t="shared" ca="1" si="4"/>
        <v>#DIV/0!</v>
      </c>
      <c r="R48"/>
      <c r="S48" s="63" t="e">
        <f t="shared" ca="1" si="5"/>
        <v>#DIV/0!</v>
      </c>
      <c r="U48" s="63" t="e">
        <f t="shared" ca="1" si="6"/>
        <v>#DIV/0!</v>
      </c>
    </row>
    <row r="49" spans="1:23" x14ac:dyDescent="0.35">
      <c r="A49" s="42">
        <v>0.95</v>
      </c>
      <c r="I49" s="157" t="e">
        <f t="shared" ca="1" si="0"/>
        <v>#DIV/0!</v>
      </c>
      <c r="K49" s="63" t="e">
        <f t="shared" ca="1" si="1"/>
        <v>#DIV/0!</v>
      </c>
      <c r="M49" s="63" t="e">
        <f t="shared" ca="1" si="2"/>
        <v>#DIV/0!</v>
      </c>
      <c r="O49" s="141" t="e">
        <f t="shared" ca="1" si="3"/>
        <v>#DIV/0!</v>
      </c>
      <c r="Q49" s="63" t="e">
        <f t="shared" ca="1" si="4"/>
        <v>#DIV/0!</v>
      </c>
      <c r="S49" s="63" t="e">
        <f t="shared" ca="1" si="5"/>
        <v>#DIV/0!</v>
      </c>
      <c r="U49" s="63" t="e">
        <f t="shared" ca="1" si="6"/>
        <v>#DIV/0!</v>
      </c>
    </row>
    <row r="50" spans="1:23" x14ac:dyDescent="0.35">
      <c r="A50" s="140">
        <v>0.98</v>
      </c>
      <c r="B50" s="46"/>
      <c r="C50" s="46"/>
      <c r="D50" s="46"/>
      <c r="E50" s="46"/>
      <c r="F50" s="46"/>
      <c r="G50" s="46"/>
      <c r="H50" s="46"/>
      <c r="I50" s="85" t="e">
        <f t="shared" ca="1" si="0"/>
        <v>#DIV/0!</v>
      </c>
      <c r="J50" s="46"/>
      <c r="K50" s="141" t="e">
        <f t="shared" ca="1" si="1"/>
        <v>#DIV/0!</v>
      </c>
      <c r="L50" s="46"/>
      <c r="M50" s="141" t="e">
        <f t="shared" ca="1" si="2"/>
        <v>#DIV/0!</v>
      </c>
      <c r="N50" s="46"/>
      <c r="O50" s="141" t="e">
        <f t="shared" ca="1" si="3"/>
        <v>#DIV/0!</v>
      </c>
      <c r="P50" s="46"/>
      <c r="Q50" s="85" t="e">
        <f t="shared" ca="1" si="4"/>
        <v>#DIV/0!</v>
      </c>
      <c r="R50" s="46"/>
      <c r="S50" s="141" t="e">
        <f t="shared" ca="1" si="5"/>
        <v>#DIV/0!</v>
      </c>
      <c r="U50" s="141" t="e">
        <f t="shared" ca="1" si="6"/>
        <v>#DIV/0!</v>
      </c>
    </row>
    <row r="51" spans="1:23" x14ac:dyDescent="0.35">
      <c r="A51" s="42">
        <v>0.99</v>
      </c>
      <c r="I51" s="63" t="e">
        <f t="shared" ca="1" si="0"/>
        <v>#DIV/0!</v>
      </c>
      <c r="K51" s="63" t="e">
        <f t="shared" ca="1" si="1"/>
        <v>#DIV/0!</v>
      </c>
      <c r="M51" s="63" t="e">
        <f t="shared" ca="1" si="2"/>
        <v>#DIV/0!</v>
      </c>
      <c r="O51" s="63" t="e">
        <f t="shared" ca="1" si="3"/>
        <v>#DIV/0!</v>
      </c>
      <c r="Q51" s="63" t="e">
        <f t="shared" ca="1" si="4"/>
        <v>#DIV/0!</v>
      </c>
      <c r="S51" s="63" t="e">
        <f t="shared" ca="1" si="5"/>
        <v>#DIV/0!</v>
      </c>
      <c r="U51" s="63" t="e">
        <f t="shared" ca="1" si="6"/>
        <v>#DIV/0!</v>
      </c>
    </row>
    <row r="52" spans="1:23" x14ac:dyDescent="0.35">
      <c r="A52" s="154">
        <v>0.997</v>
      </c>
      <c r="I52" s="85" t="e">
        <f t="shared" ca="1" si="0"/>
        <v>#DIV/0!</v>
      </c>
      <c r="J52" s="46"/>
      <c r="K52" s="141" t="e">
        <f t="shared" ca="1" si="1"/>
        <v>#DIV/0!</v>
      </c>
      <c r="L52" s="46"/>
      <c r="M52" s="141" t="e">
        <f t="shared" ca="1" si="2"/>
        <v>#DIV/0!</v>
      </c>
      <c r="N52" s="46"/>
      <c r="O52" s="141" t="e">
        <f t="shared" ca="1" si="3"/>
        <v>#DIV/0!</v>
      </c>
      <c r="P52" s="46"/>
      <c r="Q52" s="85" t="e">
        <f t="shared" ca="1" si="4"/>
        <v>#DIV/0!</v>
      </c>
      <c r="R52" s="46"/>
      <c r="S52" s="141" t="e">
        <f t="shared" ca="1" si="5"/>
        <v>#DIV/0!</v>
      </c>
      <c r="T52" s="46"/>
      <c r="U52" s="141" t="e">
        <f t="shared" ca="1" si="6"/>
        <v>#DIV/0!</v>
      </c>
    </row>
    <row r="54" spans="1:23" x14ac:dyDescent="0.35">
      <c r="A54" s="151" t="s">
        <v>217</v>
      </c>
      <c r="B54" s="152"/>
      <c r="C54" s="152"/>
      <c r="D54" s="152"/>
      <c r="E54" s="152"/>
      <c r="F54" s="249">
        <f>Devices!C33</f>
        <v>0</v>
      </c>
      <c r="G54" s="249"/>
      <c r="I54" s="139" t="e">
        <f ca="1">$I$38*F54</f>
        <v>#DIV/0!</v>
      </c>
      <c r="K54" s="139" t="e">
        <f ca="1">$K$38*F54</f>
        <v>#DIV/0!</v>
      </c>
      <c r="M54" s="139" t="e">
        <f ca="1">$M$38*F54</f>
        <v>#DIV/0!</v>
      </c>
      <c r="O54" s="139" t="e">
        <f ca="1">$O$38*F54</f>
        <v>#DIV/0!</v>
      </c>
      <c r="Q54" s="139" t="e">
        <f ca="1">$Q$38*F54</f>
        <v>#DIV/0!</v>
      </c>
      <c r="S54" s="139" t="e">
        <f ca="1">$S$38*F54</f>
        <v>#DIV/0!</v>
      </c>
      <c r="U54" s="139" t="e">
        <f ca="1">$U$38*F54</f>
        <v>#DIV/0!</v>
      </c>
    </row>
    <row r="55" spans="1:23" x14ac:dyDescent="0.35">
      <c r="A55" t="s">
        <v>185</v>
      </c>
      <c r="E55" s="153" t="s">
        <v>207</v>
      </c>
      <c r="F55" s="166">
        <f>F54*F46</f>
        <v>0</v>
      </c>
      <c r="G55" s="166"/>
      <c r="I55" s="174" t="s">
        <v>218</v>
      </c>
      <c r="K55" s="174" t="s">
        <v>220</v>
      </c>
      <c r="M55" s="174" t="s">
        <v>221</v>
      </c>
      <c r="O55" s="174" t="s">
        <v>207</v>
      </c>
      <c r="Q55" s="174" t="s">
        <v>219</v>
      </c>
      <c r="S55" s="174" t="s">
        <v>222</v>
      </c>
      <c r="U55" s="174" t="s">
        <v>223</v>
      </c>
    </row>
    <row r="56" spans="1:23" x14ac:dyDescent="0.35">
      <c r="A56" s="42">
        <v>0.5</v>
      </c>
      <c r="I56" s="157" t="e">
        <f t="shared" ref="I56:I61" ca="1" si="7">I$54*(1-$A56)</f>
        <v>#DIV/0!</v>
      </c>
      <c r="K56" s="63" t="e">
        <f t="shared" ref="K56:K61" ca="1" si="8">K$54*(1-$A56)</f>
        <v>#DIV/0!</v>
      </c>
      <c r="M56" s="157" t="e">
        <f t="shared" ref="M56:M61" ca="1" si="9">M$54*(1-$A56)</f>
        <v>#DIV/0!</v>
      </c>
      <c r="O56" s="157" t="e">
        <f t="shared" ref="O56:O61" ca="1" si="10">O$54*(1-$A56)</f>
        <v>#DIV/0!</v>
      </c>
      <c r="Q56" s="157" t="e">
        <f t="shared" ref="Q56:Q61" ca="1" si="11">Q$54*(1-$A56)</f>
        <v>#DIV/0!</v>
      </c>
      <c r="S56" s="157" t="e">
        <f t="shared" ref="S56:S61" ca="1" si="12">S$54*(1-$A56)</f>
        <v>#DIV/0!</v>
      </c>
      <c r="U56" s="157" t="e">
        <f t="shared" ref="U56:U61" ca="1" si="13">U$54*(1-$A56)</f>
        <v>#DIV/0!</v>
      </c>
    </row>
    <row r="57" spans="1:23" x14ac:dyDescent="0.35">
      <c r="A57" s="42">
        <v>0.9</v>
      </c>
      <c r="I57" s="157" t="e">
        <f t="shared" ca="1" si="7"/>
        <v>#DIV/0!</v>
      </c>
      <c r="K57" s="63" t="e">
        <f t="shared" ca="1" si="8"/>
        <v>#DIV/0!</v>
      </c>
      <c r="M57" s="157" t="e">
        <f t="shared" ca="1" si="9"/>
        <v>#DIV/0!</v>
      </c>
      <c r="O57" s="157" t="e">
        <f t="shared" ca="1" si="10"/>
        <v>#DIV/0!</v>
      </c>
      <c r="Q57" s="157" t="e">
        <f t="shared" ca="1" si="11"/>
        <v>#DIV/0!</v>
      </c>
      <c r="S57" s="157" t="e">
        <f t="shared" ca="1" si="12"/>
        <v>#DIV/0!</v>
      </c>
      <c r="U57" s="157" t="e">
        <f t="shared" ca="1" si="13"/>
        <v>#DIV/0!</v>
      </c>
    </row>
    <row r="58" spans="1:23" x14ac:dyDescent="0.35">
      <c r="A58" s="42">
        <v>0.95</v>
      </c>
      <c r="I58" s="157" t="e">
        <f t="shared" ca="1" si="7"/>
        <v>#DIV/0!</v>
      </c>
      <c r="K58" s="63" t="e">
        <f t="shared" ca="1" si="8"/>
        <v>#DIV/0!</v>
      </c>
      <c r="M58" s="157" t="e">
        <f t="shared" ca="1" si="9"/>
        <v>#DIV/0!</v>
      </c>
      <c r="O58" s="157" t="e">
        <f t="shared" ca="1" si="10"/>
        <v>#DIV/0!</v>
      </c>
      <c r="Q58" s="157" t="e">
        <f t="shared" ca="1" si="11"/>
        <v>#DIV/0!</v>
      </c>
      <c r="S58" s="157" t="e">
        <f t="shared" ca="1" si="12"/>
        <v>#DIV/0!</v>
      </c>
      <c r="U58" s="157" t="e">
        <f t="shared" ca="1" si="13"/>
        <v>#DIV/0!</v>
      </c>
    </row>
    <row r="59" spans="1:23" x14ac:dyDescent="0.35">
      <c r="A59" s="140">
        <v>0.98</v>
      </c>
      <c r="B59" s="46"/>
      <c r="C59" s="46"/>
      <c r="D59" s="46"/>
      <c r="E59" s="46"/>
      <c r="F59" s="46"/>
      <c r="G59" s="46"/>
      <c r="H59" s="46"/>
      <c r="I59" s="155" t="e">
        <f t="shared" ca="1" si="7"/>
        <v>#DIV/0!</v>
      </c>
      <c r="J59" s="46"/>
      <c r="K59" s="141" t="e">
        <f t="shared" ca="1" si="8"/>
        <v>#DIV/0!</v>
      </c>
      <c r="L59" s="46"/>
      <c r="M59" s="141" t="e">
        <f t="shared" ca="1" si="9"/>
        <v>#DIV/0!</v>
      </c>
      <c r="N59" s="46"/>
      <c r="O59" s="156" t="e">
        <f t="shared" ca="1" si="10"/>
        <v>#DIV/0!</v>
      </c>
      <c r="P59" s="46"/>
      <c r="Q59" s="155" t="e">
        <f t="shared" ca="1" si="11"/>
        <v>#DIV/0!</v>
      </c>
      <c r="R59" s="46"/>
      <c r="S59" s="141" t="e">
        <f t="shared" ca="1" si="12"/>
        <v>#DIV/0!</v>
      </c>
      <c r="U59" s="156" t="e">
        <f t="shared" ca="1" si="13"/>
        <v>#DIV/0!</v>
      </c>
      <c r="W59" s="138" t="s">
        <v>225</v>
      </c>
    </row>
    <row r="60" spans="1:23" x14ac:dyDescent="0.35">
      <c r="A60" s="42">
        <v>0.99</v>
      </c>
      <c r="I60" s="157" t="e">
        <f t="shared" ca="1" si="7"/>
        <v>#DIV/0!</v>
      </c>
      <c r="K60" s="63" t="e">
        <f t="shared" ca="1" si="8"/>
        <v>#DIV/0!</v>
      </c>
      <c r="M60" s="63" t="e">
        <f t="shared" ca="1" si="9"/>
        <v>#DIV/0!</v>
      </c>
      <c r="O60" s="63" t="e">
        <f t="shared" ca="1" si="10"/>
        <v>#DIV/0!</v>
      </c>
      <c r="Q60" s="63" t="e">
        <f t="shared" ca="1" si="11"/>
        <v>#DIV/0!</v>
      </c>
      <c r="S60" s="63" t="e">
        <f t="shared" ca="1" si="12"/>
        <v>#DIV/0!</v>
      </c>
      <c r="U60" s="63" t="e">
        <f t="shared" ca="1" si="13"/>
        <v>#DIV/0!</v>
      </c>
    </row>
    <row r="61" spans="1:23" x14ac:dyDescent="0.35">
      <c r="A61" s="154">
        <v>0.997</v>
      </c>
      <c r="I61" s="85" t="e">
        <f t="shared" ca="1" si="7"/>
        <v>#DIV/0!</v>
      </c>
      <c r="J61" s="46"/>
      <c r="K61" s="141" t="e">
        <f t="shared" ca="1" si="8"/>
        <v>#DIV/0!</v>
      </c>
      <c r="L61" s="46"/>
      <c r="M61" s="141" t="e">
        <f t="shared" ca="1" si="9"/>
        <v>#DIV/0!</v>
      </c>
      <c r="N61" s="46"/>
      <c r="O61" s="141" t="e">
        <f t="shared" ca="1" si="10"/>
        <v>#DIV/0!</v>
      </c>
      <c r="P61" s="46"/>
      <c r="Q61" s="85" t="e">
        <f t="shared" ca="1" si="11"/>
        <v>#DIV/0!</v>
      </c>
      <c r="R61" s="46"/>
      <c r="S61" s="141" t="e">
        <f t="shared" ca="1" si="12"/>
        <v>#DIV/0!</v>
      </c>
      <c r="T61" s="46"/>
      <c r="U61" s="141" t="e">
        <f t="shared" ca="1" si="13"/>
        <v>#DIV/0!</v>
      </c>
    </row>
    <row r="63" spans="1:23" x14ac:dyDescent="0.35">
      <c r="A63" s="151" t="s">
        <v>216</v>
      </c>
      <c r="B63" s="152"/>
      <c r="C63" s="152"/>
      <c r="D63" s="152"/>
      <c r="E63" s="152"/>
      <c r="F63" s="166">
        <v>5</v>
      </c>
      <c r="G63" s="166"/>
      <c r="I63" s="139" t="e">
        <f ca="1">$I$38*F63</f>
        <v>#DIV/0!</v>
      </c>
      <c r="K63" s="139" t="e">
        <f ca="1">$K$38*F63</f>
        <v>#DIV/0!</v>
      </c>
      <c r="M63" s="139" t="e">
        <f ca="1">$M$38*F63</f>
        <v>#DIV/0!</v>
      </c>
      <c r="O63" s="139" t="e">
        <f ca="1">$O$38*F63</f>
        <v>#DIV/0!</v>
      </c>
      <c r="Q63" s="139" t="e">
        <f ca="1">$Q$38*F63</f>
        <v>#DIV/0!</v>
      </c>
      <c r="S63" s="139" t="e">
        <f ca="1">$S$38*F63</f>
        <v>#DIV/0!</v>
      </c>
      <c r="U63" s="139" t="e">
        <f ca="1">$U$38*F63</f>
        <v>#DIV/0!</v>
      </c>
    </row>
    <row r="64" spans="1:23" x14ac:dyDescent="0.35">
      <c r="A64" t="s">
        <v>185</v>
      </c>
      <c r="E64" s="153" t="s">
        <v>207</v>
      </c>
      <c r="F64" s="166">
        <f>F63*F46</f>
        <v>0</v>
      </c>
      <c r="G64" s="166"/>
      <c r="I64" s="174" t="s">
        <v>218</v>
      </c>
      <c r="K64" s="174" t="s">
        <v>220</v>
      </c>
      <c r="M64" s="174" t="s">
        <v>221</v>
      </c>
      <c r="O64" s="174" t="s">
        <v>207</v>
      </c>
      <c r="Q64" s="174" t="s">
        <v>219</v>
      </c>
      <c r="S64" s="174" t="s">
        <v>222</v>
      </c>
      <c r="U64" s="174" t="s">
        <v>223</v>
      </c>
    </row>
    <row r="65" spans="1:21" x14ac:dyDescent="0.35">
      <c r="A65" s="42">
        <v>0.5</v>
      </c>
      <c r="I65" s="157" t="e">
        <f t="shared" ref="I65:I70" ca="1" si="14">I$63*(1-$A65)</f>
        <v>#DIV/0!</v>
      </c>
      <c r="K65" s="63" t="e">
        <f t="shared" ref="K65:K70" ca="1" si="15">K$63*(1-$A65)</f>
        <v>#DIV/0!</v>
      </c>
      <c r="M65" s="157" t="e">
        <f t="shared" ref="M65:M70" ca="1" si="16">M$63*(1-$A65)</f>
        <v>#DIV/0!</v>
      </c>
      <c r="O65" s="157" t="e">
        <f t="shared" ref="O65:O70" ca="1" si="17">O$63*(1-$A65)</f>
        <v>#DIV/0!</v>
      </c>
      <c r="Q65" s="157" t="e">
        <f t="shared" ref="Q65:Q70" ca="1" si="18">Q$63*(1-$A65)</f>
        <v>#DIV/0!</v>
      </c>
      <c r="S65" s="157" t="e">
        <f t="shared" ref="S65:S70" ca="1" si="19">S$63*(1-$A65)</f>
        <v>#DIV/0!</v>
      </c>
      <c r="U65" s="157" t="e">
        <f t="shared" ref="U65:U70" ca="1" si="20">U$63*(1-$A65)</f>
        <v>#DIV/0!</v>
      </c>
    </row>
    <row r="66" spans="1:21" x14ac:dyDescent="0.35">
      <c r="A66" s="42">
        <v>0.9</v>
      </c>
      <c r="I66" s="157" t="e">
        <f t="shared" ca="1" si="14"/>
        <v>#DIV/0!</v>
      </c>
      <c r="K66" s="63" t="e">
        <f t="shared" ca="1" si="15"/>
        <v>#DIV/0!</v>
      </c>
      <c r="M66" s="157" t="e">
        <f t="shared" ca="1" si="16"/>
        <v>#DIV/0!</v>
      </c>
      <c r="O66" s="157" t="e">
        <f t="shared" ca="1" si="17"/>
        <v>#DIV/0!</v>
      </c>
      <c r="Q66" s="157" t="e">
        <f t="shared" ca="1" si="18"/>
        <v>#DIV/0!</v>
      </c>
      <c r="S66" s="157" t="e">
        <f t="shared" ca="1" si="19"/>
        <v>#DIV/0!</v>
      </c>
      <c r="U66" s="157" t="e">
        <f t="shared" ca="1" si="20"/>
        <v>#DIV/0!</v>
      </c>
    </row>
    <row r="67" spans="1:21" x14ac:dyDescent="0.35">
      <c r="A67" s="42">
        <v>0.95</v>
      </c>
      <c r="I67" s="157" t="e">
        <f t="shared" ca="1" si="14"/>
        <v>#DIV/0!</v>
      </c>
      <c r="K67" s="63" t="e">
        <f t="shared" ca="1" si="15"/>
        <v>#DIV/0!</v>
      </c>
      <c r="M67" s="157" t="e">
        <f t="shared" ca="1" si="16"/>
        <v>#DIV/0!</v>
      </c>
      <c r="O67" s="157" t="e">
        <f t="shared" ca="1" si="17"/>
        <v>#DIV/0!</v>
      </c>
      <c r="Q67" s="157" t="e">
        <f t="shared" ca="1" si="18"/>
        <v>#DIV/0!</v>
      </c>
      <c r="S67" s="157" t="e">
        <f t="shared" ca="1" si="19"/>
        <v>#DIV/0!</v>
      </c>
      <c r="U67" s="157" t="e">
        <f t="shared" ca="1" si="20"/>
        <v>#DIV/0!</v>
      </c>
    </row>
    <row r="68" spans="1:21" x14ac:dyDescent="0.35">
      <c r="A68" s="140">
        <v>0.98</v>
      </c>
      <c r="B68" s="46"/>
      <c r="C68" s="46"/>
      <c r="D68" s="46"/>
      <c r="E68" s="46"/>
      <c r="F68" s="46"/>
      <c r="G68" s="46"/>
      <c r="H68" s="46"/>
      <c r="I68" s="155" t="e">
        <f t="shared" ca="1" si="14"/>
        <v>#DIV/0!</v>
      </c>
      <c r="J68" s="46"/>
      <c r="K68" s="141" t="e">
        <f t="shared" ca="1" si="15"/>
        <v>#DIV/0!</v>
      </c>
      <c r="L68" s="46"/>
      <c r="M68" s="141" t="e">
        <f t="shared" ca="1" si="16"/>
        <v>#DIV/0!</v>
      </c>
      <c r="N68" s="46"/>
      <c r="O68" s="156" t="e">
        <f t="shared" ca="1" si="17"/>
        <v>#DIV/0!</v>
      </c>
      <c r="P68" s="46"/>
      <c r="Q68" s="155" t="e">
        <f t="shared" ca="1" si="18"/>
        <v>#DIV/0!</v>
      </c>
      <c r="R68" s="46"/>
      <c r="S68" s="141" t="e">
        <f t="shared" ca="1" si="19"/>
        <v>#DIV/0!</v>
      </c>
      <c r="U68" s="156" t="e">
        <f t="shared" ca="1" si="20"/>
        <v>#DIV/0!</v>
      </c>
    </row>
    <row r="69" spans="1:21" x14ac:dyDescent="0.35">
      <c r="A69" s="42">
        <v>0.99</v>
      </c>
      <c r="I69" s="157" t="e">
        <f t="shared" ca="1" si="14"/>
        <v>#DIV/0!</v>
      </c>
      <c r="K69" s="63" t="e">
        <f t="shared" ca="1" si="15"/>
        <v>#DIV/0!</v>
      </c>
      <c r="M69" s="63" t="e">
        <f t="shared" ca="1" si="16"/>
        <v>#DIV/0!</v>
      </c>
      <c r="O69" s="63" t="e">
        <f t="shared" ca="1" si="17"/>
        <v>#DIV/0!</v>
      </c>
      <c r="Q69" s="63" t="e">
        <f t="shared" ca="1" si="18"/>
        <v>#DIV/0!</v>
      </c>
      <c r="S69" s="63" t="e">
        <f t="shared" ca="1" si="19"/>
        <v>#DIV/0!</v>
      </c>
      <c r="U69" s="63" t="e">
        <f t="shared" ca="1" si="20"/>
        <v>#DIV/0!</v>
      </c>
    </row>
    <row r="70" spans="1:21" x14ac:dyDescent="0.35">
      <c r="A70" s="154">
        <v>0.997</v>
      </c>
      <c r="I70" s="85" t="e">
        <f t="shared" ca="1" si="14"/>
        <v>#DIV/0!</v>
      </c>
      <c r="J70" s="46"/>
      <c r="K70" s="141" t="e">
        <f t="shared" ca="1" si="15"/>
        <v>#DIV/0!</v>
      </c>
      <c r="L70" s="46"/>
      <c r="M70" s="141" t="e">
        <f t="shared" ca="1" si="16"/>
        <v>#DIV/0!</v>
      </c>
      <c r="N70" s="46"/>
      <c r="O70" s="141" t="e">
        <f t="shared" ca="1" si="17"/>
        <v>#DIV/0!</v>
      </c>
      <c r="P70" s="46"/>
      <c r="Q70" s="85" t="e">
        <f t="shared" ca="1" si="18"/>
        <v>#DIV/0!</v>
      </c>
      <c r="R70" s="46"/>
      <c r="S70" s="141" t="e">
        <f t="shared" ca="1" si="19"/>
        <v>#DIV/0!</v>
      </c>
      <c r="T70" s="46"/>
      <c r="U70" s="141" t="e">
        <f t="shared" ca="1" si="20"/>
        <v>#DIV/0!</v>
      </c>
    </row>
    <row r="72" spans="1:21" x14ac:dyDescent="0.35">
      <c r="A72" s="151" t="s">
        <v>224</v>
      </c>
      <c r="B72" s="152"/>
      <c r="C72" s="152"/>
      <c r="D72" s="152"/>
      <c r="E72" s="152"/>
      <c r="F72" s="165">
        <v>48</v>
      </c>
      <c r="G72" s="165"/>
      <c r="I72" s="139" t="e">
        <f ca="1">$I$38*F72</f>
        <v>#DIV/0!</v>
      </c>
      <c r="K72" s="139" t="e">
        <f ca="1">$K$38*F72</f>
        <v>#DIV/0!</v>
      </c>
      <c r="M72" s="139" t="e">
        <f ca="1">$M$38*F72</f>
        <v>#DIV/0!</v>
      </c>
      <c r="O72" s="139" t="e">
        <f ca="1">$O$38*F72</f>
        <v>#DIV/0!</v>
      </c>
      <c r="Q72" s="139" t="e">
        <f ca="1">$Q$38*F72</f>
        <v>#DIV/0!</v>
      </c>
      <c r="S72" s="139" t="e">
        <f ca="1">$S$38*F72</f>
        <v>#DIV/0!</v>
      </c>
      <c r="U72" s="139" t="e">
        <f ca="1">$U$38*F72</f>
        <v>#DIV/0!</v>
      </c>
    </row>
    <row r="73" spans="1:21" x14ac:dyDescent="0.35">
      <c r="A73" t="s">
        <v>185</v>
      </c>
      <c r="E73" s="153" t="s">
        <v>207</v>
      </c>
      <c r="F73" s="165">
        <f>F72*F46</f>
        <v>0</v>
      </c>
      <c r="G73" s="165"/>
      <c r="I73" s="174" t="s">
        <v>218</v>
      </c>
      <c r="K73" s="174" t="s">
        <v>220</v>
      </c>
      <c r="M73" s="174" t="s">
        <v>221</v>
      </c>
      <c r="O73" s="174" t="s">
        <v>207</v>
      </c>
      <c r="Q73" s="174" t="s">
        <v>219</v>
      </c>
      <c r="S73" s="174" t="s">
        <v>222</v>
      </c>
      <c r="U73" s="174" t="s">
        <v>223</v>
      </c>
    </row>
    <row r="74" spans="1:21" x14ac:dyDescent="0.35">
      <c r="A74" s="42">
        <v>0.5</v>
      </c>
      <c r="I74" s="157" t="e">
        <f t="shared" ref="I74:I79" ca="1" si="21">I$72*(1-$A74)</f>
        <v>#DIV/0!</v>
      </c>
      <c r="K74" s="157" t="e">
        <f t="shared" ref="K74:K79" ca="1" si="22">K$72*(1-$A74)</f>
        <v>#DIV/0!</v>
      </c>
      <c r="M74" s="157" t="e">
        <f t="shared" ref="M74:M79" ca="1" si="23">M$72*(1-$A74)</f>
        <v>#DIV/0!</v>
      </c>
      <c r="O74" s="157" t="e">
        <f t="shared" ref="O74:O79" ca="1" si="24">O$72*(1-$A74)</f>
        <v>#DIV/0!</v>
      </c>
      <c r="Q74" s="157" t="e">
        <f t="shared" ref="Q74:Q79" ca="1" si="25">Q$72*(1-$A74)</f>
        <v>#DIV/0!</v>
      </c>
      <c r="S74" s="157" t="e">
        <f t="shared" ref="S74:S79" ca="1" si="26">S$72*(1-$A74)</f>
        <v>#DIV/0!</v>
      </c>
      <c r="U74" s="157" t="e">
        <f t="shared" ref="U74:U79" ca="1" si="27">U$72*(1-$A74)</f>
        <v>#DIV/0!</v>
      </c>
    </row>
    <row r="75" spans="1:21" x14ac:dyDescent="0.35">
      <c r="A75" s="42">
        <v>0.9</v>
      </c>
      <c r="I75" s="157" t="e">
        <f t="shared" ca="1" si="21"/>
        <v>#DIV/0!</v>
      </c>
      <c r="K75" s="63" t="e">
        <f t="shared" ca="1" si="22"/>
        <v>#DIV/0!</v>
      </c>
      <c r="M75" s="157" t="e">
        <f t="shared" ca="1" si="23"/>
        <v>#DIV/0!</v>
      </c>
      <c r="O75" s="157" t="e">
        <f t="shared" ca="1" si="24"/>
        <v>#DIV/0!</v>
      </c>
      <c r="Q75" s="157" t="e">
        <f t="shared" ca="1" si="25"/>
        <v>#DIV/0!</v>
      </c>
      <c r="S75" s="157" t="e">
        <f t="shared" ca="1" si="26"/>
        <v>#DIV/0!</v>
      </c>
      <c r="U75" s="157" t="e">
        <f t="shared" ca="1" si="27"/>
        <v>#DIV/0!</v>
      </c>
    </row>
    <row r="76" spans="1:21" x14ac:dyDescent="0.35">
      <c r="A76" s="42">
        <v>0.95</v>
      </c>
      <c r="I76" s="157" t="e">
        <f t="shared" ca="1" si="21"/>
        <v>#DIV/0!</v>
      </c>
      <c r="K76" s="63" t="e">
        <f t="shared" ca="1" si="22"/>
        <v>#DIV/0!</v>
      </c>
      <c r="M76" s="157" t="e">
        <f t="shared" ca="1" si="23"/>
        <v>#DIV/0!</v>
      </c>
      <c r="O76" s="157" t="e">
        <f t="shared" ca="1" si="24"/>
        <v>#DIV/0!</v>
      </c>
      <c r="Q76" s="157" t="e">
        <f t="shared" ca="1" si="25"/>
        <v>#DIV/0!</v>
      </c>
      <c r="S76" s="157" t="e">
        <f t="shared" ca="1" si="26"/>
        <v>#DIV/0!</v>
      </c>
      <c r="U76" s="157" t="e">
        <f t="shared" ca="1" si="27"/>
        <v>#DIV/0!</v>
      </c>
    </row>
    <row r="77" spans="1:21" x14ac:dyDescent="0.35">
      <c r="A77" s="140">
        <v>0.98</v>
      </c>
      <c r="B77" s="46"/>
      <c r="C77" s="46"/>
      <c r="D77" s="46"/>
      <c r="E77" s="46"/>
      <c r="F77" s="46"/>
      <c r="G77" s="46"/>
      <c r="H77" s="46"/>
      <c r="I77" s="155" t="e">
        <f t="shared" ca="1" si="21"/>
        <v>#DIV/0!</v>
      </c>
      <c r="J77" s="46"/>
      <c r="K77" s="141" t="e">
        <f t="shared" ca="1" si="22"/>
        <v>#DIV/0!</v>
      </c>
      <c r="L77" s="46"/>
      <c r="M77" s="156" t="e">
        <f t="shared" ca="1" si="23"/>
        <v>#DIV/0!</v>
      </c>
      <c r="N77" s="46"/>
      <c r="O77" s="156" t="e">
        <f t="shared" ca="1" si="24"/>
        <v>#DIV/0!</v>
      </c>
      <c r="P77" s="46"/>
      <c r="Q77" s="155" t="e">
        <f t="shared" ca="1" si="25"/>
        <v>#DIV/0!</v>
      </c>
      <c r="R77" s="46"/>
      <c r="S77" s="156" t="e">
        <f t="shared" ca="1" si="26"/>
        <v>#DIV/0!</v>
      </c>
      <c r="U77" s="156" t="e">
        <f t="shared" ca="1" si="27"/>
        <v>#DIV/0!</v>
      </c>
    </row>
    <row r="78" spans="1:21" x14ac:dyDescent="0.35">
      <c r="A78" s="42">
        <v>0.99</v>
      </c>
      <c r="I78" s="157" t="e">
        <f t="shared" ca="1" si="21"/>
        <v>#DIV/0!</v>
      </c>
      <c r="K78" s="63" t="e">
        <f t="shared" ca="1" si="22"/>
        <v>#DIV/0!</v>
      </c>
      <c r="M78" s="157" t="e">
        <f t="shared" ca="1" si="23"/>
        <v>#DIV/0!</v>
      </c>
      <c r="O78" s="157" t="e">
        <f t="shared" ca="1" si="24"/>
        <v>#DIV/0!</v>
      </c>
      <c r="Q78" s="157" t="e">
        <f t="shared" ca="1" si="25"/>
        <v>#DIV/0!</v>
      </c>
      <c r="S78" s="157" t="e">
        <f t="shared" ca="1" si="26"/>
        <v>#DIV/0!</v>
      </c>
      <c r="U78" s="157" t="e">
        <f t="shared" ca="1" si="27"/>
        <v>#DIV/0!</v>
      </c>
    </row>
    <row r="79" spans="1:21" x14ac:dyDescent="0.35">
      <c r="A79" s="154">
        <v>0.997</v>
      </c>
      <c r="I79" s="155" t="e">
        <f t="shared" ca="1" si="21"/>
        <v>#DIV/0!</v>
      </c>
      <c r="K79" s="141" t="e">
        <f t="shared" ca="1" si="22"/>
        <v>#DIV/0!</v>
      </c>
      <c r="M79" s="141" t="e">
        <f t="shared" ca="1" si="23"/>
        <v>#DIV/0!</v>
      </c>
      <c r="O79" s="156" t="e">
        <f t="shared" ca="1" si="24"/>
        <v>#DIV/0!</v>
      </c>
      <c r="Q79" s="85" t="e">
        <f t="shared" ca="1" si="25"/>
        <v>#DIV/0!</v>
      </c>
      <c r="S79" s="141" t="e">
        <f t="shared" ca="1" si="26"/>
        <v>#DIV/0!</v>
      </c>
      <c r="U79" s="156" t="e">
        <f t="shared" ca="1" si="27"/>
        <v>#DIV/0!</v>
      </c>
    </row>
    <row r="81" spans="1:21" x14ac:dyDescent="0.35">
      <c r="A81" s="151" t="s">
        <v>227</v>
      </c>
      <c r="B81" s="152"/>
      <c r="C81" s="152"/>
      <c r="D81" s="152"/>
      <c r="E81" s="152"/>
      <c r="F81" s="166">
        <v>1</v>
      </c>
      <c r="G81" s="166"/>
      <c r="I81" s="139" t="e">
        <f ca="1">$I$38*F81</f>
        <v>#DIV/0!</v>
      </c>
      <c r="K81" s="139" t="e">
        <f ca="1">$K$38*F81</f>
        <v>#DIV/0!</v>
      </c>
      <c r="M81" s="139" t="e">
        <f ca="1">$M$38*F81</f>
        <v>#DIV/0!</v>
      </c>
      <c r="O81" s="139" t="e">
        <f ca="1">$O$38*F81</f>
        <v>#DIV/0!</v>
      </c>
      <c r="Q81" s="139" t="e">
        <f ca="1">$Q$38*F81</f>
        <v>#DIV/0!</v>
      </c>
      <c r="S81" s="139" t="e">
        <f ca="1">$S$38*F81</f>
        <v>#DIV/0!</v>
      </c>
      <c r="U81" s="139" t="e">
        <f ca="1">$U$38*F81</f>
        <v>#DIV/0!</v>
      </c>
    </row>
    <row r="82" spans="1:21" x14ac:dyDescent="0.35">
      <c r="A82" t="s">
        <v>185</v>
      </c>
      <c r="E82" s="153" t="s">
        <v>207</v>
      </c>
      <c r="F82" s="166">
        <f>F81*F46</f>
        <v>0</v>
      </c>
      <c r="G82" s="166"/>
      <c r="I82" s="174" t="s">
        <v>218</v>
      </c>
      <c r="K82" s="174" t="s">
        <v>220</v>
      </c>
      <c r="M82" s="174" t="s">
        <v>221</v>
      </c>
      <c r="O82" s="174" t="s">
        <v>207</v>
      </c>
      <c r="Q82" s="174" t="s">
        <v>219</v>
      </c>
      <c r="S82" s="174" t="s">
        <v>222</v>
      </c>
      <c r="U82" s="174" t="s">
        <v>223</v>
      </c>
    </row>
    <row r="83" spans="1:21" x14ac:dyDescent="0.35">
      <c r="A83" s="42">
        <v>0.5</v>
      </c>
      <c r="I83" s="157" t="e">
        <f t="shared" ref="I83:I88" ca="1" si="28">I$81*(1-$A83)</f>
        <v>#DIV/0!</v>
      </c>
      <c r="K83" s="158" t="e">
        <f t="shared" ref="K83:K88" ca="1" si="29">K$81*(1-$A83)</f>
        <v>#DIV/0!</v>
      </c>
      <c r="M83" s="157" t="e">
        <f t="shared" ref="M83:M88" ca="1" si="30">M$81*(1-$A83)</f>
        <v>#DIV/0!</v>
      </c>
      <c r="O83" s="157" t="e">
        <f t="shared" ref="O83:O88" ca="1" si="31">O$81*(1-$A83)</f>
        <v>#DIV/0!</v>
      </c>
      <c r="Q83" s="157" t="e">
        <f t="shared" ref="Q83:Q88" ca="1" si="32">Q$81*(1-$A83)</f>
        <v>#DIV/0!</v>
      </c>
      <c r="S83" s="157" t="e">
        <f t="shared" ref="S83:S88" ca="1" si="33">S$81*(1-$A83)</f>
        <v>#DIV/0!</v>
      </c>
      <c r="U83" s="157" t="e">
        <f t="shared" ref="U83:U88" ca="1" si="34">U$81*(1-$A83)</f>
        <v>#DIV/0!</v>
      </c>
    </row>
    <row r="84" spans="1:21" x14ac:dyDescent="0.35">
      <c r="A84" s="42">
        <v>0.9</v>
      </c>
      <c r="I84" s="157" t="e">
        <f t="shared" ca="1" si="28"/>
        <v>#DIV/0!</v>
      </c>
      <c r="K84" s="158" t="e">
        <f t="shared" ca="1" si="29"/>
        <v>#DIV/0!</v>
      </c>
      <c r="M84" s="157" t="e">
        <f t="shared" ca="1" si="30"/>
        <v>#DIV/0!</v>
      </c>
      <c r="O84" s="157" t="e">
        <f t="shared" ca="1" si="31"/>
        <v>#DIV/0!</v>
      </c>
      <c r="Q84" s="157" t="e">
        <f t="shared" ca="1" si="32"/>
        <v>#DIV/0!</v>
      </c>
      <c r="S84" s="157" t="e">
        <f t="shared" ca="1" si="33"/>
        <v>#DIV/0!</v>
      </c>
      <c r="U84" s="157" t="e">
        <f t="shared" ca="1" si="34"/>
        <v>#DIV/0!</v>
      </c>
    </row>
    <row r="85" spans="1:21" x14ac:dyDescent="0.35">
      <c r="A85" s="42">
        <v>0.95</v>
      </c>
      <c r="I85" s="157" t="e">
        <f t="shared" ca="1" si="28"/>
        <v>#DIV/0!</v>
      </c>
      <c r="K85" s="158" t="e">
        <f t="shared" ca="1" si="29"/>
        <v>#DIV/0!</v>
      </c>
      <c r="M85" s="158" t="e">
        <f t="shared" ca="1" si="30"/>
        <v>#DIV/0!</v>
      </c>
      <c r="O85" s="157" t="e">
        <f t="shared" ca="1" si="31"/>
        <v>#DIV/0!</v>
      </c>
      <c r="Q85" s="158" t="e">
        <f t="shared" ca="1" si="32"/>
        <v>#DIV/0!</v>
      </c>
      <c r="S85" s="158" t="e">
        <f t="shared" ca="1" si="33"/>
        <v>#DIV/0!</v>
      </c>
      <c r="U85" s="158" t="e">
        <f t="shared" ca="1" si="34"/>
        <v>#DIV/0!</v>
      </c>
    </row>
    <row r="86" spans="1:21" x14ac:dyDescent="0.35">
      <c r="A86" s="140">
        <v>0.98</v>
      </c>
      <c r="B86" s="46"/>
      <c r="C86" s="46"/>
      <c r="D86" s="46"/>
      <c r="E86" s="46"/>
      <c r="F86" s="46"/>
      <c r="G86" s="46"/>
      <c r="H86" s="46"/>
      <c r="I86" s="155" t="e">
        <f t="shared" ca="1" si="28"/>
        <v>#DIV/0!</v>
      </c>
      <c r="J86" s="46"/>
      <c r="K86" s="164" t="e">
        <f t="shared" ca="1" si="29"/>
        <v>#DIV/0!</v>
      </c>
      <c r="L86" s="46"/>
      <c r="M86" s="164" t="e">
        <f t="shared" ca="1" si="30"/>
        <v>#DIV/0!</v>
      </c>
      <c r="N86" s="46"/>
      <c r="O86" s="164" t="e">
        <f t="shared" ca="1" si="31"/>
        <v>#DIV/0!</v>
      </c>
      <c r="P86" s="46"/>
      <c r="Q86" s="163" t="e">
        <f t="shared" ca="1" si="32"/>
        <v>#DIV/0!</v>
      </c>
      <c r="R86" s="46"/>
      <c r="S86" s="164" t="e">
        <f t="shared" ca="1" si="33"/>
        <v>#DIV/0!</v>
      </c>
      <c r="U86" s="164" t="e">
        <f t="shared" ca="1" si="34"/>
        <v>#DIV/0!</v>
      </c>
    </row>
    <row r="87" spans="1:21" x14ac:dyDescent="0.35">
      <c r="A87" s="42">
        <v>0.99</v>
      </c>
      <c r="I87" s="158" t="e">
        <f t="shared" ca="1" si="28"/>
        <v>#DIV/0!</v>
      </c>
      <c r="K87" s="158" t="e">
        <f t="shared" ca="1" si="29"/>
        <v>#DIV/0!</v>
      </c>
      <c r="M87" s="158" t="e">
        <f t="shared" ca="1" si="30"/>
        <v>#DIV/0!</v>
      </c>
      <c r="O87" s="158" t="e">
        <f t="shared" ca="1" si="31"/>
        <v>#DIV/0!</v>
      </c>
      <c r="Q87" s="158" t="e">
        <f t="shared" ca="1" si="32"/>
        <v>#DIV/0!</v>
      </c>
      <c r="S87" s="158" t="e">
        <f t="shared" ca="1" si="33"/>
        <v>#DIV/0!</v>
      </c>
      <c r="U87" s="158" t="e">
        <f t="shared" ca="1" si="34"/>
        <v>#DIV/0!</v>
      </c>
    </row>
    <row r="88" spans="1:21" x14ac:dyDescent="0.35">
      <c r="A88" s="154">
        <v>0.997</v>
      </c>
      <c r="I88" s="85" t="e">
        <f t="shared" ca="1" si="28"/>
        <v>#DIV/0!</v>
      </c>
      <c r="J88" s="46"/>
      <c r="K88" s="164" t="e">
        <f t="shared" ca="1" si="29"/>
        <v>#DIV/0!</v>
      </c>
      <c r="L88" s="46"/>
      <c r="M88" s="141" t="e">
        <f t="shared" ca="1" si="30"/>
        <v>#DIV/0!</v>
      </c>
      <c r="N88" s="46"/>
      <c r="O88" s="164" t="e">
        <f t="shared" ca="1" si="31"/>
        <v>#DIV/0!</v>
      </c>
      <c r="P88" s="46"/>
      <c r="Q88" s="163" t="e">
        <f t="shared" ca="1" si="32"/>
        <v>#DIV/0!</v>
      </c>
      <c r="R88" s="46"/>
      <c r="S88" s="164" t="e">
        <f t="shared" ca="1" si="33"/>
        <v>#DIV/0!</v>
      </c>
      <c r="T88" s="46"/>
      <c r="U88" s="164" t="e">
        <f t="shared" ca="1" si="34"/>
        <v>#DIV/0!</v>
      </c>
    </row>
    <row r="90" spans="1:21" x14ac:dyDescent="0.35">
      <c r="A90" s="151" t="s">
        <v>228</v>
      </c>
      <c r="B90" s="152"/>
      <c r="C90" s="152"/>
      <c r="D90" s="152"/>
      <c r="E90" s="152"/>
      <c r="F90" s="166">
        <v>23</v>
      </c>
      <c r="G90" s="166"/>
      <c r="I90" s="139" t="e">
        <f ca="1">$I$38*F90</f>
        <v>#DIV/0!</v>
      </c>
      <c r="K90" s="139" t="e">
        <f ca="1">$K$38*F90</f>
        <v>#DIV/0!</v>
      </c>
      <c r="M90" s="139" t="e">
        <f ca="1">$M$38*F90</f>
        <v>#DIV/0!</v>
      </c>
      <c r="O90" s="139" t="e">
        <f ca="1">$O$38*F90</f>
        <v>#DIV/0!</v>
      </c>
      <c r="Q90" s="139" t="e">
        <f ca="1">$Q$38*F90</f>
        <v>#DIV/0!</v>
      </c>
      <c r="S90" s="139" t="e">
        <f ca="1">$S$38*F90</f>
        <v>#DIV/0!</v>
      </c>
      <c r="U90" s="139" t="e">
        <f ca="1">$U$38*F90</f>
        <v>#DIV/0!</v>
      </c>
    </row>
    <row r="91" spans="1:21" x14ac:dyDescent="0.35">
      <c r="A91" t="s">
        <v>185</v>
      </c>
      <c r="E91" s="153" t="s">
        <v>207</v>
      </c>
      <c r="F91" s="166">
        <f>F90*F46</f>
        <v>0</v>
      </c>
      <c r="G91" s="166"/>
      <c r="I91" s="174" t="s">
        <v>218</v>
      </c>
      <c r="K91" s="174" t="s">
        <v>220</v>
      </c>
      <c r="M91" s="174" t="s">
        <v>221</v>
      </c>
      <c r="O91" s="174" t="s">
        <v>207</v>
      </c>
      <c r="Q91" s="174" t="s">
        <v>219</v>
      </c>
      <c r="S91" s="174" t="s">
        <v>222</v>
      </c>
      <c r="U91" s="174" t="s">
        <v>223</v>
      </c>
    </row>
    <row r="92" spans="1:21" x14ac:dyDescent="0.35">
      <c r="A92" s="42">
        <v>0.5</v>
      </c>
      <c r="I92" s="157" t="e">
        <f t="shared" ref="I92:I97" ca="1" si="35">I$90*(1-$A92)</f>
        <v>#DIV/0!</v>
      </c>
      <c r="K92" s="158" t="e">
        <f t="shared" ref="K92:K97" ca="1" si="36">K$90*(1-$A92)</f>
        <v>#DIV/0!</v>
      </c>
      <c r="M92" s="157" t="e">
        <f t="shared" ref="M92:M97" ca="1" si="37">M$90*(1-$A92)</f>
        <v>#DIV/0!</v>
      </c>
      <c r="O92" s="157" t="e">
        <f t="shared" ref="O92:O97" ca="1" si="38">O$90*(1-$A92)</f>
        <v>#DIV/0!</v>
      </c>
      <c r="Q92" s="157" t="e">
        <f t="shared" ref="Q92:Q97" ca="1" si="39">Q$90*(1-$A92)</f>
        <v>#DIV/0!</v>
      </c>
      <c r="S92" s="157" t="e">
        <f t="shared" ref="S92:S97" ca="1" si="40">S$90*(1-$A92)</f>
        <v>#DIV/0!</v>
      </c>
      <c r="U92" s="157" t="e">
        <f t="shared" ref="U92:U97" ca="1" si="41">U$90*(1-$A92)</f>
        <v>#DIV/0!</v>
      </c>
    </row>
    <row r="93" spans="1:21" x14ac:dyDescent="0.35">
      <c r="A93" s="42">
        <v>0.9</v>
      </c>
      <c r="I93" s="157" t="e">
        <f t="shared" ca="1" si="35"/>
        <v>#DIV/0!</v>
      </c>
      <c r="K93" s="158" t="e">
        <f t="shared" ca="1" si="36"/>
        <v>#DIV/0!</v>
      </c>
      <c r="M93" s="157" t="e">
        <f t="shared" ca="1" si="37"/>
        <v>#DIV/0!</v>
      </c>
      <c r="O93" s="157" t="e">
        <f t="shared" ca="1" si="38"/>
        <v>#DIV/0!</v>
      </c>
      <c r="Q93" s="157" t="e">
        <f t="shared" ca="1" si="39"/>
        <v>#DIV/0!</v>
      </c>
      <c r="S93" s="157" t="e">
        <f t="shared" ca="1" si="40"/>
        <v>#DIV/0!</v>
      </c>
      <c r="U93" s="157" t="e">
        <f t="shared" ca="1" si="41"/>
        <v>#DIV/0!</v>
      </c>
    </row>
    <row r="94" spans="1:21" x14ac:dyDescent="0.35">
      <c r="A94" s="42">
        <v>0.95</v>
      </c>
      <c r="I94" s="157" t="e">
        <f t="shared" ca="1" si="35"/>
        <v>#DIV/0!</v>
      </c>
      <c r="K94" s="158" t="e">
        <f t="shared" ca="1" si="36"/>
        <v>#DIV/0!</v>
      </c>
      <c r="M94" s="157" t="e">
        <f t="shared" ca="1" si="37"/>
        <v>#DIV/0!</v>
      </c>
      <c r="O94" s="157" t="e">
        <f t="shared" ca="1" si="38"/>
        <v>#DIV/0!</v>
      </c>
      <c r="Q94" s="157" t="e">
        <f t="shared" ca="1" si="39"/>
        <v>#DIV/0!</v>
      </c>
      <c r="S94" s="157" t="e">
        <f t="shared" ca="1" si="40"/>
        <v>#DIV/0!</v>
      </c>
      <c r="U94" s="157" t="e">
        <f t="shared" ca="1" si="41"/>
        <v>#DIV/0!</v>
      </c>
    </row>
    <row r="95" spans="1:21" x14ac:dyDescent="0.35">
      <c r="A95" s="140">
        <v>0.98</v>
      </c>
      <c r="B95" s="46"/>
      <c r="C95" s="46"/>
      <c r="D95" s="46"/>
      <c r="E95" s="46"/>
      <c r="F95" s="46"/>
      <c r="G95" s="46"/>
      <c r="H95" s="46"/>
      <c r="I95" s="155" t="e">
        <f t="shared" ca="1" si="35"/>
        <v>#DIV/0!</v>
      </c>
      <c r="J95" s="46"/>
      <c r="K95" s="163" t="e">
        <f t="shared" ca="1" si="36"/>
        <v>#DIV/0!</v>
      </c>
      <c r="L95" s="46"/>
      <c r="M95" s="155" t="e">
        <f t="shared" ca="1" si="37"/>
        <v>#DIV/0!</v>
      </c>
      <c r="N95" s="46"/>
      <c r="O95" s="155" t="e">
        <f t="shared" ca="1" si="38"/>
        <v>#DIV/0!</v>
      </c>
      <c r="P95" s="46"/>
      <c r="Q95" s="155" t="e">
        <f t="shared" ca="1" si="39"/>
        <v>#DIV/0!</v>
      </c>
      <c r="R95" s="46"/>
      <c r="S95" s="155" t="e">
        <f t="shared" ca="1" si="40"/>
        <v>#DIV/0!</v>
      </c>
      <c r="U95" s="155" t="e">
        <f t="shared" ca="1" si="41"/>
        <v>#DIV/0!</v>
      </c>
    </row>
    <row r="96" spans="1:21" x14ac:dyDescent="0.35">
      <c r="A96" s="42">
        <v>0.99</v>
      </c>
      <c r="I96" s="157" t="e">
        <f t="shared" ca="1" si="35"/>
        <v>#DIV/0!</v>
      </c>
      <c r="K96" s="158" t="e">
        <f t="shared" ca="1" si="36"/>
        <v>#DIV/0!</v>
      </c>
      <c r="M96" s="157" t="e">
        <f t="shared" ca="1" si="37"/>
        <v>#DIV/0!</v>
      </c>
      <c r="O96" s="157" t="e">
        <f t="shared" ca="1" si="38"/>
        <v>#DIV/0!</v>
      </c>
      <c r="Q96" s="157" t="e">
        <f t="shared" ca="1" si="39"/>
        <v>#DIV/0!</v>
      </c>
      <c r="S96" s="157" t="e">
        <f t="shared" ca="1" si="40"/>
        <v>#DIV/0!</v>
      </c>
      <c r="U96" s="157" t="e">
        <f t="shared" ca="1" si="41"/>
        <v>#DIV/0!</v>
      </c>
    </row>
    <row r="97" spans="1:21" x14ac:dyDescent="0.35">
      <c r="A97" s="154">
        <v>0.997</v>
      </c>
      <c r="I97" s="155" t="e">
        <f t="shared" ca="1" si="35"/>
        <v>#DIV/0!</v>
      </c>
      <c r="J97" s="46"/>
      <c r="K97" s="163" t="e">
        <f t="shared" ca="1" si="36"/>
        <v>#DIV/0!</v>
      </c>
      <c r="L97" s="46"/>
      <c r="M97" s="141" t="e">
        <f t="shared" ca="1" si="37"/>
        <v>#DIV/0!</v>
      </c>
      <c r="N97" s="46"/>
      <c r="O97" s="85" t="e">
        <f t="shared" ca="1" si="38"/>
        <v>#DIV/0!</v>
      </c>
      <c r="P97" s="46"/>
      <c r="Q97" s="85" t="e">
        <f t="shared" ca="1" si="39"/>
        <v>#DIV/0!</v>
      </c>
      <c r="R97" s="46"/>
      <c r="S97" s="163" t="e">
        <f t="shared" ca="1" si="40"/>
        <v>#DIV/0!</v>
      </c>
      <c r="T97" s="46"/>
      <c r="U97" s="164" t="e">
        <f t="shared" ca="1" si="41"/>
        <v>#DIV/0!</v>
      </c>
    </row>
  </sheetData>
  <mergeCells count="3">
    <mergeCell ref="C3:D3"/>
    <mergeCell ref="C4:D4"/>
    <mergeCell ref="F12:F13"/>
  </mergeCells>
  <dataValidations count="1">
    <dataValidation type="list" allowBlank="1" showInputMessage="1" showErrorMessage="1" sqref="P25" xr:uid="{FB9CA671-EE35-4F9D-94AC-5FE57AD1878E}">
      <formula1>"diving bird, sea mammal, fish"</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654DD-93DF-45F8-83A2-6904845D7A37}">
  <sheetPr codeName="Sheet11"/>
  <dimension ref="A1:W97"/>
  <sheetViews>
    <sheetView topLeftCell="A25" zoomScale="120" zoomScaleNormal="120" workbookViewId="0">
      <selection activeCell="I37" sqref="I37:U37"/>
    </sheetView>
  </sheetViews>
  <sheetFormatPr defaultRowHeight="14.5" x14ac:dyDescent="0.35"/>
  <cols>
    <col min="1" max="1" width="30.26953125" customWidth="1"/>
    <col min="2" max="2" width="7.81640625" customWidth="1"/>
    <col min="5" max="5" width="11.54296875" customWidth="1"/>
    <col min="6" max="6" width="13.7265625" customWidth="1"/>
    <col min="7" max="7" width="7.26953125" customWidth="1"/>
    <col min="8" max="8" width="6.26953125" customWidth="1"/>
    <col min="9" max="9" width="10.453125" bestFit="1" customWidth="1"/>
    <col min="10" max="10" width="2.7265625" customWidth="1"/>
    <col min="11" max="11" width="10" customWidth="1"/>
    <col min="12" max="12" width="3" customWidth="1"/>
    <col min="13" max="13" width="10.453125" customWidth="1"/>
    <col min="14" max="14" width="3" customWidth="1"/>
    <col min="15" max="15" width="10.453125" customWidth="1"/>
    <col min="16" max="16" width="3.26953125" customWidth="1"/>
    <col min="17" max="17" width="9.1796875" customWidth="1"/>
    <col min="18" max="18" width="3.81640625" customWidth="1"/>
    <col min="20" max="20" width="3.7265625" customWidth="1"/>
  </cols>
  <sheetData>
    <row r="1" spans="1:11" ht="26" x14ac:dyDescent="0.35">
      <c r="A1" s="232" t="s">
        <v>201</v>
      </c>
      <c r="B1" s="181" t="s">
        <v>238</v>
      </c>
      <c r="C1" s="182" t="s">
        <v>237</v>
      </c>
      <c r="D1" s="231" t="s">
        <v>248</v>
      </c>
      <c r="E1" s="183" t="s">
        <v>240</v>
      </c>
      <c r="F1" s="180" t="s">
        <v>241</v>
      </c>
      <c r="G1" s="237" t="s">
        <v>52</v>
      </c>
      <c r="H1" s="238" t="s">
        <v>35</v>
      </c>
    </row>
    <row r="2" spans="1:11" x14ac:dyDescent="0.35">
      <c r="A2" s="159" t="s">
        <v>192</v>
      </c>
      <c r="B2" s="159">
        <f>Devices!C2</f>
        <v>0</v>
      </c>
      <c r="C2" s="159"/>
      <c r="D2" s="145"/>
      <c r="E2" s="145"/>
      <c r="G2" s="239">
        <v>0</v>
      </c>
      <c r="H2" s="240">
        <v>0.69</v>
      </c>
    </row>
    <row r="3" spans="1:11" x14ac:dyDescent="0.35">
      <c r="F3" s="54" t="s">
        <v>53</v>
      </c>
      <c r="G3" s="241">
        <v>0.05</v>
      </c>
      <c r="H3" s="242">
        <v>0.73</v>
      </c>
      <c r="I3" s="70"/>
    </row>
    <row r="4" spans="1:11" x14ac:dyDescent="0.35">
      <c r="G4" s="241">
        <f t="shared" ref="G4:G22" si="0">G3+0.05</f>
        <v>0.1</v>
      </c>
      <c r="H4" s="242">
        <v>0.79</v>
      </c>
      <c r="K4" s="70"/>
    </row>
    <row r="5" spans="1:11" x14ac:dyDescent="0.35">
      <c r="A5" s="1" t="s">
        <v>45</v>
      </c>
      <c r="B5" s="2"/>
      <c r="C5" s="3" t="s">
        <v>46</v>
      </c>
      <c r="D5" s="3" t="s">
        <v>47</v>
      </c>
      <c r="E5" s="4"/>
      <c r="G5" s="241">
        <f t="shared" si="0"/>
        <v>0.15000000000000002</v>
      </c>
      <c r="H5" s="242">
        <v>0.88</v>
      </c>
      <c r="K5" s="83"/>
    </row>
    <row r="6" spans="1:11" x14ac:dyDescent="0.35">
      <c r="A6" s="4" t="s">
        <v>48</v>
      </c>
      <c r="B6" s="2"/>
      <c r="C6" s="15"/>
      <c r="D6" s="25">
        <f>Devices!C25</f>
        <v>0</v>
      </c>
      <c r="E6" s="26">
        <f>Devices!C26</f>
        <v>0</v>
      </c>
      <c r="G6" s="241">
        <f t="shared" si="0"/>
        <v>0.2</v>
      </c>
      <c r="H6" s="242">
        <v>0.96</v>
      </c>
      <c r="K6" s="83"/>
    </row>
    <row r="7" spans="1:11" x14ac:dyDescent="0.35">
      <c r="A7" s="4" t="s">
        <v>50</v>
      </c>
      <c r="B7" s="2"/>
      <c r="C7" s="9" t="s">
        <v>51</v>
      </c>
      <c r="D7" s="9" t="s">
        <v>6</v>
      </c>
      <c r="E7" s="27" t="b">
        <f>IF(D6="years",E6*365*24*3600,IF(D6="months",E6*30.4*24*3600,IF(D6="weeks",E6*7*24*3600)))</f>
        <v>0</v>
      </c>
      <c r="G7" s="241">
        <f t="shared" si="0"/>
        <v>0.25</v>
      </c>
      <c r="H7" s="242">
        <v>1</v>
      </c>
      <c r="K7" s="83"/>
    </row>
    <row r="8" spans="1:11" x14ac:dyDescent="0.35">
      <c r="A8" s="4"/>
      <c r="B8" s="2"/>
      <c r="C8" s="3"/>
      <c r="D8" s="3"/>
      <c r="E8" s="28"/>
      <c r="G8" s="241">
        <f t="shared" si="0"/>
        <v>0.3</v>
      </c>
      <c r="H8" s="242">
        <v>0.98</v>
      </c>
      <c r="K8" s="83"/>
    </row>
    <row r="9" spans="1:11" x14ac:dyDescent="0.35">
      <c r="A9" s="1" t="s">
        <v>21</v>
      </c>
      <c r="B9" s="2"/>
      <c r="C9" s="3"/>
      <c r="D9" s="5"/>
      <c r="E9" s="55"/>
      <c r="F9" s="47"/>
      <c r="G9" s="241">
        <f t="shared" si="0"/>
        <v>0.35</v>
      </c>
      <c r="H9" s="242">
        <v>0.92</v>
      </c>
      <c r="K9" s="83"/>
    </row>
    <row r="10" spans="1:11" x14ac:dyDescent="0.35">
      <c r="A10" s="4" t="s">
        <v>91</v>
      </c>
      <c r="B10" s="2"/>
      <c r="C10" s="14" t="s">
        <v>22</v>
      </c>
      <c r="D10" s="15" t="s">
        <v>23</v>
      </c>
      <c r="E10" s="16">
        <f>Devices!C4</f>
        <v>0</v>
      </c>
      <c r="F10" s="47"/>
      <c r="G10" s="241">
        <f t="shared" si="0"/>
        <v>0.39999999999999997</v>
      </c>
      <c r="H10" s="242">
        <v>0.85</v>
      </c>
      <c r="K10" s="83"/>
    </row>
    <row r="11" spans="1:11" x14ac:dyDescent="0.35">
      <c r="A11" s="4" t="s">
        <v>89</v>
      </c>
      <c r="B11" s="2"/>
      <c r="C11" s="9" t="s">
        <v>25</v>
      </c>
      <c r="D11" s="35" t="s">
        <v>23</v>
      </c>
      <c r="E11" s="245">
        <f>2*radius</f>
        <v>0</v>
      </c>
      <c r="F11" s="47"/>
      <c r="G11" s="241">
        <f t="shared" si="0"/>
        <v>0.44999999999999996</v>
      </c>
      <c r="H11" s="242">
        <v>0.8</v>
      </c>
      <c r="K11" s="83"/>
    </row>
    <row r="12" spans="1:11" x14ac:dyDescent="0.35">
      <c r="A12" s="4" t="s">
        <v>26</v>
      </c>
      <c r="B12" s="2"/>
      <c r="C12" s="14" t="s">
        <v>27</v>
      </c>
      <c r="D12" s="15" t="s">
        <v>23</v>
      </c>
      <c r="E12" s="146">
        <f>Devices!C15</f>
        <v>0</v>
      </c>
      <c r="F12" s="47"/>
      <c r="G12" s="241">
        <f t="shared" si="0"/>
        <v>0.49999999999999994</v>
      </c>
      <c r="H12" s="242">
        <v>0.75</v>
      </c>
      <c r="K12" s="83"/>
    </row>
    <row r="13" spans="1:11" x14ac:dyDescent="0.35">
      <c r="A13" s="4" t="s">
        <v>28</v>
      </c>
      <c r="B13" s="2"/>
      <c r="C13" s="17" t="s">
        <v>29</v>
      </c>
      <c r="D13" s="15"/>
      <c r="E13" s="18">
        <f>Devices!C6</f>
        <v>0</v>
      </c>
      <c r="F13" s="47"/>
      <c r="G13" s="241">
        <f t="shared" si="0"/>
        <v>0.54999999999999993</v>
      </c>
      <c r="H13" s="242">
        <v>0.7</v>
      </c>
      <c r="K13" s="86"/>
    </row>
    <row r="14" spans="1:11" x14ac:dyDescent="0.35">
      <c r="A14" s="13" t="s">
        <v>30</v>
      </c>
      <c r="B14" s="49"/>
      <c r="C14" s="51" t="s">
        <v>31</v>
      </c>
      <c r="D14" s="51" t="s">
        <v>23</v>
      </c>
      <c r="E14" s="72">
        <f>Devices!C17</f>
        <v>0</v>
      </c>
      <c r="G14" s="241">
        <f t="shared" si="0"/>
        <v>0.6</v>
      </c>
      <c r="H14" s="242">
        <v>0.64</v>
      </c>
      <c r="K14" s="83"/>
    </row>
    <row r="15" spans="1:11" x14ac:dyDescent="0.35">
      <c r="A15" s="13" t="s">
        <v>92</v>
      </c>
      <c r="B15" s="49"/>
      <c r="C15" s="57" t="s">
        <v>32</v>
      </c>
      <c r="D15" s="56" t="s">
        <v>33</v>
      </c>
      <c r="E15" s="72">
        <f>Devices!C18</f>
        <v>0</v>
      </c>
      <c r="G15" s="241">
        <f t="shared" si="0"/>
        <v>0.65</v>
      </c>
      <c r="H15" s="242">
        <v>0.57999999999999996</v>
      </c>
      <c r="K15" s="83"/>
    </row>
    <row r="16" spans="1:11" x14ac:dyDescent="0.35">
      <c r="A16" s="13" t="s">
        <v>34</v>
      </c>
      <c r="B16" s="49"/>
      <c r="C16" s="57" t="s">
        <v>35</v>
      </c>
      <c r="D16" s="56"/>
      <c r="E16" s="73">
        <v>0.2</v>
      </c>
      <c r="F16" s="58" t="s">
        <v>76</v>
      </c>
      <c r="G16" s="241">
        <f t="shared" si="0"/>
        <v>0.70000000000000007</v>
      </c>
      <c r="H16" s="242">
        <v>0.52</v>
      </c>
      <c r="K16" s="83"/>
    </row>
    <row r="17" spans="1:21" x14ac:dyDescent="0.35">
      <c r="A17" s="4" t="s">
        <v>36</v>
      </c>
      <c r="B17" s="2"/>
      <c r="C17" s="17" t="s">
        <v>37</v>
      </c>
      <c r="D17" s="15" t="s">
        <v>38</v>
      </c>
      <c r="E17" s="19">
        <f>Devices!C20</f>
        <v>0</v>
      </c>
      <c r="F17" s="59"/>
      <c r="G17" s="241">
        <f t="shared" si="0"/>
        <v>0.75000000000000011</v>
      </c>
      <c r="H17" s="242">
        <v>0.47</v>
      </c>
      <c r="K17" s="83"/>
    </row>
    <row r="18" spans="1:21" x14ac:dyDescent="0.35">
      <c r="A18" s="4" t="s">
        <v>39</v>
      </c>
      <c r="B18" s="2"/>
      <c r="C18" s="17" t="s">
        <v>40</v>
      </c>
      <c r="D18" s="15"/>
      <c r="E18" s="21">
        <f>Devices!C21</f>
        <v>0</v>
      </c>
      <c r="F18" s="47"/>
      <c r="G18" s="241">
        <f t="shared" si="0"/>
        <v>0.80000000000000016</v>
      </c>
      <c r="H18" s="242">
        <v>0.41</v>
      </c>
      <c r="K18" s="83"/>
    </row>
    <row r="19" spans="1:21" x14ac:dyDescent="0.35">
      <c r="A19" s="4"/>
      <c r="B19" s="2"/>
      <c r="C19" s="3"/>
      <c r="D19" s="5"/>
      <c r="E19" s="33"/>
      <c r="F19" s="47"/>
      <c r="G19" s="241">
        <f t="shared" si="0"/>
        <v>0.8500000000000002</v>
      </c>
      <c r="H19" s="242">
        <v>0.37</v>
      </c>
      <c r="K19" s="83"/>
    </row>
    <row r="20" spans="1:21" x14ac:dyDescent="0.35">
      <c r="E20" s="43"/>
      <c r="G20" s="241">
        <f t="shared" si="0"/>
        <v>0.90000000000000024</v>
      </c>
      <c r="H20" s="242">
        <v>0.3</v>
      </c>
      <c r="K20" s="83"/>
    </row>
    <row r="21" spans="1:21" x14ac:dyDescent="0.35">
      <c r="A21" s="50" t="s">
        <v>84</v>
      </c>
      <c r="E21" s="43"/>
      <c r="G21" s="241">
        <f t="shared" si="0"/>
        <v>0.95000000000000029</v>
      </c>
      <c r="H21" s="242">
        <v>0.24</v>
      </c>
      <c r="K21" s="83"/>
    </row>
    <row r="22" spans="1:21" ht="15" thickBot="1" x14ac:dyDescent="0.4">
      <c r="A22" s="4" t="s">
        <v>269</v>
      </c>
      <c r="B22" s="2"/>
      <c r="C22" s="14" t="s">
        <v>270</v>
      </c>
      <c r="D22" s="15" t="s">
        <v>262</v>
      </c>
      <c r="E22" s="18">
        <f>Devices!C11</f>
        <v>0</v>
      </c>
      <c r="G22" s="243">
        <f t="shared" si="0"/>
        <v>1.0000000000000002</v>
      </c>
      <c r="H22" s="244">
        <v>0</v>
      </c>
      <c r="K22" s="83"/>
    </row>
    <row r="23" spans="1:21" x14ac:dyDescent="0.35">
      <c r="A23" s="4"/>
      <c r="B23" s="2"/>
      <c r="C23" s="3"/>
      <c r="D23" s="5"/>
      <c r="E23" s="4"/>
      <c r="K23" s="83"/>
    </row>
    <row r="24" spans="1:21" x14ac:dyDescent="0.35">
      <c r="K24" s="70"/>
    </row>
    <row r="25" spans="1:21" x14ac:dyDescent="0.35">
      <c r="A25" s="1" t="s">
        <v>42</v>
      </c>
      <c r="G25" s="60"/>
      <c r="H25" s="60"/>
    </row>
    <row r="26" spans="1:21" s="23" customFormat="1" ht="24.5" thickBot="1" x14ac:dyDescent="0.4">
      <c r="A26" s="8" t="s">
        <v>90</v>
      </c>
      <c r="B26" s="22"/>
      <c r="C26" s="4"/>
      <c r="D26" s="3"/>
      <c r="E26" s="3"/>
      <c r="F26" s="3"/>
      <c r="G26" s="3"/>
      <c r="H26" s="3"/>
      <c r="I26" s="169" t="s">
        <v>77</v>
      </c>
      <c r="J26" s="52"/>
      <c r="K26" s="169" t="s">
        <v>143</v>
      </c>
      <c r="L26" s="92"/>
      <c r="M26" s="169" t="s">
        <v>107</v>
      </c>
      <c r="N26" s="52"/>
      <c r="O26" s="169" t="s">
        <v>78</v>
      </c>
      <c r="P26" s="53"/>
      <c r="Q26" s="169" t="s">
        <v>188</v>
      </c>
      <c r="R26"/>
      <c r="S26" s="169" t="s">
        <v>189</v>
      </c>
      <c r="T26"/>
      <c r="U26" s="169" t="s">
        <v>199</v>
      </c>
    </row>
    <row r="27" spans="1:21" s="6" customFormat="1" ht="15" thickBot="1" x14ac:dyDescent="0.4">
      <c r="A27" s="4" t="s">
        <v>88</v>
      </c>
      <c r="B27" s="2"/>
      <c r="C27" s="177" t="s">
        <v>16</v>
      </c>
      <c r="D27" s="177" t="s">
        <v>266</v>
      </c>
      <c r="E27" s="3"/>
      <c r="F27" s="3"/>
      <c r="G27" s="3"/>
      <c r="H27" s="3"/>
      <c r="I27" s="74" t="e">
        <f ca="1">Density_1!G21</f>
        <v>#NAME?</v>
      </c>
      <c r="J27" s="75"/>
      <c r="K27" s="74" t="e">
        <f ca="1">Density_1!I21</f>
        <v>#NAME?</v>
      </c>
      <c r="L27" s="75"/>
      <c r="M27" s="74" t="e">
        <f ca="1">Density_1!K21</f>
        <v>#NAME?</v>
      </c>
      <c r="N27" s="75"/>
      <c r="O27" s="74" t="e">
        <f ca="1">Density_1!M21</f>
        <v>#NAME?</v>
      </c>
      <c r="P27" s="76"/>
      <c r="Q27" s="74" t="e">
        <f ca="1">Density_1!O21</f>
        <v>#NAME?</v>
      </c>
      <c r="R27" s="24"/>
      <c r="S27" s="74" t="e">
        <f ca="1">Density_1!Q21</f>
        <v>#NAME?</v>
      </c>
      <c r="U27" s="74" t="e">
        <f ca="1">Density_1!S21</f>
        <v>#NAME?</v>
      </c>
    </row>
    <row r="28" spans="1:21" x14ac:dyDescent="0.35">
      <c r="A28" s="4" t="s">
        <v>103</v>
      </c>
      <c r="C28" s="3"/>
      <c r="I28" s="170" t="s">
        <v>102</v>
      </c>
      <c r="J28" s="43"/>
      <c r="K28" s="170" t="s">
        <v>102</v>
      </c>
      <c r="L28" s="43"/>
      <c r="M28" s="170" t="s">
        <v>102</v>
      </c>
      <c r="N28" s="43"/>
      <c r="O28" s="170" t="s">
        <v>102</v>
      </c>
      <c r="P28" s="43"/>
      <c r="Q28" s="170" t="s">
        <v>102</v>
      </c>
      <c r="S28" s="170" t="s">
        <v>102</v>
      </c>
      <c r="U28" s="170" t="s">
        <v>102</v>
      </c>
    </row>
    <row r="29" spans="1:21" s="6" customFormat="1" x14ac:dyDescent="0.35">
      <c r="A29" s="4" t="s">
        <v>80</v>
      </c>
      <c r="B29" s="2"/>
      <c r="C29" s="171" t="s">
        <v>43</v>
      </c>
      <c r="D29" s="171" t="s">
        <v>23</v>
      </c>
      <c r="E29" s="3"/>
      <c r="F29" s="3"/>
      <c r="G29" s="3"/>
      <c r="H29" s="3"/>
      <c r="I29" s="175">
        <f>Animals!G21</f>
        <v>1.22</v>
      </c>
      <c r="J29" s="43"/>
      <c r="K29" s="175">
        <f>Animals!I21</f>
        <v>1.41</v>
      </c>
      <c r="L29" s="45"/>
      <c r="M29" s="175">
        <f>Animals!K21</f>
        <v>1.37</v>
      </c>
      <c r="N29" s="45"/>
      <c r="O29" s="175">
        <f>Animals!M21</f>
        <v>5.2</v>
      </c>
      <c r="P29" s="45"/>
      <c r="Q29" s="175">
        <f>Animals!O21</f>
        <v>2.57</v>
      </c>
      <c r="R29" s="45"/>
      <c r="S29" s="175">
        <f>Animals!Q21</f>
        <v>2.37</v>
      </c>
      <c r="T29"/>
      <c r="U29" s="175">
        <f>Animals!S21</f>
        <v>1.77</v>
      </c>
    </row>
    <row r="30" spans="1:21" s="6" customFormat="1" x14ac:dyDescent="0.35">
      <c r="A30" s="4" t="s">
        <v>85</v>
      </c>
      <c r="B30" s="2"/>
      <c r="C30" s="171" t="s">
        <v>44</v>
      </c>
      <c r="D30" s="171" t="s">
        <v>23</v>
      </c>
      <c r="E30" s="3"/>
      <c r="F30" s="3"/>
      <c r="G30" s="3"/>
      <c r="H30" s="3"/>
      <c r="I30" s="172">
        <f>Animals!G22</f>
        <v>0.3</v>
      </c>
      <c r="J30" s="43"/>
      <c r="K30" s="172">
        <f>Animals!I22</f>
        <v>0.34</v>
      </c>
      <c r="L30" s="45"/>
      <c r="M30" s="172">
        <f>Animals!K22</f>
        <v>0.32</v>
      </c>
      <c r="N30" s="45"/>
      <c r="O30" s="172">
        <f>Animals!M22</f>
        <v>2.2000000000000002</v>
      </c>
      <c r="P30" s="45"/>
      <c r="Q30" s="172">
        <f>Animals!O22</f>
        <v>0.64</v>
      </c>
      <c r="R30" s="45"/>
      <c r="S30" s="172">
        <f>Animals!Q22</f>
        <v>0.55000000000000004</v>
      </c>
      <c r="T30"/>
      <c r="U30" s="172">
        <f>Animals!S22</f>
        <v>0.44</v>
      </c>
    </row>
    <row r="32" spans="1:21" x14ac:dyDescent="0.35">
      <c r="A32" s="1" t="s">
        <v>17</v>
      </c>
    </row>
    <row r="33" spans="1:23" x14ac:dyDescent="0.35">
      <c r="A33" s="4" t="s">
        <v>97</v>
      </c>
      <c r="C33" s="3" t="s">
        <v>100</v>
      </c>
      <c r="F33" s="40" t="s">
        <v>101</v>
      </c>
      <c r="I33" s="63">
        <f>IF(I28="diving bird",I30,I29)</f>
        <v>1.22</v>
      </c>
      <c r="K33" s="63">
        <f>IF(K28="diving bird",K30,K29)</f>
        <v>1.41</v>
      </c>
      <c r="M33" s="63">
        <f>IF(M28="diving bird",M30,M29)</f>
        <v>1.37</v>
      </c>
      <c r="O33" s="63">
        <f>IF(O28="diving bird",O30,O29)</f>
        <v>5.2</v>
      </c>
      <c r="Q33" s="63">
        <f>IF(Q28="diving bird",Q30,Q29)</f>
        <v>2.57</v>
      </c>
      <c r="S33" s="63">
        <f>IF(S28="diving bird",S30,S29)</f>
        <v>2.37</v>
      </c>
      <c r="U33" s="63">
        <f>IF(U28="diving bird",U30,U29)</f>
        <v>1.77</v>
      </c>
    </row>
    <row r="34" spans="1:23" x14ac:dyDescent="0.35">
      <c r="A34" s="4" t="s">
        <v>98</v>
      </c>
      <c r="C34" s="40" t="s">
        <v>99</v>
      </c>
      <c r="F34" s="40" t="s">
        <v>101</v>
      </c>
      <c r="I34" s="63">
        <f>IF(I28="diving bird",I29,I30)</f>
        <v>0.3</v>
      </c>
      <c r="K34" s="63">
        <v>0.34</v>
      </c>
      <c r="M34" s="63">
        <f>IF(M28="diving bird",M29,M30)</f>
        <v>0.32</v>
      </c>
      <c r="O34" s="63">
        <f>IF(O28="diving bird",O29,O30)</f>
        <v>2.2000000000000002</v>
      </c>
      <c r="Q34" s="63">
        <f>IF(Q28="diving bird",Q29,Q30)</f>
        <v>0.64</v>
      </c>
      <c r="S34" s="63">
        <f>IF(S28="diving bird",S29,S30)</f>
        <v>0.55000000000000004</v>
      </c>
      <c r="U34" s="63">
        <f>IF(U28="diving bird",U29,U30)</f>
        <v>0.44</v>
      </c>
    </row>
    <row r="35" spans="1:23" x14ac:dyDescent="0.35">
      <c r="A35" s="13" t="s">
        <v>82</v>
      </c>
      <c r="C35" s="38" t="s">
        <v>270</v>
      </c>
      <c r="D35" s="38" t="s">
        <v>262</v>
      </c>
      <c r="E35" s="62"/>
      <c r="F35" s="40" t="s">
        <v>270</v>
      </c>
      <c r="G35" s="40"/>
      <c r="I35" s="63">
        <f>$E22</f>
        <v>0</v>
      </c>
      <c r="K35" s="63">
        <f>$E22</f>
        <v>0</v>
      </c>
      <c r="M35" s="63">
        <f>$E22</f>
        <v>0</v>
      </c>
      <c r="O35" s="63">
        <f>$E22</f>
        <v>0</v>
      </c>
      <c r="Q35" s="63">
        <f>$E22</f>
        <v>0</v>
      </c>
      <c r="S35" s="63">
        <f>$E22</f>
        <v>0</v>
      </c>
      <c r="U35" s="63">
        <f>$E22</f>
        <v>0</v>
      </c>
    </row>
    <row r="36" spans="1:23" x14ac:dyDescent="0.35">
      <c r="A36" s="13" t="s">
        <v>18</v>
      </c>
      <c r="C36" s="38"/>
      <c r="D36" s="38" t="s">
        <v>215</v>
      </c>
      <c r="E36" s="62"/>
      <c r="F36" s="40" t="s">
        <v>282</v>
      </c>
      <c r="G36" s="40"/>
      <c r="I36" s="99">
        <f>$E10*PI()*($E12+0.5*I34)*($E12+0.5*I34)</f>
        <v>0</v>
      </c>
      <c r="J36" s="100"/>
      <c r="K36" s="99">
        <f>$E10*PI()*($E12+0.5*K34)*($E12+0.5*K34)</f>
        <v>0</v>
      </c>
      <c r="L36" s="100"/>
      <c r="M36" s="99">
        <f>$E10*PI()*($E12+0.5*M34)*($E12+0.5*M34)</f>
        <v>0</v>
      </c>
      <c r="N36" s="100"/>
      <c r="O36" s="99">
        <f>$E10*PI()*($E12+0.5*O34)*($E12+0.5*O34)</f>
        <v>0</v>
      </c>
      <c r="Q36" s="99">
        <f>$E10*PI()*($E12+0.5*Q34)*($E12+0.5*Q34)</f>
        <v>0</v>
      </c>
      <c r="R36" s="100"/>
      <c r="S36" s="99">
        <f>$E10*PI()*($E12+0.5*S34)*($E12+0.5*S34)</f>
        <v>0</v>
      </c>
      <c r="U36" s="99">
        <f>$E10*PI()*($E12+0.5*U34)*($E12+0.5*U34)</f>
        <v>0</v>
      </c>
    </row>
    <row r="37" spans="1:23" x14ac:dyDescent="0.35">
      <c r="A37" s="13" t="s">
        <v>111</v>
      </c>
      <c r="B37" s="13"/>
      <c r="C37" s="38" t="s">
        <v>19</v>
      </c>
      <c r="D37" s="64"/>
      <c r="F37" s="12" t="s">
        <v>19</v>
      </c>
      <c r="G37" s="12"/>
      <c r="I37" s="65">
        <v>0.6695283055305481</v>
      </c>
      <c r="K37" s="65">
        <v>0.75836002826690674</v>
      </c>
      <c r="M37" s="65">
        <v>0.73974692821502686</v>
      </c>
      <c r="O37" s="65">
        <v>1</v>
      </c>
      <c r="Q37" s="65">
        <v>1</v>
      </c>
      <c r="S37" s="65">
        <v>1</v>
      </c>
      <c r="U37" s="65">
        <v>0.9163818359375</v>
      </c>
      <c r="V37" t="e">
        <f ca="1">pcoll_diskav("down",I33,I34,I35)</f>
        <v>#NAME?</v>
      </c>
      <c r="W37" s="138" t="s">
        <v>249</v>
      </c>
    </row>
    <row r="38" spans="1:23" x14ac:dyDescent="0.35">
      <c r="A38" s="13" t="s">
        <v>20</v>
      </c>
      <c r="B38" s="13"/>
      <c r="C38" s="37"/>
      <c r="D38" s="66" t="s">
        <v>283</v>
      </c>
      <c r="F38" s="40" t="s">
        <v>284</v>
      </c>
      <c r="G38" s="13"/>
      <c r="I38" s="67" t="e">
        <f ca="1">I27*I36*I35</f>
        <v>#NAME?</v>
      </c>
      <c r="K38" s="67" t="e">
        <f ca="1">K27*K36*K35</f>
        <v>#NAME?</v>
      </c>
      <c r="M38" s="67" t="e">
        <f ca="1">M27*M36*M35</f>
        <v>#NAME?</v>
      </c>
      <c r="O38" s="67" t="e">
        <f ca="1">O27*O36*O35</f>
        <v>#NAME?</v>
      </c>
      <c r="Q38" s="67" t="e">
        <f ca="1">Q27*Q36*Q35</f>
        <v>#NAME?</v>
      </c>
      <c r="S38" s="67" t="e">
        <f ca="1">S27*S36*S35</f>
        <v>#NAME?</v>
      </c>
      <c r="U38" s="67" t="e">
        <f ca="1">U27*U36*U35</f>
        <v>#NAME?</v>
      </c>
    </row>
    <row r="39" spans="1:23" x14ac:dyDescent="0.35">
      <c r="A39" s="13" t="s">
        <v>109</v>
      </c>
      <c r="B39" s="13"/>
      <c r="C39" s="38" t="s">
        <v>285</v>
      </c>
      <c r="D39" s="39"/>
      <c r="E39" s="68"/>
      <c r="F39" s="40" t="s">
        <v>286</v>
      </c>
      <c r="G39" s="13"/>
      <c r="H39" s="13"/>
      <c r="I39" s="39" t="e">
        <f ca="1">I38*I37</f>
        <v>#NAME?</v>
      </c>
      <c r="K39" s="39" t="e">
        <f ca="1">K38*K37</f>
        <v>#NAME?</v>
      </c>
      <c r="M39" s="39" t="e">
        <f ca="1">M38*M37</f>
        <v>#NAME?</v>
      </c>
      <c r="O39" s="39" t="e">
        <f ca="1">O38*O37</f>
        <v>#NAME?</v>
      </c>
      <c r="Q39" s="39" t="e">
        <f ca="1">Q38*Q37</f>
        <v>#NAME?</v>
      </c>
      <c r="S39" s="39" t="e">
        <f ca="1">S38*S37</f>
        <v>#NAME?</v>
      </c>
      <c r="U39" s="39" t="e">
        <f ca="1">U38*U37</f>
        <v>#NAME?</v>
      </c>
    </row>
    <row r="40" spans="1:23" x14ac:dyDescent="0.35">
      <c r="A40" s="13" t="s">
        <v>108</v>
      </c>
      <c r="B40" s="13"/>
      <c r="C40" s="37"/>
      <c r="D40" s="66"/>
      <c r="F40" s="40" t="s">
        <v>287</v>
      </c>
      <c r="G40" s="13"/>
      <c r="I40" s="71" t="e">
        <f ca="1">I38*(1-$E18)*$E7</f>
        <v>#NAME?</v>
      </c>
      <c r="J40" s="84"/>
      <c r="K40" s="71" t="e">
        <f ca="1">K38*(1-$E18)*$E7</f>
        <v>#NAME?</v>
      </c>
      <c r="L40" s="96"/>
      <c r="M40" s="71" t="e">
        <f ca="1">M38*(1-$E18)*$E7</f>
        <v>#NAME?</v>
      </c>
      <c r="N40" s="96"/>
      <c r="O40" s="71" t="e">
        <f ca="1">O38*(1-$E18)*$E7</f>
        <v>#NAME?</v>
      </c>
      <c r="P40" s="96"/>
      <c r="Q40" s="71" t="e">
        <f ca="1">Q38*(1-$E18)*$E7</f>
        <v>#NAME?</v>
      </c>
      <c r="R40" s="96"/>
      <c r="S40" s="71" t="e">
        <f ca="1">S38*(1-$E18)*$E7</f>
        <v>#NAME?</v>
      </c>
      <c r="U40" s="71" t="e">
        <f ca="1">U38*(1-$E18)*$E7</f>
        <v>#NAME?</v>
      </c>
    </row>
    <row r="41" spans="1:23" x14ac:dyDescent="0.35">
      <c r="A41" s="13" t="s">
        <v>110</v>
      </c>
      <c r="C41" s="69"/>
      <c r="D41" s="69" t="s">
        <v>59</v>
      </c>
      <c r="E41" s="68"/>
      <c r="F41" s="70" t="s">
        <v>288</v>
      </c>
      <c r="G41" s="70"/>
      <c r="I41" s="85" t="e">
        <f ca="1">I39*$E7*(1-$E18)</f>
        <v>#NAME?</v>
      </c>
      <c r="K41" s="85" t="e">
        <f ca="1">K39*$E7*(1-$E18)</f>
        <v>#NAME?</v>
      </c>
      <c r="M41" s="71" t="e">
        <f ca="1">M39*$E7*(1-$E18)</f>
        <v>#NAME?</v>
      </c>
      <c r="O41" s="71" t="e">
        <f ca="1">O39*$E7*(1-$E18)</f>
        <v>#NAME?</v>
      </c>
      <c r="Q41" s="71" t="e">
        <f ca="1">Q39*$E7*(1-$E18)</f>
        <v>#NAME?</v>
      </c>
      <c r="S41" s="71" t="e">
        <f ca="1">S39*$E7*(1-$E18)</f>
        <v>#NAME?</v>
      </c>
      <c r="U41" s="71" t="e">
        <f ca="1">U39*$E7*(1-$E18)</f>
        <v>#NAME?</v>
      </c>
    </row>
    <row r="42" spans="1:23" x14ac:dyDescent="0.35">
      <c r="A42" s="161" t="s">
        <v>176</v>
      </c>
      <c r="B42" s="152"/>
      <c r="C42" s="152"/>
      <c r="D42" s="152"/>
      <c r="E42" s="152"/>
      <c r="F42" s="152"/>
      <c r="G42" s="152"/>
      <c r="H42" s="152"/>
      <c r="I42" s="162" t="e">
        <f ca="1">I41/#REF!</f>
        <v>#NAME?</v>
      </c>
      <c r="J42" s="162"/>
      <c r="K42" s="162" t="e">
        <f ca="1">K41/#REF!</f>
        <v>#NAME?</v>
      </c>
      <c r="L42" s="162"/>
      <c r="M42" s="162" t="e">
        <f ca="1">M41/#REF!</f>
        <v>#NAME?</v>
      </c>
      <c r="N42" s="162"/>
      <c r="O42" s="162" t="e">
        <f ca="1">O41/#REF!</f>
        <v>#NAME?</v>
      </c>
      <c r="P42" s="162"/>
      <c r="Q42" s="162" t="e">
        <f ca="1">Q41/#REF!</f>
        <v>#NAME?</v>
      </c>
      <c r="R42" s="152"/>
      <c r="S42" s="162" t="e">
        <f ca="1">S41/#REF!</f>
        <v>#NAME?</v>
      </c>
      <c r="T42" s="152"/>
      <c r="U42" s="162" t="e">
        <f ca="1">U41/#REF!</f>
        <v>#NAME?</v>
      </c>
    </row>
    <row r="44" spans="1:23" ht="24" x14ac:dyDescent="0.35">
      <c r="I44" s="169" t="s">
        <v>77</v>
      </c>
      <c r="J44" s="52"/>
      <c r="K44" s="169" t="s">
        <v>143</v>
      </c>
      <c r="L44" s="92"/>
      <c r="M44" s="169" t="s">
        <v>107</v>
      </c>
      <c r="N44" s="52"/>
      <c r="O44" s="169" t="s">
        <v>78</v>
      </c>
      <c r="P44" s="53"/>
      <c r="Q44" s="169" t="s">
        <v>188</v>
      </c>
      <c r="S44" s="169" t="s">
        <v>189</v>
      </c>
      <c r="U44" s="169" t="s">
        <v>199</v>
      </c>
    </row>
    <row r="45" spans="1:23" x14ac:dyDescent="0.35">
      <c r="A45" s="46" t="s">
        <v>187</v>
      </c>
      <c r="E45" t="s">
        <v>226</v>
      </c>
      <c r="F45" s="165">
        <v>1</v>
      </c>
      <c r="I45" s="139" t="e">
        <f ca="1">$I$41*1</f>
        <v>#NAME?</v>
      </c>
      <c r="K45" s="139" t="e">
        <f ca="1">$K$41*1</f>
        <v>#NAME?</v>
      </c>
      <c r="M45" s="139" t="e">
        <f ca="1">$M$41*1</f>
        <v>#NAME?</v>
      </c>
      <c r="O45" s="139" t="e">
        <f ca="1">$O$41*1</f>
        <v>#NAME?</v>
      </c>
      <c r="Q45" s="139" t="e">
        <f ca="1">$Q$41*1</f>
        <v>#NAME?</v>
      </c>
      <c r="S45" s="139" t="e">
        <f ca="1">$S$41*1</f>
        <v>#NAME?</v>
      </c>
      <c r="U45" s="139" t="e">
        <f ca="1">$U$41*1</f>
        <v>#NAME?</v>
      </c>
    </row>
    <row r="46" spans="1:23" x14ac:dyDescent="0.35">
      <c r="A46" t="s">
        <v>185</v>
      </c>
      <c r="E46" t="s">
        <v>207</v>
      </c>
      <c r="F46" s="165">
        <f>Devices!C32</f>
        <v>0</v>
      </c>
      <c r="I46" s="174" t="s">
        <v>218</v>
      </c>
      <c r="K46" s="174" t="s">
        <v>220</v>
      </c>
      <c r="M46" s="174" t="s">
        <v>221</v>
      </c>
      <c r="O46" s="174" t="s">
        <v>207</v>
      </c>
      <c r="Q46" s="174" t="s">
        <v>219</v>
      </c>
      <c r="S46" s="174" t="s">
        <v>222</v>
      </c>
      <c r="U46" s="174" t="s">
        <v>223</v>
      </c>
    </row>
    <row r="47" spans="1:23" x14ac:dyDescent="0.35">
      <c r="A47" s="42">
        <v>0.5</v>
      </c>
      <c r="I47" s="157" t="e">
        <f t="shared" ref="I47:I52" ca="1" si="1">I$45*(1-$A47)</f>
        <v>#NAME?</v>
      </c>
      <c r="K47" s="63" t="e">
        <f t="shared" ref="K47:K52" ca="1" si="2">K$45*(1-$A47)</f>
        <v>#NAME?</v>
      </c>
      <c r="M47" s="157" t="e">
        <f t="shared" ref="M47:M52" ca="1" si="3">M$45*(1-$A47)</f>
        <v>#NAME?</v>
      </c>
      <c r="O47" s="157" t="e">
        <f t="shared" ref="O47:O52" ca="1" si="4">O$45*(1-$A47)</f>
        <v>#NAME?</v>
      </c>
      <c r="Q47" s="157" t="e">
        <f t="shared" ref="Q47:Q52" ca="1" si="5">Q$45*(1-$A47)</f>
        <v>#NAME?</v>
      </c>
      <c r="S47" s="157" t="e">
        <f t="shared" ref="S47:S52" ca="1" si="6">S$45*(1-$A47)</f>
        <v>#NAME?</v>
      </c>
      <c r="U47" s="157" t="e">
        <f t="shared" ref="U47:U52" ca="1" si="7">U$45*(1-$A47)</f>
        <v>#NAME?</v>
      </c>
      <c r="W47" s="138" t="s">
        <v>225</v>
      </c>
    </row>
    <row r="48" spans="1:23" x14ac:dyDescent="0.35">
      <c r="A48" s="42">
        <v>0.9</v>
      </c>
      <c r="I48" s="157" t="e">
        <f t="shared" ca="1" si="1"/>
        <v>#NAME?</v>
      </c>
      <c r="K48" s="63" t="e">
        <f t="shared" ca="1" si="2"/>
        <v>#NAME?</v>
      </c>
      <c r="M48" s="63" t="e">
        <f t="shared" ca="1" si="3"/>
        <v>#NAME?</v>
      </c>
      <c r="O48" s="157" t="e">
        <f t="shared" ca="1" si="4"/>
        <v>#NAME?</v>
      </c>
      <c r="Q48" s="63" t="e">
        <f t="shared" ca="1" si="5"/>
        <v>#NAME?</v>
      </c>
      <c r="S48" s="63" t="e">
        <f t="shared" ca="1" si="6"/>
        <v>#NAME?</v>
      </c>
      <c r="U48" s="63" t="e">
        <f t="shared" ca="1" si="7"/>
        <v>#NAME?</v>
      </c>
    </row>
    <row r="49" spans="1:21" x14ac:dyDescent="0.35">
      <c r="A49" s="42">
        <v>0.95</v>
      </c>
      <c r="I49" s="157" t="e">
        <f t="shared" ca="1" si="1"/>
        <v>#NAME?</v>
      </c>
      <c r="K49" s="63" t="e">
        <f t="shared" ca="1" si="2"/>
        <v>#NAME?</v>
      </c>
      <c r="M49" s="63" t="e">
        <f t="shared" ca="1" si="3"/>
        <v>#NAME?</v>
      </c>
      <c r="O49" s="141" t="e">
        <f t="shared" ca="1" si="4"/>
        <v>#NAME?</v>
      </c>
      <c r="Q49" s="63" t="e">
        <f t="shared" ca="1" si="5"/>
        <v>#NAME?</v>
      </c>
      <c r="S49" s="63" t="e">
        <f t="shared" ca="1" si="6"/>
        <v>#NAME?</v>
      </c>
      <c r="U49" s="63" t="e">
        <f t="shared" ca="1" si="7"/>
        <v>#NAME?</v>
      </c>
    </row>
    <row r="50" spans="1:21" s="46" customFormat="1" x14ac:dyDescent="0.35">
      <c r="A50" s="140">
        <v>0.98</v>
      </c>
      <c r="I50" s="155" t="e">
        <f t="shared" ca="1" si="1"/>
        <v>#NAME?</v>
      </c>
      <c r="K50" s="141" t="e">
        <f t="shared" ca="1" si="2"/>
        <v>#NAME?</v>
      </c>
      <c r="M50" s="141" t="e">
        <f t="shared" ca="1" si="3"/>
        <v>#NAME?</v>
      </c>
      <c r="O50" s="141" t="e">
        <f t="shared" ca="1" si="4"/>
        <v>#NAME?</v>
      </c>
      <c r="Q50" s="85" t="e">
        <f t="shared" ca="1" si="5"/>
        <v>#NAME?</v>
      </c>
      <c r="S50" s="141" t="e">
        <f t="shared" ca="1" si="6"/>
        <v>#NAME?</v>
      </c>
      <c r="U50" s="141" t="e">
        <f t="shared" ca="1" si="7"/>
        <v>#NAME?</v>
      </c>
    </row>
    <row r="51" spans="1:21" x14ac:dyDescent="0.35">
      <c r="A51" s="42">
        <v>0.99</v>
      </c>
      <c r="I51" s="158" t="e">
        <f t="shared" ca="1" si="1"/>
        <v>#NAME?</v>
      </c>
      <c r="K51" s="63" t="e">
        <f t="shared" ca="1" si="2"/>
        <v>#NAME?</v>
      </c>
      <c r="M51" s="63" t="e">
        <f t="shared" ca="1" si="3"/>
        <v>#NAME?</v>
      </c>
      <c r="O51" s="63" t="e">
        <f t="shared" ca="1" si="4"/>
        <v>#NAME?</v>
      </c>
      <c r="Q51" s="63" t="e">
        <f t="shared" ca="1" si="5"/>
        <v>#NAME?</v>
      </c>
      <c r="S51" s="63" t="e">
        <f t="shared" ca="1" si="6"/>
        <v>#NAME?</v>
      </c>
      <c r="U51" s="63" t="e">
        <f t="shared" ca="1" si="7"/>
        <v>#NAME?</v>
      </c>
    </row>
    <row r="52" spans="1:21" x14ac:dyDescent="0.35">
      <c r="A52" s="154">
        <v>0.997</v>
      </c>
      <c r="I52" s="85" t="e">
        <f t="shared" ca="1" si="1"/>
        <v>#NAME?</v>
      </c>
      <c r="J52" s="46"/>
      <c r="K52" s="141" t="e">
        <f t="shared" ca="1" si="2"/>
        <v>#NAME?</v>
      </c>
      <c r="L52" s="46"/>
      <c r="M52" s="141" t="e">
        <f t="shared" ca="1" si="3"/>
        <v>#NAME?</v>
      </c>
      <c r="N52" s="46"/>
      <c r="O52" s="141" t="e">
        <f t="shared" ca="1" si="4"/>
        <v>#NAME?</v>
      </c>
      <c r="P52" s="46"/>
      <c r="Q52" s="85" t="e">
        <f t="shared" ca="1" si="5"/>
        <v>#NAME?</v>
      </c>
      <c r="R52" s="46"/>
      <c r="S52" s="141" t="e">
        <f t="shared" ca="1" si="6"/>
        <v>#NAME?</v>
      </c>
      <c r="T52" s="46"/>
      <c r="U52" s="141" t="e">
        <f t="shared" ca="1" si="7"/>
        <v>#NAME?</v>
      </c>
    </row>
    <row r="54" spans="1:21" x14ac:dyDescent="0.35">
      <c r="A54" s="151" t="s">
        <v>217</v>
      </c>
      <c r="F54" s="249">
        <f>Devices!C33</f>
        <v>0</v>
      </c>
      <c r="I54" s="139" t="e">
        <f ca="1">$I$41*F54</f>
        <v>#NAME?</v>
      </c>
      <c r="K54" s="139" t="e">
        <f ca="1">$K$41*F54</f>
        <v>#NAME?</v>
      </c>
      <c r="M54" s="139" t="e">
        <f ca="1">$M$41*F54</f>
        <v>#NAME?</v>
      </c>
      <c r="O54" s="139" t="e">
        <f ca="1">$O$41*F54</f>
        <v>#NAME?</v>
      </c>
      <c r="Q54" s="139" t="e">
        <f ca="1">$Q$41*F54</f>
        <v>#NAME?</v>
      </c>
      <c r="S54" s="139" t="e">
        <f ca="1">$S$41*F54</f>
        <v>#NAME?</v>
      </c>
      <c r="U54" s="139" t="e">
        <f ca="1">$U$41*F54</f>
        <v>#NAME?</v>
      </c>
    </row>
    <row r="55" spans="1:21" x14ac:dyDescent="0.35">
      <c r="A55" t="s">
        <v>185</v>
      </c>
      <c r="E55" s="153" t="s">
        <v>207</v>
      </c>
      <c r="F55" s="166">
        <f>F54*F46</f>
        <v>0</v>
      </c>
      <c r="I55" s="174" t="s">
        <v>218</v>
      </c>
      <c r="K55" s="174" t="s">
        <v>220</v>
      </c>
      <c r="M55" s="174" t="s">
        <v>221</v>
      </c>
      <c r="O55" s="174" t="s">
        <v>207</v>
      </c>
      <c r="Q55" s="174" t="s">
        <v>219</v>
      </c>
      <c r="S55" s="174" t="s">
        <v>222</v>
      </c>
      <c r="U55" s="174" t="s">
        <v>223</v>
      </c>
    </row>
    <row r="56" spans="1:21" x14ac:dyDescent="0.35">
      <c r="A56" s="42">
        <v>0.5</v>
      </c>
      <c r="I56" s="157" t="e">
        <f t="shared" ref="I56:I61" ca="1" si="8">I$54*(1-$A56)</f>
        <v>#NAME?</v>
      </c>
      <c r="K56" s="63" t="e">
        <f t="shared" ref="K56:K61" ca="1" si="9">K$54*(1-$A56)</f>
        <v>#NAME?</v>
      </c>
      <c r="M56" s="157" t="e">
        <f t="shared" ref="M56:M61" ca="1" si="10">M$54*(1-$A56)</f>
        <v>#NAME?</v>
      </c>
      <c r="O56" s="157" t="e">
        <f t="shared" ref="O56:O61" ca="1" si="11">O$54*(1-$A56)</f>
        <v>#NAME?</v>
      </c>
      <c r="Q56" s="157" t="e">
        <f t="shared" ref="Q56:Q61" ca="1" si="12">Q$54*(1-$A56)</f>
        <v>#NAME?</v>
      </c>
      <c r="S56" s="157" t="e">
        <f t="shared" ref="S56:S61" ca="1" si="13">S$54*(1-$A56)</f>
        <v>#NAME?</v>
      </c>
      <c r="U56" s="157" t="e">
        <f t="shared" ref="U56:U61" ca="1" si="14">U$54*(1-$A56)</f>
        <v>#NAME?</v>
      </c>
    </row>
    <row r="57" spans="1:21" x14ac:dyDescent="0.35">
      <c r="A57" s="42">
        <v>0.9</v>
      </c>
      <c r="I57" s="157" t="e">
        <f t="shared" ca="1" si="8"/>
        <v>#NAME?</v>
      </c>
      <c r="K57" s="63" t="e">
        <f t="shared" ca="1" si="9"/>
        <v>#NAME?</v>
      </c>
      <c r="M57" s="157" t="e">
        <f t="shared" ca="1" si="10"/>
        <v>#NAME?</v>
      </c>
      <c r="O57" s="157" t="e">
        <f t="shared" ca="1" si="11"/>
        <v>#NAME?</v>
      </c>
      <c r="Q57" s="157" t="e">
        <f t="shared" ca="1" si="12"/>
        <v>#NAME?</v>
      </c>
      <c r="S57" s="157" t="e">
        <f t="shared" ca="1" si="13"/>
        <v>#NAME?</v>
      </c>
      <c r="U57" s="157" t="e">
        <f t="shared" ca="1" si="14"/>
        <v>#NAME?</v>
      </c>
    </row>
    <row r="58" spans="1:21" x14ac:dyDescent="0.35">
      <c r="A58" s="42">
        <v>0.95</v>
      </c>
      <c r="I58" s="157" t="e">
        <f t="shared" ca="1" si="8"/>
        <v>#NAME?</v>
      </c>
      <c r="K58" s="63" t="e">
        <f t="shared" ca="1" si="9"/>
        <v>#NAME?</v>
      </c>
      <c r="M58" s="157" t="e">
        <f t="shared" ca="1" si="10"/>
        <v>#NAME?</v>
      </c>
      <c r="O58" s="157" t="e">
        <f t="shared" ca="1" si="11"/>
        <v>#NAME?</v>
      </c>
      <c r="Q58" s="157" t="e">
        <f t="shared" ca="1" si="12"/>
        <v>#NAME?</v>
      </c>
      <c r="S58" s="157" t="e">
        <f t="shared" ca="1" si="13"/>
        <v>#NAME?</v>
      </c>
      <c r="U58" s="157" t="e">
        <f t="shared" ca="1" si="14"/>
        <v>#NAME?</v>
      </c>
    </row>
    <row r="59" spans="1:21" x14ac:dyDescent="0.35">
      <c r="A59" s="140">
        <v>0.98</v>
      </c>
      <c r="B59" s="46"/>
      <c r="C59" s="46"/>
      <c r="D59" s="46"/>
      <c r="E59" s="46"/>
      <c r="F59" s="46"/>
      <c r="G59" s="46"/>
      <c r="H59" s="46"/>
      <c r="I59" s="155" t="e">
        <f t="shared" ca="1" si="8"/>
        <v>#NAME?</v>
      </c>
      <c r="J59" s="46"/>
      <c r="K59" s="141" t="e">
        <f t="shared" ca="1" si="9"/>
        <v>#NAME?</v>
      </c>
      <c r="L59" s="46"/>
      <c r="M59" s="141" t="e">
        <f t="shared" ca="1" si="10"/>
        <v>#NAME?</v>
      </c>
      <c r="N59" s="46"/>
      <c r="O59" s="156" t="e">
        <f t="shared" ca="1" si="11"/>
        <v>#NAME?</v>
      </c>
      <c r="P59" s="46"/>
      <c r="Q59" s="155" t="e">
        <f t="shared" ca="1" si="12"/>
        <v>#NAME?</v>
      </c>
      <c r="R59" s="46"/>
      <c r="S59" s="156" t="e">
        <f t="shared" ca="1" si="13"/>
        <v>#NAME?</v>
      </c>
      <c r="T59" s="46"/>
      <c r="U59" s="156" t="e">
        <f t="shared" ca="1" si="14"/>
        <v>#NAME?</v>
      </c>
    </row>
    <row r="60" spans="1:21" x14ac:dyDescent="0.35">
      <c r="A60" s="42">
        <v>0.99</v>
      </c>
      <c r="I60" s="157" t="e">
        <f t="shared" ca="1" si="8"/>
        <v>#NAME?</v>
      </c>
      <c r="K60" s="63" t="e">
        <f t="shared" ca="1" si="9"/>
        <v>#NAME?</v>
      </c>
      <c r="M60" s="63" t="e">
        <f t="shared" ca="1" si="10"/>
        <v>#NAME?</v>
      </c>
      <c r="O60" s="63" t="e">
        <f t="shared" ca="1" si="11"/>
        <v>#NAME?</v>
      </c>
      <c r="Q60" s="63" t="e">
        <f t="shared" ca="1" si="12"/>
        <v>#NAME?</v>
      </c>
      <c r="S60" s="63" t="e">
        <f t="shared" ca="1" si="13"/>
        <v>#NAME?</v>
      </c>
      <c r="U60" s="63" t="e">
        <f t="shared" ca="1" si="14"/>
        <v>#NAME?</v>
      </c>
    </row>
    <row r="61" spans="1:21" x14ac:dyDescent="0.35">
      <c r="A61" s="154">
        <v>0.997</v>
      </c>
      <c r="I61" s="155" t="e">
        <f t="shared" ca="1" si="8"/>
        <v>#NAME?</v>
      </c>
      <c r="J61" s="46"/>
      <c r="K61" s="141" t="e">
        <f t="shared" ca="1" si="9"/>
        <v>#NAME?</v>
      </c>
      <c r="L61" s="46"/>
      <c r="M61" s="141" t="e">
        <f t="shared" ca="1" si="10"/>
        <v>#NAME?</v>
      </c>
      <c r="N61" s="46"/>
      <c r="O61" s="141" t="e">
        <f t="shared" ca="1" si="11"/>
        <v>#NAME?</v>
      </c>
      <c r="P61" s="46"/>
      <c r="Q61" s="85" t="e">
        <f t="shared" ca="1" si="12"/>
        <v>#NAME?</v>
      </c>
      <c r="R61" s="46"/>
      <c r="S61" s="141" t="e">
        <f t="shared" ca="1" si="13"/>
        <v>#NAME?</v>
      </c>
      <c r="T61" s="46"/>
      <c r="U61" s="141" t="e">
        <f t="shared" ca="1" si="14"/>
        <v>#NAME?</v>
      </c>
    </row>
    <row r="63" spans="1:21" x14ac:dyDescent="0.35">
      <c r="A63" s="151" t="s">
        <v>216</v>
      </c>
      <c r="B63" s="152"/>
      <c r="C63" s="152"/>
      <c r="D63" s="152"/>
      <c r="E63" s="152"/>
      <c r="F63" s="166">
        <v>4</v>
      </c>
      <c r="I63" s="139" t="e">
        <f ca="1">$I$41*F63</f>
        <v>#NAME?</v>
      </c>
      <c r="K63" s="139" t="e">
        <f ca="1">$K$41*F63</f>
        <v>#NAME?</v>
      </c>
      <c r="M63" s="139" t="e">
        <f ca="1">$M$41*F63</f>
        <v>#NAME?</v>
      </c>
      <c r="O63" s="139" t="e">
        <f ca="1">$O$41*F63</f>
        <v>#NAME?</v>
      </c>
      <c r="Q63" s="139" t="e">
        <f ca="1">$Q$41*F63</f>
        <v>#NAME?</v>
      </c>
      <c r="S63" s="139" t="e">
        <f ca="1">$S$41*F63</f>
        <v>#NAME?</v>
      </c>
      <c r="U63" s="139" t="e">
        <f ca="1">$U$41*F63</f>
        <v>#NAME?</v>
      </c>
    </row>
    <row r="64" spans="1:21" x14ac:dyDescent="0.35">
      <c r="A64" t="s">
        <v>185</v>
      </c>
      <c r="E64" s="153" t="s">
        <v>207</v>
      </c>
      <c r="F64" s="166">
        <f>F63*F46</f>
        <v>0</v>
      </c>
      <c r="I64" s="174" t="s">
        <v>218</v>
      </c>
      <c r="K64" s="174" t="s">
        <v>220</v>
      </c>
      <c r="M64" s="174" t="s">
        <v>221</v>
      </c>
      <c r="O64" s="174" t="s">
        <v>207</v>
      </c>
      <c r="Q64" s="174" t="s">
        <v>219</v>
      </c>
      <c r="S64" s="174" t="s">
        <v>222</v>
      </c>
      <c r="U64" s="174" t="s">
        <v>223</v>
      </c>
    </row>
    <row r="65" spans="1:21" x14ac:dyDescent="0.35">
      <c r="A65" s="42">
        <v>0.5</v>
      </c>
      <c r="I65" s="157" t="e">
        <f t="shared" ref="I65:I70" ca="1" si="15">I$63*(1-$A65)</f>
        <v>#NAME?</v>
      </c>
      <c r="K65" s="63" t="e">
        <f t="shared" ref="K65:K70" ca="1" si="16">K$63*(1-$A65)</f>
        <v>#NAME?</v>
      </c>
      <c r="M65" s="157" t="e">
        <f t="shared" ref="M65:M70" ca="1" si="17">M$63*(1-$A65)</f>
        <v>#NAME?</v>
      </c>
      <c r="O65" s="157" t="e">
        <f t="shared" ref="O65:O70" ca="1" si="18">O$63*(1-$A65)</f>
        <v>#NAME?</v>
      </c>
      <c r="Q65" s="157" t="e">
        <f t="shared" ref="Q65:Q70" ca="1" si="19">Q$63*(1-$A65)</f>
        <v>#NAME?</v>
      </c>
      <c r="S65" s="157" t="e">
        <f t="shared" ref="S65:S70" ca="1" si="20">S$63*(1-$A65)</f>
        <v>#NAME?</v>
      </c>
      <c r="U65" s="157" t="e">
        <f t="shared" ref="U65:U70" ca="1" si="21">U$63*(1-$A65)</f>
        <v>#NAME?</v>
      </c>
    </row>
    <row r="66" spans="1:21" x14ac:dyDescent="0.35">
      <c r="A66" s="42">
        <v>0.9</v>
      </c>
      <c r="I66" s="157" t="e">
        <f t="shared" ca="1" si="15"/>
        <v>#NAME?</v>
      </c>
      <c r="K66" s="63" t="e">
        <f t="shared" ca="1" si="16"/>
        <v>#NAME?</v>
      </c>
      <c r="M66" s="157" t="e">
        <f t="shared" ca="1" si="17"/>
        <v>#NAME?</v>
      </c>
      <c r="O66" s="157" t="e">
        <f t="shared" ca="1" si="18"/>
        <v>#NAME?</v>
      </c>
      <c r="Q66" s="157" t="e">
        <f t="shared" ca="1" si="19"/>
        <v>#NAME?</v>
      </c>
      <c r="S66" s="157" t="e">
        <f t="shared" ca="1" si="20"/>
        <v>#NAME?</v>
      </c>
      <c r="U66" s="157" t="e">
        <f t="shared" ca="1" si="21"/>
        <v>#NAME?</v>
      </c>
    </row>
    <row r="67" spans="1:21" x14ac:dyDescent="0.35">
      <c r="A67" s="42">
        <v>0.95</v>
      </c>
      <c r="I67" s="157" t="e">
        <f t="shared" ca="1" si="15"/>
        <v>#NAME?</v>
      </c>
      <c r="K67" s="63" t="e">
        <f t="shared" ca="1" si="16"/>
        <v>#NAME?</v>
      </c>
      <c r="M67" s="157" t="e">
        <f t="shared" ca="1" si="17"/>
        <v>#NAME?</v>
      </c>
      <c r="O67" s="157" t="e">
        <f t="shared" ca="1" si="18"/>
        <v>#NAME?</v>
      </c>
      <c r="Q67" s="157" t="e">
        <f t="shared" ca="1" si="19"/>
        <v>#NAME?</v>
      </c>
      <c r="S67" s="157" t="e">
        <f t="shared" ca="1" si="20"/>
        <v>#NAME?</v>
      </c>
      <c r="U67" s="157" t="e">
        <f t="shared" ca="1" si="21"/>
        <v>#NAME?</v>
      </c>
    </row>
    <row r="68" spans="1:21" x14ac:dyDescent="0.35">
      <c r="A68" s="140">
        <v>0.98</v>
      </c>
      <c r="B68" s="46"/>
      <c r="C68" s="46"/>
      <c r="D68" s="46"/>
      <c r="E68" s="46"/>
      <c r="F68" s="46"/>
      <c r="G68" s="46"/>
      <c r="H68" s="46"/>
      <c r="I68" s="155" t="e">
        <f t="shared" ca="1" si="15"/>
        <v>#NAME?</v>
      </c>
      <c r="J68" s="46"/>
      <c r="K68" s="141" t="e">
        <f t="shared" ca="1" si="16"/>
        <v>#NAME?</v>
      </c>
      <c r="L68" s="46"/>
      <c r="M68" s="141" t="e">
        <f t="shared" ca="1" si="17"/>
        <v>#NAME?</v>
      </c>
      <c r="N68" s="46"/>
      <c r="O68" s="156" t="e">
        <f t="shared" ca="1" si="18"/>
        <v>#NAME?</v>
      </c>
      <c r="P68" s="46"/>
      <c r="Q68" s="85" t="e">
        <f t="shared" ca="1" si="19"/>
        <v>#NAME?</v>
      </c>
      <c r="R68" s="46"/>
      <c r="S68" s="156" t="e">
        <f t="shared" ca="1" si="20"/>
        <v>#NAME?</v>
      </c>
      <c r="T68" s="46"/>
      <c r="U68" s="156" t="e">
        <f t="shared" ca="1" si="21"/>
        <v>#NAME?</v>
      </c>
    </row>
    <row r="69" spans="1:21" x14ac:dyDescent="0.35">
      <c r="A69" s="42">
        <v>0.99</v>
      </c>
      <c r="I69" s="157" t="e">
        <f t="shared" ca="1" si="15"/>
        <v>#NAME?</v>
      </c>
      <c r="K69" s="63" t="e">
        <f t="shared" ca="1" si="16"/>
        <v>#NAME?</v>
      </c>
      <c r="M69" s="63" t="e">
        <f t="shared" ca="1" si="17"/>
        <v>#NAME?</v>
      </c>
      <c r="O69" s="63" t="e">
        <f t="shared" ca="1" si="18"/>
        <v>#NAME?</v>
      </c>
      <c r="Q69" s="63" t="e">
        <f t="shared" ca="1" si="19"/>
        <v>#NAME?</v>
      </c>
      <c r="S69" s="63" t="e">
        <f t="shared" ca="1" si="20"/>
        <v>#NAME?</v>
      </c>
      <c r="U69" s="63" t="e">
        <f t="shared" ca="1" si="21"/>
        <v>#NAME?</v>
      </c>
    </row>
    <row r="70" spans="1:21" x14ac:dyDescent="0.35">
      <c r="A70" s="154">
        <v>0.997</v>
      </c>
      <c r="I70" s="85" t="e">
        <f t="shared" ca="1" si="15"/>
        <v>#NAME?</v>
      </c>
      <c r="J70" s="46"/>
      <c r="K70" s="141" t="e">
        <f t="shared" ca="1" si="16"/>
        <v>#NAME?</v>
      </c>
      <c r="L70" s="46"/>
      <c r="M70" s="141" t="e">
        <f t="shared" ca="1" si="17"/>
        <v>#NAME?</v>
      </c>
      <c r="N70" s="46"/>
      <c r="O70" s="141" t="e">
        <f t="shared" ca="1" si="18"/>
        <v>#NAME?</v>
      </c>
      <c r="P70" s="46"/>
      <c r="Q70" s="85" t="e">
        <f t="shared" ca="1" si="19"/>
        <v>#NAME?</v>
      </c>
      <c r="R70" s="46"/>
      <c r="S70" s="141" t="e">
        <f t="shared" ca="1" si="20"/>
        <v>#NAME?</v>
      </c>
      <c r="T70" s="46"/>
      <c r="U70" s="141" t="e">
        <f t="shared" ca="1" si="21"/>
        <v>#NAME?</v>
      </c>
    </row>
    <row r="72" spans="1:21" x14ac:dyDescent="0.35">
      <c r="A72" s="151" t="s">
        <v>224</v>
      </c>
      <c r="B72" s="152"/>
      <c r="C72" s="152"/>
      <c r="D72" s="152"/>
      <c r="E72" s="152"/>
      <c r="F72" s="165">
        <v>46</v>
      </c>
      <c r="I72" s="139" t="e">
        <f ca="1">$I$41*F72</f>
        <v>#NAME?</v>
      </c>
      <c r="K72" s="139" t="e">
        <f ca="1">$K$41*F72</f>
        <v>#NAME?</v>
      </c>
      <c r="M72" s="139" t="e">
        <f ca="1">$M$41*F72</f>
        <v>#NAME?</v>
      </c>
      <c r="O72" s="139" t="e">
        <f ca="1">$O$41*F72</f>
        <v>#NAME?</v>
      </c>
      <c r="Q72" s="139" t="e">
        <f ca="1">$Q$41*F72</f>
        <v>#NAME?</v>
      </c>
      <c r="S72" s="139" t="e">
        <f ca="1">$S$41*F72</f>
        <v>#NAME?</v>
      </c>
      <c r="U72" s="139" t="e">
        <f ca="1">$U$41*F72</f>
        <v>#NAME?</v>
      </c>
    </row>
    <row r="73" spans="1:21" x14ac:dyDescent="0.35">
      <c r="A73" t="s">
        <v>185</v>
      </c>
      <c r="E73" s="153" t="s">
        <v>207</v>
      </c>
      <c r="F73" s="165">
        <f>F72*F46</f>
        <v>0</v>
      </c>
      <c r="I73" s="174" t="s">
        <v>218</v>
      </c>
      <c r="K73" s="174" t="s">
        <v>220</v>
      </c>
      <c r="M73" s="174" t="s">
        <v>221</v>
      </c>
      <c r="O73" s="174" t="s">
        <v>207</v>
      </c>
      <c r="Q73" s="174" t="s">
        <v>219</v>
      </c>
      <c r="S73" s="174" t="s">
        <v>222</v>
      </c>
      <c r="U73" s="174" t="s">
        <v>223</v>
      </c>
    </row>
    <row r="74" spans="1:21" x14ac:dyDescent="0.35">
      <c r="A74" s="42">
        <v>0.5</v>
      </c>
      <c r="I74" s="157" t="e">
        <f t="shared" ref="I74:I79" ca="1" si="22">I$72*(1-$A74)</f>
        <v>#NAME?</v>
      </c>
      <c r="K74" s="157" t="e">
        <f t="shared" ref="K74:K79" ca="1" si="23">K$72*(1-$A74)</f>
        <v>#NAME?</v>
      </c>
      <c r="M74" s="157" t="e">
        <f t="shared" ref="M74:M79" ca="1" si="24">M$72*(1-$A74)</f>
        <v>#NAME?</v>
      </c>
      <c r="O74" s="157" t="e">
        <f t="shared" ref="O74:O79" ca="1" si="25">O$72*(1-$A74)</f>
        <v>#NAME?</v>
      </c>
      <c r="Q74" s="157" t="e">
        <f t="shared" ref="Q74:Q79" ca="1" si="26">Q$72*(1-$A74)</f>
        <v>#NAME?</v>
      </c>
      <c r="S74" s="157" t="e">
        <f t="shared" ref="S74:S79" ca="1" si="27">S$72*(1-$A74)</f>
        <v>#NAME?</v>
      </c>
      <c r="U74" s="157" t="e">
        <f t="shared" ref="U74:U79" ca="1" si="28">U$72*(1-$A74)</f>
        <v>#NAME?</v>
      </c>
    </row>
    <row r="75" spans="1:21" x14ac:dyDescent="0.35">
      <c r="A75" s="42">
        <v>0.9</v>
      </c>
      <c r="I75" s="157" t="e">
        <f t="shared" ca="1" si="22"/>
        <v>#NAME?</v>
      </c>
      <c r="K75" s="63" t="e">
        <f t="shared" ca="1" si="23"/>
        <v>#NAME?</v>
      </c>
      <c r="M75" s="157" t="e">
        <f t="shared" ca="1" si="24"/>
        <v>#NAME?</v>
      </c>
      <c r="O75" s="157" t="e">
        <f t="shared" ca="1" si="25"/>
        <v>#NAME?</v>
      </c>
      <c r="Q75" s="157" t="e">
        <f t="shared" ca="1" si="26"/>
        <v>#NAME?</v>
      </c>
      <c r="S75" s="157" t="e">
        <f t="shared" ca="1" si="27"/>
        <v>#NAME?</v>
      </c>
      <c r="U75" s="157" t="e">
        <f t="shared" ca="1" si="28"/>
        <v>#NAME?</v>
      </c>
    </row>
    <row r="76" spans="1:21" x14ac:dyDescent="0.35">
      <c r="A76" s="42">
        <v>0.95</v>
      </c>
      <c r="I76" s="157" t="e">
        <f t="shared" ca="1" si="22"/>
        <v>#NAME?</v>
      </c>
      <c r="K76" s="63" t="e">
        <f t="shared" ca="1" si="23"/>
        <v>#NAME?</v>
      </c>
      <c r="M76" s="157" t="e">
        <f t="shared" ca="1" si="24"/>
        <v>#NAME?</v>
      </c>
      <c r="O76" s="157" t="e">
        <f t="shared" ca="1" si="25"/>
        <v>#NAME?</v>
      </c>
      <c r="Q76" s="157" t="e">
        <f t="shared" ca="1" si="26"/>
        <v>#NAME?</v>
      </c>
      <c r="S76" s="157" t="e">
        <f t="shared" ca="1" si="27"/>
        <v>#NAME?</v>
      </c>
      <c r="U76" s="157" t="e">
        <f t="shared" ca="1" si="28"/>
        <v>#NAME?</v>
      </c>
    </row>
    <row r="77" spans="1:21" x14ac:dyDescent="0.35">
      <c r="A77" s="140">
        <v>0.98</v>
      </c>
      <c r="B77" s="46"/>
      <c r="C77" s="46"/>
      <c r="D77" s="46"/>
      <c r="E77" s="46"/>
      <c r="F77" s="46"/>
      <c r="G77" s="46"/>
      <c r="H77" s="46"/>
      <c r="I77" s="155" t="e">
        <f t="shared" ca="1" si="22"/>
        <v>#NAME?</v>
      </c>
      <c r="J77" s="46"/>
      <c r="K77" s="141" t="e">
        <f t="shared" ca="1" si="23"/>
        <v>#NAME?</v>
      </c>
      <c r="L77" s="46"/>
      <c r="M77" s="156" t="e">
        <f t="shared" ca="1" si="24"/>
        <v>#NAME?</v>
      </c>
      <c r="N77" s="46"/>
      <c r="O77" s="156" t="e">
        <f t="shared" ca="1" si="25"/>
        <v>#NAME?</v>
      </c>
      <c r="P77" s="46"/>
      <c r="Q77" s="155" t="e">
        <f t="shared" ca="1" si="26"/>
        <v>#NAME?</v>
      </c>
      <c r="R77" s="46"/>
      <c r="S77" s="156" t="e">
        <f t="shared" ca="1" si="27"/>
        <v>#NAME?</v>
      </c>
      <c r="T77" s="46"/>
      <c r="U77" s="156" t="e">
        <f t="shared" ca="1" si="28"/>
        <v>#NAME?</v>
      </c>
    </row>
    <row r="78" spans="1:21" x14ac:dyDescent="0.35">
      <c r="A78" s="42">
        <v>0.99</v>
      </c>
      <c r="I78" s="157" t="e">
        <f t="shared" ca="1" si="22"/>
        <v>#NAME?</v>
      </c>
      <c r="K78" s="63" t="e">
        <f t="shared" ca="1" si="23"/>
        <v>#NAME?</v>
      </c>
      <c r="M78" s="157" t="e">
        <f t="shared" ca="1" si="24"/>
        <v>#NAME?</v>
      </c>
      <c r="O78" s="157" t="e">
        <f t="shared" ca="1" si="25"/>
        <v>#NAME?</v>
      </c>
      <c r="Q78" s="157" t="e">
        <f t="shared" ca="1" si="26"/>
        <v>#NAME?</v>
      </c>
      <c r="S78" s="157" t="e">
        <f t="shared" ca="1" si="27"/>
        <v>#NAME?</v>
      </c>
      <c r="U78" s="157" t="e">
        <f t="shared" ca="1" si="28"/>
        <v>#NAME?</v>
      </c>
    </row>
    <row r="79" spans="1:21" x14ac:dyDescent="0.35">
      <c r="A79" s="154">
        <v>0.997</v>
      </c>
      <c r="I79" s="155" t="e">
        <f t="shared" ca="1" si="22"/>
        <v>#NAME?</v>
      </c>
      <c r="J79" s="46"/>
      <c r="K79" s="141" t="e">
        <f t="shared" ca="1" si="23"/>
        <v>#NAME?</v>
      </c>
      <c r="L79" s="46"/>
      <c r="M79" s="141" t="e">
        <f t="shared" ca="1" si="24"/>
        <v>#NAME?</v>
      </c>
      <c r="N79" s="46"/>
      <c r="O79" s="156" t="e">
        <f t="shared" ca="1" si="25"/>
        <v>#NAME?</v>
      </c>
      <c r="P79" s="46"/>
      <c r="Q79" s="85" t="e">
        <f t="shared" ca="1" si="26"/>
        <v>#NAME?</v>
      </c>
      <c r="R79" s="46"/>
      <c r="S79" s="141" t="e">
        <f t="shared" ca="1" si="27"/>
        <v>#NAME?</v>
      </c>
      <c r="T79" s="46"/>
      <c r="U79" s="156" t="e">
        <f t="shared" ca="1" si="28"/>
        <v>#NAME?</v>
      </c>
    </row>
    <row r="81" spans="1:21" x14ac:dyDescent="0.35">
      <c r="A81" s="151" t="s">
        <v>227</v>
      </c>
      <c r="B81" s="152"/>
      <c r="C81" s="152"/>
      <c r="D81" s="152"/>
      <c r="E81" s="152"/>
      <c r="F81" s="166">
        <v>1</v>
      </c>
      <c r="I81" s="139" t="e">
        <f ca="1">$I$41*F81</f>
        <v>#NAME?</v>
      </c>
      <c r="K81" s="139" t="e">
        <f ca="1">$K$41*F81</f>
        <v>#NAME?</v>
      </c>
      <c r="M81" s="139" t="e">
        <f ca="1">$M$41*F81</f>
        <v>#NAME?</v>
      </c>
      <c r="O81" s="139" t="e">
        <f ca="1">$O$41*F81</f>
        <v>#NAME?</v>
      </c>
      <c r="Q81" s="139" t="e">
        <f ca="1">$Q$41*F81</f>
        <v>#NAME?</v>
      </c>
      <c r="S81" s="139" t="e">
        <f ca="1">$S$41*F81</f>
        <v>#NAME?</v>
      </c>
      <c r="U81" s="139" t="e">
        <f ca="1">$U$41*F81</f>
        <v>#NAME?</v>
      </c>
    </row>
    <row r="82" spans="1:21" x14ac:dyDescent="0.35">
      <c r="A82" t="s">
        <v>185</v>
      </c>
      <c r="E82" s="153" t="s">
        <v>207</v>
      </c>
      <c r="F82" s="166">
        <f>F81*F46</f>
        <v>0</v>
      </c>
      <c r="I82" s="174" t="s">
        <v>218</v>
      </c>
      <c r="K82" s="174" t="s">
        <v>220</v>
      </c>
      <c r="M82" s="174" t="s">
        <v>221</v>
      </c>
      <c r="O82" s="174" t="s">
        <v>207</v>
      </c>
      <c r="Q82" s="174" t="s">
        <v>219</v>
      </c>
      <c r="S82" s="174" t="s">
        <v>222</v>
      </c>
      <c r="U82" s="174" t="s">
        <v>223</v>
      </c>
    </row>
    <row r="83" spans="1:21" x14ac:dyDescent="0.35">
      <c r="A83" s="42">
        <v>0.5</v>
      </c>
      <c r="I83" s="157" t="e">
        <f t="shared" ref="I83:I88" ca="1" si="29">I$81*(1-$A83)</f>
        <v>#NAME?</v>
      </c>
      <c r="K83" s="158" t="e">
        <f t="shared" ref="K83:K88" ca="1" si="30">K$81*(1-$A83)</f>
        <v>#NAME?</v>
      </c>
      <c r="M83" s="157" t="e">
        <f t="shared" ref="M83:M88" ca="1" si="31">M$81*(1-$A83)</f>
        <v>#NAME?</v>
      </c>
      <c r="O83" s="157" t="e">
        <f t="shared" ref="O83:O88" ca="1" si="32">O$81*(1-$A83)</f>
        <v>#NAME?</v>
      </c>
      <c r="Q83" s="157" t="e">
        <f t="shared" ref="Q83:Q88" ca="1" si="33">Q$81*(1-$A83)</f>
        <v>#NAME?</v>
      </c>
      <c r="S83" s="157" t="e">
        <f t="shared" ref="S83:S88" ca="1" si="34">S$81*(1-$A83)</f>
        <v>#NAME?</v>
      </c>
      <c r="U83" s="157" t="e">
        <f t="shared" ref="U83:U88" ca="1" si="35">U$81*(1-$A83)</f>
        <v>#NAME?</v>
      </c>
    </row>
    <row r="84" spans="1:21" x14ac:dyDescent="0.35">
      <c r="A84" s="42">
        <v>0.9</v>
      </c>
      <c r="I84" s="157" t="e">
        <f t="shared" ca="1" si="29"/>
        <v>#NAME?</v>
      </c>
      <c r="K84" s="158" t="e">
        <f t="shared" ca="1" si="30"/>
        <v>#NAME?</v>
      </c>
      <c r="M84" s="157" t="e">
        <f t="shared" ca="1" si="31"/>
        <v>#NAME?</v>
      </c>
      <c r="O84" s="157" t="e">
        <f t="shared" ca="1" si="32"/>
        <v>#NAME?</v>
      </c>
      <c r="Q84" s="157" t="e">
        <f t="shared" ca="1" si="33"/>
        <v>#NAME?</v>
      </c>
      <c r="S84" s="157" t="e">
        <f t="shared" ca="1" si="34"/>
        <v>#NAME?</v>
      </c>
      <c r="U84" s="157" t="e">
        <f t="shared" ca="1" si="35"/>
        <v>#NAME?</v>
      </c>
    </row>
    <row r="85" spans="1:21" x14ac:dyDescent="0.35">
      <c r="A85" s="42">
        <v>0.95</v>
      </c>
      <c r="I85" s="157" t="e">
        <f t="shared" ca="1" si="29"/>
        <v>#NAME?</v>
      </c>
      <c r="K85" s="158" t="e">
        <f t="shared" ca="1" si="30"/>
        <v>#NAME?</v>
      </c>
      <c r="M85" s="158" t="e">
        <f t="shared" ca="1" si="31"/>
        <v>#NAME?</v>
      </c>
      <c r="O85" s="157" t="e">
        <f t="shared" ca="1" si="32"/>
        <v>#NAME?</v>
      </c>
      <c r="Q85" s="158" t="e">
        <f t="shared" ca="1" si="33"/>
        <v>#NAME?</v>
      </c>
      <c r="S85" s="158" t="e">
        <f t="shared" ca="1" si="34"/>
        <v>#NAME?</v>
      </c>
      <c r="U85" s="158" t="e">
        <f t="shared" ca="1" si="35"/>
        <v>#NAME?</v>
      </c>
    </row>
    <row r="86" spans="1:21" x14ac:dyDescent="0.35">
      <c r="A86" s="140">
        <v>0.98</v>
      </c>
      <c r="B86" s="46"/>
      <c r="C86" s="46"/>
      <c r="D86" s="46"/>
      <c r="E86" s="46"/>
      <c r="F86" s="46"/>
      <c r="G86" s="46"/>
      <c r="H86" s="46"/>
      <c r="I86" s="155" t="e">
        <f t="shared" ca="1" si="29"/>
        <v>#NAME?</v>
      </c>
      <c r="J86" s="46"/>
      <c r="K86" s="164" t="e">
        <f t="shared" ca="1" si="30"/>
        <v>#NAME?</v>
      </c>
      <c r="L86" s="46"/>
      <c r="M86" s="164" t="e">
        <f t="shared" ca="1" si="31"/>
        <v>#NAME?</v>
      </c>
      <c r="N86" s="46"/>
      <c r="O86" s="164" t="e">
        <f t="shared" ca="1" si="32"/>
        <v>#NAME?</v>
      </c>
      <c r="P86" s="46"/>
      <c r="Q86" s="163" t="e">
        <f t="shared" ca="1" si="33"/>
        <v>#NAME?</v>
      </c>
      <c r="R86" s="46"/>
      <c r="S86" s="164" t="e">
        <f t="shared" ca="1" si="34"/>
        <v>#NAME?</v>
      </c>
      <c r="T86" s="46"/>
      <c r="U86" s="164" t="e">
        <f t="shared" ca="1" si="35"/>
        <v>#NAME?</v>
      </c>
    </row>
    <row r="87" spans="1:21" x14ac:dyDescent="0.35">
      <c r="A87" s="42">
        <v>0.99</v>
      </c>
      <c r="I87" s="157" t="e">
        <f t="shared" ca="1" si="29"/>
        <v>#NAME?</v>
      </c>
      <c r="K87" s="158" t="e">
        <f t="shared" ca="1" si="30"/>
        <v>#NAME?</v>
      </c>
      <c r="M87" s="158" t="e">
        <f t="shared" ca="1" si="31"/>
        <v>#NAME?</v>
      </c>
      <c r="O87" s="158" t="e">
        <f t="shared" ca="1" si="32"/>
        <v>#NAME?</v>
      </c>
      <c r="Q87" s="158" t="e">
        <f t="shared" ca="1" si="33"/>
        <v>#NAME?</v>
      </c>
      <c r="S87" s="158" t="e">
        <f t="shared" ca="1" si="34"/>
        <v>#NAME?</v>
      </c>
      <c r="U87" s="158" t="e">
        <f t="shared" ca="1" si="35"/>
        <v>#NAME?</v>
      </c>
    </row>
    <row r="88" spans="1:21" x14ac:dyDescent="0.35">
      <c r="A88" s="154">
        <v>0.997</v>
      </c>
      <c r="I88" s="85" t="e">
        <f t="shared" ca="1" si="29"/>
        <v>#NAME?</v>
      </c>
      <c r="J88" s="46"/>
      <c r="K88" s="164" t="e">
        <f t="shared" ca="1" si="30"/>
        <v>#NAME?</v>
      </c>
      <c r="L88" s="46"/>
      <c r="M88" s="164" t="e">
        <f t="shared" ca="1" si="31"/>
        <v>#NAME?</v>
      </c>
      <c r="N88" s="46"/>
      <c r="O88" s="164" t="e">
        <f t="shared" ca="1" si="32"/>
        <v>#NAME?</v>
      </c>
      <c r="P88" s="46"/>
      <c r="Q88" s="163" t="e">
        <f t="shared" ca="1" si="33"/>
        <v>#NAME?</v>
      </c>
      <c r="R88" s="46"/>
      <c r="S88" s="164" t="e">
        <f t="shared" ca="1" si="34"/>
        <v>#NAME?</v>
      </c>
      <c r="T88" s="46"/>
      <c r="U88" s="164" t="e">
        <f t="shared" ca="1" si="35"/>
        <v>#NAME?</v>
      </c>
    </row>
    <row r="90" spans="1:21" x14ac:dyDescent="0.35">
      <c r="A90" s="151" t="s">
        <v>229</v>
      </c>
      <c r="B90" s="152"/>
      <c r="C90" s="152"/>
      <c r="D90" s="152"/>
      <c r="E90" s="152"/>
      <c r="F90" s="166">
        <v>33</v>
      </c>
      <c r="I90" s="139" t="e">
        <f ca="1">$I$41*F90</f>
        <v>#NAME?</v>
      </c>
      <c r="K90" s="139" t="e">
        <f ca="1">$K$41*F90</f>
        <v>#NAME?</v>
      </c>
      <c r="M90" s="139" t="e">
        <f ca="1">$M$41*F90</f>
        <v>#NAME?</v>
      </c>
      <c r="O90" s="139" t="e">
        <f ca="1">$O$41*F90</f>
        <v>#NAME?</v>
      </c>
      <c r="Q90" s="139" t="e">
        <f ca="1">$Q$41*F90</f>
        <v>#NAME?</v>
      </c>
      <c r="S90" s="139" t="e">
        <f ca="1">$S$41*F90</f>
        <v>#NAME?</v>
      </c>
      <c r="U90" s="139" t="e">
        <f ca="1">$U$41*F90</f>
        <v>#NAME?</v>
      </c>
    </row>
    <row r="91" spans="1:21" x14ac:dyDescent="0.35">
      <c r="A91" t="s">
        <v>185</v>
      </c>
      <c r="E91" s="153" t="s">
        <v>207</v>
      </c>
      <c r="F91" s="166">
        <f>F90*F46</f>
        <v>0</v>
      </c>
      <c r="I91" s="174" t="s">
        <v>218</v>
      </c>
      <c r="K91" s="174" t="s">
        <v>220</v>
      </c>
      <c r="M91" s="174" t="s">
        <v>221</v>
      </c>
      <c r="O91" s="174" t="s">
        <v>207</v>
      </c>
      <c r="Q91" s="174" t="s">
        <v>219</v>
      </c>
      <c r="S91" s="174" t="s">
        <v>222</v>
      </c>
      <c r="U91" s="174" t="s">
        <v>223</v>
      </c>
    </row>
    <row r="92" spans="1:21" x14ac:dyDescent="0.35">
      <c r="A92" s="42">
        <v>0.5</v>
      </c>
      <c r="I92" s="157" t="e">
        <f t="shared" ref="I92:I97" ca="1" si="36">I$90*(1-$A92)</f>
        <v>#NAME?</v>
      </c>
      <c r="K92" s="158" t="e">
        <f t="shared" ref="K92:K97" ca="1" si="37">K$90*(1-$A92)</f>
        <v>#NAME?</v>
      </c>
      <c r="M92" s="157" t="e">
        <f t="shared" ref="M92:M97" ca="1" si="38">M$90*(1-$A92)</f>
        <v>#NAME?</v>
      </c>
      <c r="O92" s="157" t="e">
        <f t="shared" ref="O92:O97" ca="1" si="39">O$90*(1-$A92)</f>
        <v>#NAME?</v>
      </c>
      <c r="Q92" s="157" t="e">
        <f t="shared" ref="Q92:Q97" ca="1" si="40">Q$90*(1-$A92)</f>
        <v>#NAME?</v>
      </c>
      <c r="S92" s="157" t="e">
        <f t="shared" ref="S92:S97" ca="1" si="41">S$90*(1-$A92)</f>
        <v>#NAME?</v>
      </c>
      <c r="U92" s="157" t="e">
        <f t="shared" ref="U92:U97" ca="1" si="42">U$90*(1-$A92)</f>
        <v>#NAME?</v>
      </c>
    </row>
    <row r="93" spans="1:21" x14ac:dyDescent="0.35">
      <c r="A93" s="42">
        <v>0.9</v>
      </c>
      <c r="I93" s="157" t="e">
        <f t="shared" ca="1" si="36"/>
        <v>#NAME?</v>
      </c>
      <c r="K93" s="158" t="e">
        <f t="shared" ca="1" si="37"/>
        <v>#NAME?</v>
      </c>
      <c r="M93" s="157" t="e">
        <f t="shared" ca="1" si="38"/>
        <v>#NAME?</v>
      </c>
      <c r="O93" s="157" t="e">
        <f t="shared" ca="1" si="39"/>
        <v>#NAME?</v>
      </c>
      <c r="Q93" s="157" t="e">
        <f t="shared" ca="1" si="40"/>
        <v>#NAME?</v>
      </c>
      <c r="S93" s="157" t="e">
        <f t="shared" ca="1" si="41"/>
        <v>#NAME?</v>
      </c>
      <c r="U93" s="157" t="e">
        <f t="shared" ca="1" si="42"/>
        <v>#NAME?</v>
      </c>
    </row>
    <row r="94" spans="1:21" x14ac:dyDescent="0.35">
      <c r="A94" s="42">
        <v>0.95</v>
      </c>
      <c r="I94" s="157" t="e">
        <f t="shared" ca="1" si="36"/>
        <v>#NAME?</v>
      </c>
      <c r="K94" s="158" t="e">
        <f t="shared" ca="1" si="37"/>
        <v>#NAME?</v>
      </c>
      <c r="M94" s="157" t="e">
        <f t="shared" ca="1" si="38"/>
        <v>#NAME?</v>
      </c>
      <c r="O94" s="157" t="e">
        <f t="shared" ca="1" si="39"/>
        <v>#NAME?</v>
      </c>
      <c r="Q94" s="157" t="e">
        <f t="shared" ca="1" si="40"/>
        <v>#NAME?</v>
      </c>
      <c r="S94" s="157" t="e">
        <f t="shared" ca="1" si="41"/>
        <v>#NAME?</v>
      </c>
      <c r="U94" s="157" t="e">
        <f t="shared" ca="1" si="42"/>
        <v>#NAME?</v>
      </c>
    </row>
    <row r="95" spans="1:21" x14ac:dyDescent="0.35">
      <c r="A95" s="140">
        <v>0.98</v>
      </c>
      <c r="B95" s="46"/>
      <c r="C95" s="46"/>
      <c r="D95" s="46"/>
      <c r="E95" s="46"/>
      <c r="F95" s="46"/>
      <c r="G95" s="46"/>
      <c r="H95" s="46"/>
      <c r="I95" s="155" t="e">
        <f t="shared" ca="1" si="36"/>
        <v>#NAME?</v>
      </c>
      <c r="J95" s="46"/>
      <c r="K95" s="163" t="e">
        <f t="shared" ca="1" si="37"/>
        <v>#NAME?</v>
      </c>
      <c r="L95" s="46"/>
      <c r="M95" s="155" t="e">
        <f t="shared" ca="1" si="38"/>
        <v>#NAME?</v>
      </c>
      <c r="N95" s="46"/>
      <c r="O95" s="155" t="e">
        <f t="shared" ca="1" si="39"/>
        <v>#NAME?</v>
      </c>
      <c r="P95" s="46"/>
      <c r="Q95" s="155" t="e">
        <f t="shared" ca="1" si="40"/>
        <v>#NAME?</v>
      </c>
      <c r="R95" s="46"/>
      <c r="S95" s="155" t="e">
        <f t="shared" ca="1" si="41"/>
        <v>#NAME?</v>
      </c>
      <c r="T95" s="46"/>
      <c r="U95" s="155" t="e">
        <f t="shared" ca="1" si="42"/>
        <v>#NAME?</v>
      </c>
    </row>
    <row r="96" spans="1:21" x14ac:dyDescent="0.35">
      <c r="A96" s="42">
        <v>0.99</v>
      </c>
      <c r="I96" s="157" t="e">
        <f t="shared" ca="1" si="36"/>
        <v>#NAME?</v>
      </c>
      <c r="K96" s="158" t="e">
        <f t="shared" ca="1" si="37"/>
        <v>#NAME?</v>
      </c>
      <c r="M96" s="157" t="e">
        <f t="shared" ca="1" si="38"/>
        <v>#NAME?</v>
      </c>
      <c r="O96" s="157" t="e">
        <f t="shared" ca="1" si="39"/>
        <v>#NAME?</v>
      </c>
      <c r="Q96" s="157" t="e">
        <f t="shared" ca="1" si="40"/>
        <v>#NAME?</v>
      </c>
      <c r="S96" s="157" t="e">
        <f t="shared" ca="1" si="41"/>
        <v>#NAME?</v>
      </c>
      <c r="U96" s="157" t="e">
        <f t="shared" ca="1" si="42"/>
        <v>#NAME?</v>
      </c>
    </row>
    <row r="97" spans="1:21" x14ac:dyDescent="0.35">
      <c r="A97" s="154">
        <v>0.997</v>
      </c>
      <c r="I97" s="155" t="e">
        <f t="shared" ca="1" si="36"/>
        <v>#NAME?</v>
      </c>
      <c r="J97" s="46"/>
      <c r="K97" s="163" t="e">
        <f t="shared" ca="1" si="37"/>
        <v>#NAME?</v>
      </c>
      <c r="L97" s="46"/>
      <c r="M97" s="85" t="e">
        <f t="shared" ca="1" si="38"/>
        <v>#NAME?</v>
      </c>
      <c r="N97" s="46"/>
      <c r="O97" s="85" t="e">
        <f t="shared" ca="1" si="39"/>
        <v>#NAME?</v>
      </c>
      <c r="P97" s="46"/>
      <c r="Q97" s="85" t="e">
        <f t="shared" ca="1" si="40"/>
        <v>#NAME?</v>
      </c>
      <c r="R97" s="46"/>
      <c r="S97" s="85" t="e">
        <f t="shared" ca="1" si="41"/>
        <v>#NAME?</v>
      </c>
      <c r="T97" s="46"/>
      <c r="U97" s="85" t="e">
        <f t="shared" ca="1" si="42"/>
        <v>#NAME?</v>
      </c>
    </row>
  </sheetData>
  <printOptions gridLines="1"/>
  <pageMargins left="0.70866141732283472" right="0.70866141732283472" top="0.74803149606299213" bottom="0.74803149606299213" header="0.31496062992125984" footer="0.31496062992125984"/>
  <pageSetup paperSize="9" scale="66" orientation="landscape" horizontalDpi="4294967293" verticalDpi="12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EDFEE-969B-4647-BC24-F796A68A3C65}">
  <sheetPr codeName="Sheet12"/>
  <dimension ref="A1:S21"/>
  <sheetViews>
    <sheetView defaultGridColor="0" colorId="22" zoomScale="115" zoomScaleNormal="115" workbookViewId="0">
      <selection activeCell="K21" sqref="K21"/>
    </sheetView>
  </sheetViews>
  <sheetFormatPr defaultRowHeight="14.5" x14ac:dyDescent="0.35"/>
  <cols>
    <col min="1" max="1" width="10" customWidth="1"/>
    <col min="2" max="2" width="19.81640625" customWidth="1"/>
    <col min="3" max="3" width="11.7265625" style="13" customWidth="1"/>
    <col min="4" max="4" width="9.1796875" style="13"/>
    <col min="5" max="5" width="10.453125" style="13" customWidth="1"/>
    <col min="6" max="6" width="12.54296875" style="13" customWidth="1"/>
    <col min="7" max="7" width="10.81640625" style="13" customWidth="1"/>
    <col min="8" max="8" width="2.54296875" style="13" customWidth="1"/>
    <col min="9" max="9" width="10.81640625" style="13" customWidth="1"/>
    <col min="10" max="10" width="2.81640625" style="13" customWidth="1"/>
    <col min="11" max="11" width="10.81640625" style="13" customWidth="1"/>
    <col min="12" max="12" width="2.81640625" style="13" customWidth="1"/>
    <col min="13" max="13" width="10.81640625" style="13" customWidth="1"/>
    <col min="14" max="14" width="1.81640625" customWidth="1"/>
    <col min="15" max="15" width="9.1796875" customWidth="1"/>
    <col min="16" max="16" width="2.26953125" customWidth="1"/>
    <col min="18" max="18" width="2.7265625" customWidth="1"/>
  </cols>
  <sheetData>
    <row r="1" spans="1:19" ht="27.75" customHeight="1" x14ac:dyDescent="0.35">
      <c r="A1" s="321" t="s">
        <v>239</v>
      </c>
      <c r="B1" s="322"/>
      <c r="C1" s="181" t="s">
        <v>238</v>
      </c>
      <c r="D1" s="182" t="s">
        <v>237</v>
      </c>
      <c r="E1" s="183" t="s">
        <v>240</v>
      </c>
      <c r="F1" s="180" t="s">
        <v>241</v>
      </c>
    </row>
    <row r="2" spans="1:19" ht="15" customHeight="1" x14ac:dyDescent="0.35">
      <c r="A2" s="178"/>
      <c r="B2" s="179"/>
      <c r="C2" s="136"/>
      <c r="D2" s="136"/>
    </row>
    <row r="3" spans="1:19" ht="15" customHeight="1" x14ac:dyDescent="0.35">
      <c r="A3" s="203" t="s">
        <v>200</v>
      </c>
      <c r="B3" s="153"/>
      <c r="C3" s="136"/>
      <c r="D3" s="136"/>
    </row>
    <row r="4" spans="1:19" x14ac:dyDescent="0.35">
      <c r="A4" s="235" t="s">
        <v>191</v>
      </c>
      <c r="C4" s="323">
        <f>Devices!D1</f>
        <v>2</v>
      </c>
      <c r="D4" s="323"/>
      <c r="E4" s="216"/>
      <c r="F4" s="217"/>
      <c r="G4" s="225"/>
      <c r="H4" s="225"/>
      <c r="I4" s="225"/>
      <c r="J4" s="225"/>
      <c r="K4" s="225"/>
      <c r="L4" s="225"/>
      <c r="M4" s="225"/>
      <c r="N4" s="43"/>
      <c r="O4" s="225"/>
      <c r="Q4" s="225"/>
      <c r="S4" s="225"/>
    </row>
    <row r="5" spans="1:19" x14ac:dyDescent="0.35">
      <c r="A5" s="236" t="s">
        <v>242</v>
      </c>
      <c r="C5" s="324">
        <f>Devices!D2</f>
        <v>0</v>
      </c>
      <c r="D5" s="324"/>
      <c r="E5" s="216"/>
      <c r="F5" s="217"/>
      <c r="G5" s="225"/>
      <c r="H5" s="225"/>
      <c r="I5" s="225"/>
      <c r="J5" s="225"/>
      <c r="K5" s="225"/>
      <c r="L5" s="225"/>
      <c r="M5" s="225"/>
      <c r="N5" s="43"/>
      <c r="O5" s="225"/>
      <c r="Q5" s="225"/>
      <c r="S5" s="225"/>
    </row>
    <row r="6" spans="1:19" x14ac:dyDescent="0.35">
      <c r="A6" s="226"/>
      <c r="B6" s="184"/>
      <c r="C6" s="8"/>
      <c r="D6" s="5"/>
      <c r="E6" s="216"/>
      <c r="F6" s="217"/>
      <c r="G6" s="225"/>
      <c r="H6" s="225"/>
      <c r="I6" s="225"/>
      <c r="J6" s="225"/>
      <c r="K6" s="225"/>
      <c r="L6" s="225"/>
      <c r="M6" s="225"/>
      <c r="N6" s="43"/>
      <c r="O6" s="225"/>
      <c r="Q6" s="225"/>
      <c r="S6" s="225"/>
    </row>
    <row r="7" spans="1:19" x14ac:dyDescent="0.35">
      <c r="A7" s="1" t="s">
        <v>54</v>
      </c>
      <c r="B7" s="185"/>
      <c r="C7" s="3"/>
      <c r="D7" s="12"/>
      <c r="F7" s="217"/>
      <c r="G7" s="225"/>
      <c r="H7" s="225"/>
      <c r="I7" s="225"/>
      <c r="J7" s="225"/>
      <c r="K7" s="225"/>
      <c r="L7" s="225"/>
      <c r="M7" s="225"/>
      <c r="N7" s="43"/>
      <c r="O7" s="225"/>
      <c r="Q7" s="225"/>
      <c r="S7" s="225"/>
    </row>
    <row r="8" spans="1:19" x14ac:dyDescent="0.35">
      <c r="A8" s="1" t="s">
        <v>26</v>
      </c>
      <c r="B8" s="185"/>
      <c r="C8" s="14" t="s">
        <v>27</v>
      </c>
      <c r="D8" s="186" t="s">
        <v>23</v>
      </c>
      <c r="E8" s="248">
        <f>Devices!D5</f>
        <v>0</v>
      </c>
      <c r="F8" s="217"/>
      <c r="G8" s="225"/>
      <c r="H8" s="225"/>
      <c r="I8" s="225"/>
      <c r="J8" s="225"/>
      <c r="K8" s="225"/>
      <c r="L8" s="225"/>
      <c r="M8" s="225"/>
      <c r="N8" s="43"/>
      <c r="O8" s="225"/>
      <c r="Q8" s="225"/>
      <c r="S8" s="225"/>
    </row>
    <row r="9" spans="1:19" x14ac:dyDescent="0.35">
      <c r="A9" s="4" t="s">
        <v>24</v>
      </c>
      <c r="B9" s="2"/>
      <c r="C9" s="9" t="s">
        <v>25</v>
      </c>
      <c r="D9" s="7" t="s">
        <v>23</v>
      </c>
      <c r="E9" s="247">
        <f>2*E8</f>
        <v>0</v>
      </c>
      <c r="F9" s="217"/>
      <c r="G9" s="225"/>
      <c r="H9" s="225"/>
      <c r="I9" s="225"/>
      <c r="J9" s="225"/>
      <c r="K9" s="225"/>
      <c r="L9" s="225"/>
      <c r="M9" s="225"/>
      <c r="N9" s="43"/>
      <c r="O9" s="225"/>
      <c r="Q9" s="225"/>
      <c r="S9" s="225"/>
    </row>
    <row r="10" spans="1:19" x14ac:dyDescent="0.35">
      <c r="A10" s="4" t="s">
        <v>55</v>
      </c>
      <c r="B10" s="2"/>
      <c r="C10" s="14"/>
      <c r="D10" s="186" t="s">
        <v>23</v>
      </c>
      <c r="E10" s="44">
        <f>Devices!D3</f>
        <v>0</v>
      </c>
      <c r="F10" s="217"/>
      <c r="G10" s="225"/>
      <c r="H10" s="225"/>
      <c r="I10" s="225"/>
      <c r="J10" s="225"/>
      <c r="K10" s="225"/>
      <c r="L10" s="225"/>
      <c r="M10" s="225"/>
      <c r="N10" s="43"/>
      <c r="O10" s="225"/>
      <c r="Q10" s="225"/>
      <c r="S10" s="225"/>
    </row>
    <row r="11" spans="1:19" x14ac:dyDescent="0.35">
      <c r="A11" s="4" t="s">
        <v>186</v>
      </c>
      <c r="B11" s="2"/>
      <c r="C11" s="14"/>
      <c r="D11" s="14" t="s">
        <v>23</v>
      </c>
      <c r="E11" s="227">
        <f>Devices!D22</f>
        <v>0</v>
      </c>
      <c r="F11" s="217"/>
      <c r="G11" s="225"/>
      <c r="H11" s="225"/>
      <c r="I11" s="225"/>
      <c r="J11" s="225"/>
      <c r="K11" s="225"/>
      <c r="L11" s="225"/>
      <c r="M11" s="225"/>
      <c r="N11" s="43"/>
      <c r="O11" s="225"/>
      <c r="Q11" s="225"/>
      <c r="S11" s="225"/>
    </row>
    <row r="12" spans="1:19" x14ac:dyDescent="0.35">
      <c r="A12" s="4"/>
      <c r="B12" s="2"/>
      <c r="C12" s="3"/>
      <c r="D12" s="3"/>
      <c r="E12" s="24"/>
      <c r="F12" s="217"/>
      <c r="G12" s="225"/>
      <c r="H12" s="225"/>
      <c r="I12" s="225"/>
      <c r="J12" s="225"/>
      <c r="K12" s="225"/>
      <c r="L12" s="225"/>
      <c r="M12" s="225"/>
      <c r="N12" s="43"/>
      <c r="O12" s="225"/>
      <c r="Q12" s="225"/>
      <c r="S12" s="225"/>
    </row>
    <row r="13" spans="1:19" ht="24" x14ac:dyDescent="0.35">
      <c r="A13" s="228" t="s">
        <v>243</v>
      </c>
      <c r="B13" s="229"/>
      <c r="C13" s="8"/>
      <c r="D13" s="5"/>
      <c r="E13" s="216"/>
      <c r="F13" s="217"/>
      <c r="G13" s="187" t="s">
        <v>77</v>
      </c>
      <c r="H13" s="52"/>
      <c r="I13" s="187" t="s">
        <v>143</v>
      </c>
      <c r="J13" s="92"/>
      <c r="K13" s="187" t="s">
        <v>107</v>
      </c>
      <c r="L13" s="52"/>
      <c r="M13" s="187" t="s">
        <v>78</v>
      </c>
      <c r="N13" s="53"/>
      <c r="O13" s="187" t="s">
        <v>188</v>
      </c>
      <c r="Q13" s="187" t="s">
        <v>189</v>
      </c>
      <c r="S13" s="187" t="s">
        <v>199</v>
      </c>
    </row>
    <row r="14" spans="1:19" x14ac:dyDescent="0.35">
      <c r="A14" s="4" t="s">
        <v>4</v>
      </c>
      <c r="B14" s="2"/>
      <c r="C14" s="171" t="s">
        <v>259</v>
      </c>
      <c r="D14" s="171" t="s">
        <v>6</v>
      </c>
      <c r="G14" s="172">
        <f>Animals!G12</f>
        <v>26.2</v>
      </c>
      <c r="H14" s="45"/>
      <c r="I14" s="172">
        <f>Animals!I12</f>
        <v>180</v>
      </c>
      <c r="J14" s="45"/>
      <c r="K14" s="172">
        <f>Animals!K12</f>
        <v>297</v>
      </c>
      <c r="L14" s="45"/>
      <c r="M14" s="172">
        <f>Animals!M12</f>
        <v>104</v>
      </c>
      <c r="N14" s="43"/>
      <c r="O14" s="172">
        <f>Animals!O12</f>
        <v>25.8</v>
      </c>
      <c r="Q14" s="188">
        <f>Animals!Q12</f>
        <v>25.8</v>
      </c>
      <c r="S14" s="188">
        <f>Animals!S12</f>
        <v>25.8</v>
      </c>
    </row>
    <row r="15" spans="1:19" x14ac:dyDescent="0.35">
      <c r="A15" s="4" t="s">
        <v>2</v>
      </c>
      <c r="B15" s="2"/>
      <c r="C15" s="189" t="s">
        <v>3</v>
      </c>
      <c r="D15" s="189" t="s">
        <v>260</v>
      </c>
      <c r="E15" s="5"/>
      <c r="F15" s="28" t="s">
        <v>261</v>
      </c>
      <c r="G15" s="190">
        <f>Animals!G16</f>
        <v>0</v>
      </c>
      <c r="I15" s="190">
        <f>Animals!I16</f>
        <v>0</v>
      </c>
      <c r="J15" s="191"/>
      <c r="K15" s="190">
        <f>Animals!K16</f>
        <v>0</v>
      </c>
      <c r="M15" s="190">
        <f>Animals!M16</f>
        <v>0</v>
      </c>
      <c r="O15" s="190">
        <f>Animals!O16</f>
        <v>0</v>
      </c>
      <c r="Q15" s="190">
        <f>Animals!Q16</f>
        <v>0</v>
      </c>
      <c r="S15" s="190">
        <f>Animals!S16</f>
        <v>0</v>
      </c>
    </row>
    <row r="16" spans="1:19" ht="24" x14ac:dyDescent="0.35">
      <c r="A16" s="4" t="s">
        <v>86</v>
      </c>
      <c r="B16" s="2"/>
      <c r="C16" s="192"/>
      <c r="D16" s="171"/>
      <c r="E16" s="3"/>
      <c r="F16" s="41"/>
      <c r="G16" s="193" t="str">
        <f>Animals!G10</f>
        <v>harbour porpoise</v>
      </c>
      <c r="H16" s="194"/>
      <c r="I16" s="193" t="str">
        <f>Animals!I10</f>
        <v>harbour seal</v>
      </c>
      <c r="J16" s="195"/>
      <c r="K16" s="193" t="str">
        <f>Animals!K10</f>
        <v>grey seal</v>
      </c>
      <c r="L16" s="45"/>
      <c r="M16" s="193" t="str">
        <f>Animals!M10</f>
        <v>uniform</v>
      </c>
      <c r="N16" s="43"/>
      <c r="O16" s="193" t="str">
        <f>Animals!O10</f>
        <v>uniform</v>
      </c>
      <c r="Q16" s="193" t="str">
        <f>Animals!Q10</f>
        <v>uniform</v>
      </c>
      <c r="S16" s="193" t="str">
        <f>Animals!S10</f>
        <v>uniform</v>
      </c>
    </row>
    <row r="17" spans="1:19" x14ac:dyDescent="0.35">
      <c r="A17" s="4" t="s">
        <v>56</v>
      </c>
      <c r="B17" s="2"/>
      <c r="C17" s="192" t="s">
        <v>57</v>
      </c>
      <c r="D17" s="171" t="s">
        <v>262</v>
      </c>
      <c r="E17" s="3"/>
      <c r="F17" s="41"/>
      <c r="G17" s="196">
        <f>Animals!G11</f>
        <v>0</v>
      </c>
      <c r="H17" s="197"/>
      <c r="I17" s="196">
        <f>Animals!I11</f>
        <v>0.85</v>
      </c>
      <c r="J17" s="198"/>
      <c r="K17" s="196">
        <f>Animals!K11</f>
        <v>0.61</v>
      </c>
      <c r="L17" s="197"/>
      <c r="M17" s="196">
        <f>Animals!M11</f>
        <v>0</v>
      </c>
      <c r="N17" s="199"/>
      <c r="O17" s="196">
        <f>Animals!O11</f>
        <v>0</v>
      </c>
      <c r="Q17" s="196">
        <f>Animals!Q11</f>
        <v>0</v>
      </c>
      <c r="S17" s="196">
        <f>Animals!S11</f>
        <v>0</v>
      </c>
    </row>
    <row r="18" spans="1:19" x14ac:dyDescent="0.35">
      <c r="A18" s="4" t="s">
        <v>15</v>
      </c>
      <c r="B18" s="2"/>
      <c r="C18" s="171" t="s">
        <v>263</v>
      </c>
      <c r="D18" s="189" t="s">
        <v>264</v>
      </c>
      <c r="G18" s="190">
        <f>Animals!G18</f>
        <v>3.3000000000000002E-7</v>
      </c>
      <c r="I18" s="190">
        <f>Animals!I18</f>
        <v>5.0000000000000003E-10</v>
      </c>
      <c r="K18" s="190">
        <f>Animals!K18</f>
        <v>1.55E-7</v>
      </c>
      <c r="M18" s="190">
        <f>Animals!M18</f>
        <v>8.8299999999999987E-9</v>
      </c>
      <c r="O18" s="190">
        <f>Animals!O18</f>
        <v>5.0000000000000001E-9</v>
      </c>
      <c r="Q18" s="190">
        <f>Animals!Q18</f>
        <v>9.5800000000000004E-9</v>
      </c>
      <c r="S18" s="190">
        <f>Animals!S18</f>
        <v>2.33E-9</v>
      </c>
    </row>
    <row r="19" spans="1:19" x14ac:dyDescent="0.35">
      <c r="A19" s="4" t="s">
        <v>11</v>
      </c>
      <c r="B19" s="2"/>
      <c r="C19" s="7" t="s">
        <v>12</v>
      </c>
      <c r="D19" s="7" t="s">
        <v>6</v>
      </c>
      <c r="E19" s="3"/>
      <c r="F19" s="28"/>
      <c r="G19" s="20" t="str">
        <f>IF(G16="shallow-diving",MAX(0,G14-2*$E10/G17),IF(G16="deep-diving",2*$E9/G17,""))</f>
        <v/>
      </c>
      <c r="I19" s="20" t="str">
        <f>IF(I16="shallow-diving",MAX(0,I14-2*$E10/I17),IF(I16="deep-diving",2*$E9/I17,""))</f>
        <v/>
      </c>
      <c r="J19" s="200"/>
      <c r="K19" s="20" t="str">
        <f>IF(K16="shallow-diving",MAX(0,K14-2*$E10/K17),IF(K16="deep-diving",2*$E9/K17,""))</f>
        <v/>
      </c>
      <c r="M19" s="20" t="str">
        <f>IF(M16="shallow-diving",MAX(0,M14-2*$E10/M17),IF(M16="deep-diving",2*$E9/M17,""))</f>
        <v/>
      </c>
      <c r="O19" s="20" t="str">
        <f>IF(O16="shallow-diving",MAX(0,O14-2*$E10/O17),IF(O16="deep-diving",2*$E9/O17,""))</f>
        <v/>
      </c>
      <c r="Q19" s="20" t="str">
        <f>IF(Q16="shallow-diving",MAX(0,Q14-2*$E10/Q17),IF(Q16="deep-diving",2*$E9/Q17,""))</f>
        <v/>
      </c>
      <c r="S19" s="20" t="str">
        <f>IF(S16="shallow-diving",MAX(0,S14-2*$E10/S17),IF(S16="deep-diving",2*$E9/S17,""))</f>
        <v/>
      </c>
    </row>
    <row r="20" spans="1:19" x14ac:dyDescent="0.35">
      <c r="A20" s="4" t="s">
        <v>13</v>
      </c>
      <c r="B20" s="2"/>
      <c r="C20" s="7" t="s">
        <v>177</v>
      </c>
      <c r="D20" s="7"/>
      <c r="E20" s="3"/>
      <c r="F20" s="28" t="s">
        <v>14</v>
      </c>
      <c r="G20" s="201" t="e">
        <f ca="1">Q2R(G16,G17,G14,G15,E10,E9,E11)</f>
        <v>#NAME?</v>
      </c>
      <c r="I20" s="201" t="e">
        <f ca="1">Q2R($I$16,$I$17,$I$14,$I$15,$E10,$E9,$E11)</f>
        <v>#NAME?</v>
      </c>
      <c r="J20" s="202"/>
      <c r="K20" s="201" t="e">
        <f ca="1">Q2R($K$16,$K$17,$K$14,$K$15,$E10,$E9,$E11)</f>
        <v>#NAME?</v>
      </c>
      <c r="M20" s="201" t="e">
        <f ca="1">Q2R($M$16,$M$17,$M$14,$M$15,$E10,$E9,$E11)</f>
        <v>#NAME?</v>
      </c>
      <c r="O20" s="201" t="e">
        <f ca="1">Q2R($O$16,$O$17,$O$14,$O$15,$E10,$E9,$E11)</f>
        <v>#NAME?</v>
      </c>
      <c r="Q20" s="201" t="e">
        <f ca="1">Q2R($Q$16,$Q$17,$Q$14,$Q$15,$E10,$E9,$E11)</f>
        <v>#NAME?</v>
      </c>
      <c r="S20" s="201" t="e">
        <f ca="1">Q2R($S$16,$S$17,$S$14,$S$15,$E10,$E9,$E11)</f>
        <v>#NAME?</v>
      </c>
    </row>
    <row r="21" spans="1:19" x14ac:dyDescent="0.35">
      <c r="A21" s="4" t="s">
        <v>265</v>
      </c>
      <c r="B21" s="2"/>
      <c r="C21" s="9" t="s">
        <v>16</v>
      </c>
      <c r="D21" s="7" t="s">
        <v>266</v>
      </c>
      <c r="E21" s="3"/>
      <c r="F21" s="28" t="s">
        <v>267</v>
      </c>
      <c r="G21" s="230" t="e">
        <f ca="1">G18*G20/$E9</f>
        <v>#NAME?</v>
      </c>
      <c r="I21" s="230" t="e">
        <f ca="1">I18*I20/$E9</f>
        <v>#NAME?</v>
      </c>
      <c r="J21" s="95"/>
      <c r="K21" s="230" t="e">
        <f ca="1">K18*K20/$E9</f>
        <v>#NAME?</v>
      </c>
      <c r="M21" s="230" t="e">
        <f ca="1">M18*M20/$E9</f>
        <v>#NAME?</v>
      </c>
      <c r="O21" s="230" t="e">
        <f ca="1">O18*O20/$E9</f>
        <v>#NAME?</v>
      </c>
      <c r="Q21" s="230" t="e">
        <f ca="1">Q18*Q20/$E9</f>
        <v>#NAME?</v>
      </c>
      <c r="S21" s="230" t="e">
        <f ca="1">S18*S20/$E9</f>
        <v>#NAME?</v>
      </c>
    </row>
  </sheetData>
  <dataConsolidate/>
  <mergeCells count="3">
    <mergeCell ref="A1:B1"/>
    <mergeCell ref="C4:D4"/>
    <mergeCell ref="C5:D5"/>
  </mergeCells>
  <conditionalFormatting sqref="G14 I14:K14 M14 O14">
    <cfRule type="expression" dxfId="8" priority="3">
      <formula>(#REF!="non-diving")</formula>
    </cfRule>
  </conditionalFormatting>
  <conditionalFormatting sqref="Q14">
    <cfRule type="expression" dxfId="7" priority="2">
      <formula>(#REF!="non-diving")</formula>
    </cfRule>
  </conditionalFormatting>
  <conditionalFormatting sqref="S14">
    <cfRule type="expression" dxfId="6" priority="1">
      <formula>(#REF!="non-diving")</formula>
    </cfRule>
  </conditionalFormatting>
  <dataValidations count="2">
    <dataValidation type="list" allowBlank="1" showInputMessage="1" showErrorMessage="1" sqref="G4:G12 S4:S12 Q4:Q12 O4:O12 M4:M12 I4:K12" xr:uid="{57C79578-380A-444C-8000-67A73A47ADD3}">
      <formula1>"yes, no"</formula1>
    </dataValidation>
    <dataValidation type="list" allowBlank="1" showInputMessage="1" showErrorMessage="1" sqref="J16" xr:uid="{24AA872C-E26D-44A1-9DC1-846C7751B788}">
      <formula1>#REF!</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36F73-B277-492D-B059-0D668983A313}">
  <sheetPr codeName="Sheet13"/>
  <dimension ref="A1:W97"/>
  <sheetViews>
    <sheetView defaultGridColor="0" colorId="22" zoomScale="120" zoomScaleNormal="120" workbookViewId="0">
      <selection activeCell="V45" sqref="V45"/>
    </sheetView>
  </sheetViews>
  <sheetFormatPr defaultRowHeight="14.5" x14ac:dyDescent="0.35"/>
  <cols>
    <col min="1" max="1" width="26" customWidth="1"/>
    <col min="4" max="4" width="10.26953125" customWidth="1"/>
    <col min="5" max="5" width="14.81640625" customWidth="1"/>
    <col min="6" max="6" width="13.453125" customWidth="1"/>
    <col min="7" max="7" width="5.81640625" customWidth="1"/>
    <col min="8" max="8" width="3.54296875" customWidth="1"/>
    <col min="9" max="9" width="10.1796875" customWidth="1"/>
    <col min="10" max="10" width="2.81640625" customWidth="1"/>
    <col min="11" max="11" width="10.453125" customWidth="1"/>
    <col min="12" max="12" width="2.26953125" customWidth="1"/>
    <col min="13" max="13" width="9.54296875" customWidth="1"/>
    <col min="14" max="14" width="2.26953125" customWidth="1"/>
    <col min="15" max="15" width="10.453125" customWidth="1"/>
    <col min="16" max="16" width="3" customWidth="1"/>
    <col min="17" max="17" width="10.453125" customWidth="1"/>
    <col min="18" max="18" width="2.453125" customWidth="1"/>
    <col min="19" max="19" width="10.453125" customWidth="1"/>
    <col min="20" max="20" width="2.54296875" customWidth="1"/>
  </cols>
  <sheetData>
    <row r="1" spans="1:20" ht="34.5" customHeight="1" x14ac:dyDescent="0.35">
      <c r="A1" s="232" t="s">
        <v>202</v>
      </c>
      <c r="B1" s="181" t="s">
        <v>238</v>
      </c>
      <c r="C1" s="182" t="s">
        <v>237</v>
      </c>
      <c r="D1" s="231" t="s">
        <v>248</v>
      </c>
      <c r="E1" s="183" t="s">
        <v>240</v>
      </c>
      <c r="F1" s="180" t="s">
        <v>241</v>
      </c>
      <c r="G1" s="250"/>
    </row>
    <row r="2" spans="1:20" x14ac:dyDescent="0.35">
      <c r="A2" s="233" t="s">
        <v>200</v>
      </c>
      <c r="C2" s="152"/>
      <c r="D2" s="138"/>
      <c r="E2" s="138"/>
      <c r="F2" s="138"/>
      <c r="G2" s="138"/>
      <c r="H2" s="138"/>
      <c r="I2" s="138"/>
      <c r="J2" s="138"/>
      <c r="K2" s="138"/>
      <c r="L2" s="138"/>
      <c r="M2" s="138"/>
      <c r="N2" s="138"/>
      <c r="O2" s="138"/>
      <c r="P2" s="138"/>
      <c r="Q2" s="138"/>
      <c r="R2" s="138"/>
      <c r="S2" s="138"/>
      <c r="T2" s="138"/>
    </row>
    <row r="3" spans="1:20" x14ac:dyDescent="0.35">
      <c r="A3" s="235" t="s">
        <v>191</v>
      </c>
      <c r="C3" s="325">
        <f>Devices!D1</f>
        <v>2</v>
      </c>
      <c r="D3" s="325"/>
      <c r="E3" s="138"/>
      <c r="F3" s="138"/>
      <c r="G3" s="138"/>
      <c r="H3" s="138"/>
      <c r="I3" s="138"/>
      <c r="J3" s="138"/>
      <c r="K3" s="138"/>
      <c r="L3" s="138"/>
      <c r="M3" s="138"/>
      <c r="N3" s="138"/>
      <c r="O3" s="138"/>
      <c r="P3" s="138"/>
      <c r="Q3" s="138"/>
      <c r="R3" s="138"/>
      <c r="S3" s="138"/>
      <c r="T3" s="138"/>
    </row>
    <row r="4" spans="1:20" x14ac:dyDescent="0.35">
      <c r="A4" s="236" t="s">
        <v>242</v>
      </c>
      <c r="C4" s="325">
        <f>Devices!D2</f>
        <v>0</v>
      </c>
      <c r="D4" s="325"/>
      <c r="E4" s="138"/>
      <c r="F4" s="138"/>
      <c r="G4" s="138"/>
      <c r="H4" s="138"/>
      <c r="I4" s="138"/>
      <c r="J4" s="138"/>
      <c r="K4" s="138"/>
      <c r="L4" s="138"/>
      <c r="M4" s="138"/>
      <c r="N4" s="138"/>
      <c r="O4" s="138"/>
      <c r="P4" s="138"/>
      <c r="Q4" s="138"/>
      <c r="R4" s="138"/>
      <c r="S4" s="138"/>
      <c r="T4" s="138"/>
    </row>
    <row r="5" spans="1:20" x14ac:dyDescent="0.35">
      <c r="A5" s="152"/>
      <c r="B5" s="152"/>
      <c r="C5" s="152"/>
      <c r="D5" s="138"/>
      <c r="E5" s="138"/>
      <c r="F5" s="138"/>
      <c r="G5" s="138"/>
      <c r="H5" s="138"/>
      <c r="I5" s="138"/>
      <c r="J5" s="138"/>
      <c r="K5" s="138"/>
      <c r="L5" s="138"/>
      <c r="M5" s="138"/>
      <c r="N5" s="138"/>
      <c r="O5" s="138"/>
      <c r="P5" s="138"/>
      <c r="Q5" s="138"/>
      <c r="R5" s="138"/>
      <c r="S5" s="138"/>
      <c r="T5" s="138"/>
    </row>
    <row r="6" spans="1:20" x14ac:dyDescent="0.35">
      <c r="A6" s="1" t="s">
        <v>45</v>
      </c>
      <c r="B6" s="2"/>
      <c r="C6" s="3" t="s">
        <v>46</v>
      </c>
      <c r="D6" s="3" t="s">
        <v>47</v>
      </c>
      <c r="E6" s="4"/>
    </row>
    <row r="7" spans="1:20" x14ac:dyDescent="0.35">
      <c r="A7" s="4" t="s">
        <v>48</v>
      </c>
      <c r="B7" s="2"/>
      <c r="C7" s="15"/>
      <c r="D7" s="25">
        <f>Devices!D25</f>
        <v>0</v>
      </c>
      <c r="E7" s="26">
        <f>Devices!D26</f>
        <v>0</v>
      </c>
    </row>
    <row r="8" spans="1:20" x14ac:dyDescent="0.35">
      <c r="A8" s="4" t="s">
        <v>50</v>
      </c>
      <c r="B8" s="2"/>
      <c r="C8" s="9" t="s">
        <v>51</v>
      </c>
      <c r="D8" s="9" t="s">
        <v>6</v>
      </c>
      <c r="E8" s="36" t="b">
        <f>IF(D7="years",E7*365*24*3600,IF(D7="months",E7*30.4*24*3600,IF(D7="weeks",E7*7*24*3600)))</f>
        <v>0</v>
      </c>
    </row>
    <row r="9" spans="1:20" x14ac:dyDescent="0.35">
      <c r="A9" s="4"/>
      <c r="B9" s="2"/>
      <c r="C9" s="3"/>
      <c r="D9" s="3"/>
      <c r="E9" s="28"/>
    </row>
    <row r="10" spans="1:20" x14ac:dyDescent="0.35">
      <c r="A10" s="1" t="s">
        <v>21</v>
      </c>
      <c r="B10" s="2"/>
      <c r="C10" s="3"/>
      <c r="D10" s="5"/>
      <c r="E10" s="55"/>
    </row>
    <row r="11" spans="1:20" x14ac:dyDescent="0.35">
      <c r="A11" s="4" t="s">
        <v>91</v>
      </c>
      <c r="B11" s="2"/>
      <c r="C11" s="14" t="s">
        <v>22</v>
      </c>
      <c r="D11" s="15" t="s">
        <v>23</v>
      </c>
      <c r="E11" s="16">
        <f>Devices!D4</f>
        <v>0</v>
      </c>
    </row>
    <row r="12" spans="1:20" x14ac:dyDescent="0.35">
      <c r="A12" s="4" t="s">
        <v>24</v>
      </c>
      <c r="B12" s="2"/>
      <c r="C12" s="9" t="s">
        <v>25</v>
      </c>
      <c r="D12" s="35" t="s">
        <v>23</v>
      </c>
      <c r="E12" s="245">
        <f>E13*2</f>
        <v>0</v>
      </c>
      <c r="F12" s="326"/>
      <c r="G12" s="246"/>
    </row>
    <row r="13" spans="1:20" x14ac:dyDescent="0.35">
      <c r="A13" s="4" t="s">
        <v>26</v>
      </c>
      <c r="B13" s="2"/>
      <c r="C13" s="14" t="s">
        <v>27</v>
      </c>
      <c r="D13" s="15" t="s">
        <v>23</v>
      </c>
      <c r="E13" s="146">
        <f>Devices!D5</f>
        <v>0</v>
      </c>
      <c r="F13" s="326"/>
      <c r="G13" s="246"/>
    </row>
    <row r="14" spans="1:20" x14ac:dyDescent="0.35">
      <c r="A14" s="4" t="s">
        <v>28</v>
      </c>
      <c r="B14" s="2"/>
      <c r="C14" s="17" t="s">
        <v>29</v>
      </c>
      <c r="D14" s="15"/>
      <c r="E14" s="18">
        <f>Devices!D6</f>
        <v>0</v>
      </c>
    </row>
    <row r="15" spans="1:20" x14ac:dyDescent="0.35">
      <c r="A15" s="13" t="s">
        <v>73</v>
      </c>
      <c r="B15" s="49"/>
      <c r="C15" s="51" t="s">
        <v>60</v>
      </c>
      <c r="D15" s="51" t="s">
        <v>23</v>
      </c>
      <c r="E15" s="148">
        <f>Devices!D7</f>
        <v>0</v>
      </c>
    </row>
    <row r="16" spans="1:20" x14ac:dyDescent="0.35">
      <c r="A16" s="4" t="s">
        <v>36</v>
      </c>
      <c r="B16" s="2"/>
      <c r="C16" s="17" t="s">
        <v>37</v>
      </c>
      <c r="D16" s="15" t="s">
        <v>38</v>
      </c>
      <c r="E16" s="19">
        <f>Devices!D8</f>
        <v>0</v>
      </c>
    </row>
    <row r="17" spans="1:21" x14ac:dyDescent="0.35">
      <c r="A17" s="4" t="s">
        <v>112</v>
      </c>
      <c r="B17" s="2"/>
      <c r="C17" s="34" t="s">
        <v>268</v>
      </c>
      <c r="D17" s="35" t="s">
        <v>262</v>
      </c>
      <c r="E17" s="20">
        <f>(1/2)*$E13*$E16*2*PI()/60</f>
        <v>0</v>
      </c>
    </row>
    <row r="18" spans="1:21" x14ac:dyDescent="0.35">
      <c r="A18" s="4" t="s">
        <v>39</v>
      </c>
      <c r="B18" s="2"/>
      <c r="C18" s="17" t="s">
        <v>40</v>
      </c>
      <c r="D18" s="15"/>
      <c r="E18" s="21">
        <f>Devices!D21</f>
        <v>0</v>
      </c>
    </row>
    <row r="19" spans="1:21" x14ac:dyDescent="0.35">
      <c r="A19" s="4" t="s">
        <v>269</v>
      </c>
      <c r="B19" s="2"/>
      <c r="C19" s="14" t="s">
        <v>270</v>
      </c>
      <c r="D19" s="15" t="s">
        <v>262</v>
      </c>
      <c r="E19" s="19">
        <f>Devices!D11</f>
        <v>0</v>
      </c>
    </row>
    <row r="20" spans="1:21" x14ac:dyDescent="0.35">
      <c r="A20" s="4" t="s">
        <v>113</v>
      </c>
      <c r="B20" s="2"/>
      <c r="C20" s="35" t="s">
        <v>61</v>
      </c>
      <c r="D20" s="35" t="s">
        <v>262</v>
      </c>
      <c r="E20" s="101">
        <f>SQRT(E17*E17+E19*E19)</f>
        <v>0</v>
      </c>
      <c r="F20" s="70" t="s">
        <v>271</v>
      </c>
      <c r="G20" s="70"/>
    </row>
    <row r="21" spans="1:21" x14ac:dyDescent="0.35">
      <c r="A21" s="4"/>
      <c r="B21" s="2"/>
      <c r="C21" s="5"/>
      <c r="D21" s="5"/>
      <c r="E21" s="102"/>
    </row>
    <row r="22" spans="1:21" x14ac:dyDescent="0.35">
      <c r="A22" s="50" t="s">
        <v>42</v>
      </c>
      <c r="I22" s="77"/>
    </row>
    <row r="23" spans="1:21" ht="24" x14ac:dyDescent="0.35">
      <c r="A23" s="13" t="s">
        <v>87</v>
      </c>
      <c r="I23" s="169" t="s">
        <v>77</v>
      </c>
      <c r="J23" s="52"/>
      <c r="K23" s="169" t="s">
        <v>143</v>
      </c>
      <c r="L23" s="92"/>
      <c r="M23" s="169" t="s">
        <v>107</v>
      </c>
      <c r="N23" s="52"/>
      <c r="O23" s="169" t="s">
        <v>78</v>
      </c>
      <c r="P23" s="53"/>
      <c r="Q23" s="169" t="s">
        <v>188</v>
      </c>
      <c r="S23" s="169" t="s">
        <v>189</v>
      </c>
      <c r="U23" s="169" t="s">
        <v>199</v>
      </c>
    </row>
    <row r="24" spans="1:21" x14ac:dyDescent="0.35">
      <c r="A24" s="4" t="s">
        <v>106</v>
      </c>
      <c r="C24" s="177" t="s">
        <v>16</v>
      </c>
      <c r="D24" s="177" t="s">
        <v>272</v>
      </c>
      <c r="I24" s="78" t="e">
        <f ca="1">Density_2!G21</f>
        <v>#NAME?</v>
      </c>
      <c r="J24" s="75"/>
      <c r="K24" s="78" t="e">
        <f ca="1">Density_2!I21</f>
        <v>#NAME?</v>
      </c>
      <c r="L24" s="75"/>
      <c r="M24" s="78" t="e">
        <f ca="1">Density_2!K21</f>
        <v>#NAME?</v>
      </c>
      <c r="N24" s="75"/>
      <c r="O24" s="79" t="e">
        <f ca="1">Density_2!M21</f>
        <v>#NAME?</v>
      </c>
      <c r="P24" s="88"/>
      <c r="Q24" s="79" t="e">
        <f ca="1">Density_2!O21</f>
        <v>#NAME?</v>
      </c>
      <c r="R24" s="75"/>
      <c r="S24" s="79" t="e">
        <f ca="1">Density_2!Q21</f>
        <v>#NAME?</v>
      </c>
      <c r="U24" s="79" t="e">
        <f ca="1">Density_2!S21</f>
        <v>#NAME?</v>
      </c>
    </row>
    <row r="25" spans="1:21" x14ac:dyDescent="0.35">
      <c r="A25" s="4" t="s">
        <v>103</v>
      </c>
      <c r="I25" s="170" t="s">
        <v>102</v>
      </c>
      <c r="J25" s="43"/>
      <c r="K25" s="170" t="s">
        <v>102</v>
      </c>
      <c r="L25" s="43"/>
      <c r="M25" s="170" t="s">
        <v>102</v>
      </c>
      <c r="N25" s="43"/>
      <c r="O25" s="170" t="s">
        <v>102</v>
      </c>
      <c r="P25" s="24"/>
      <c r="Q25" s="170" t="s">
        <v>102</v>
      </c>
      <c r="R25" s="43"/>
      <c r="S25" s="170" t="s">
        <v>102</v>
      </c>
      <c r="U25" s="170" t="s">
        <v>102</v>
      </c>
    </row>
    <row r="26" spans="1:21" x14ac:dyDescent="0.35">
      <c r="A26" s="4" t="s">
        <v>80</v>
      </c>
      <c r="C26" s="173" t="s">
        <v>43</v>
      </c>
      <c r="D26" s="173" t="s">
        <v>23</v>
      </c>
      <c r="I26" s="175">
        <f>Animals!G21</f>
        <v>1.22</v>
      </c>
      <c r="J26" s="43"/>
      <c r="K26" s="175">
        <f>Animals!I21</f>
        <v>1.41</v>
      </c>
      <c r="L26" s="45"/>
      <c r="M26" s="175">
        <f>Animals!K21</f>
        <v>1.37</v>
      </c>
      <c r="N26" s="45"/>
      <c r="O26" s="175">
        <f>Animals!M21</f>
        <v>5.2</v>
      </c>
      <c r="P26" s="45"/>
      <c r="Q26" s="175">
        <f>Animals!O21</f>
        <v>2.57</v>
      </c>
      <c r="R26" s="45"/>
      <c r="S26" s="175">
        <f>Animals!Q21</f>
        <v>2.37</v>
      </c>
      <c r="U26" s="175">
        <f>Animals!S21</f>
        <v>1.77</v>
      </c>
    </row>
    <row r="27" spans="1:21" x14ac:dyDescent="0.35">
      <c r="A27" s="4" t="s">
        <v>72</v>
      </c>
      <c r="C27" s="171" t="s">
        <v>44</v>
      </c>
      <c r="D27" s="171" t="s">
        <v>23</v>
      </c>
      <c r="E27" s="3"/>
      <c r="I27" s="172">
        <f>Animals!G22</f>
        <v>0.3</v>
      </c>
      <c r="J27" s="43"/>
      <c r="K27" s="172">
        <f>Animals!I22</f>
        <v>0.34</v>
      </c>
      <c r="L27" s="45"/>
      <c r="M27" s="172">
        <f>Animals!K22</f>
        <v>0.32</v>
      </c>
      <c r="N27" s="45"/>
      <c r="O27" s="172">
        <f>Animals!M22</f>
        <v>2.2000000000000002</v>
      </c>
      <c r="P27" s="45"/>
      <c r="Q27" s="172">
        <f>Animals!O22</f>
        <v>0.64</v>
      </c>
      <c r="R27" s="45"/>
      <c r="S27" s="172">
        <f>Animals!Q22</f>
        <v>0.55000000000000004</v>
      </c>
      <c r="U27" s="172">
        <f>Animals!S22</f>
        <v>0.44</v>
      </c>
    </row>
    <row r="28" spans="1:21" x14ac:dyDescent="0.35">
      <c r="A28" s="4" t="s">
        <v>95</v>
      </c>
      <c r="C28" s="171" t="s">
        <v>273</v>
      </c>
      <c r="D28" s="171" t="s">
        <v>262</v>
      </c>
      <c r="E28" s="3"/>
      <c r="I28" s="172">
        <f>Animals!G23</f>
        <v>2</v>
      </c>
      <c r="J28" s="43"/>
      <c r="K28" s="172">
        <f>Animals!I23</f>
        <v>1.8</v>
      </c>
      <c r="L28" s="45"/>
      <c r="M28" s="172">
        <f>Animals!K23</f>
        <v>1.86</v>
      </c>
      <c r="N28" s="45"/>
      <c r="O28" s="172">
        <f>Animals!M23</f>
        <v>1.62</v>
      </c>
      <c r="P28" s="45"/>
      <c r="Q28" s="172">
        <f>Animals!O23</f>
        <v>2.1</v>
      </c>
      <c r="R28" s="45"/>
      <c r="S28" s="172">
        <f>Animals!Q23</f>
        <v>1.94</v>
      </c>
      <c r="U28" s="172">
        <f>Animals!S23</f>
        <v>3</v>
      </c>
    </row>
    <row r="29" spans="1:21" x14ac:dyDescent="0.35">
      <c r="A29" s="4" t="s">
        <v>56</v>
      </c>
      <c r="C29" s="171" t="s">
        <v>57</v>
      </c>
      <c r="D29" s="171" t="s">
        <v>262</v>
      </c>
      <c r="E29" s="3"/>
      <c r="I29" s="234">
        <f>Animals!G11</f>
        <v>0</v>
      </c>
      <c r="J29" s="43"/>
      <c r="K29" s="234">
        <f>Animals!I11</f>
        <v>0.85</v>
      </c>
      <c r="L29" s="45"/>
      <c r="M29" s="234">
        <f>Animals!K11</f>
        <v>0.61</v>
      </c>
      <c r="N29" s="45"/>
      <c r="O29" s="234">
        <f>Animals!M11</f>
        <v>0</v>
      </c>
      <c r="P29" s="45"/>
      <c r="Q29" s="234">
        <f>Animals!O11</f>
        <v>0</v>
      </c>
      <c r="R29" s="45"/>
      <c r="S29" s="234">
        <f>Animals!Q11</f>
        <v>0</v>
      </c>
      <c r="U29" s="234">
        <f>Animals!S11</f>
        <v>0</v>
      </c>
    </row>
    <row r="30" spans="1:21" x14ac:dyDescent="0.35">
      <c r="A30" s="4" t="s">
        <v>68</v>
      </c>
      <c r="B30" s="2"/>
      <c r="C30" s="171" t="s">
        <v>69</v>
      </c>
      <c r="D30" s="171"/>
      <c r="E30" s="3"/>
      <c r="F30" s="12" t="s">
        <v>93</v>
      </c>
      <c r="G30" s="12"/>
      <c r="I30" s="172">
        <f>Animals!G24</f>
        <v>0.5</v>
      </c>
      <c r="J30" s="84"/>
      <c r="K30" s="172">
        <f>Animals!I24</f>
        <v>0.5</v>
      </c>
      <c r="L30" s="62"/>
      <c r="M30" s="172">
        <f>Animals!K24</f>
        <v>0.5</v>
      </c>
      <c r="N30" s="62"/>
      <c r="O30" s="172">
        <f>Animals!M24</f>
        <v>0.5</v>
      </c>
      <c r="P30" s="45"/>
      <c r="Q30" s="172">
        <f>Animals!O24</f>
        <v>0.5</v>
      </c>
      <c r="R30" s="62"/>
      <c r="S30" s="172">
        <f>Animals!Q24</f>
        <v>0.5</v>
      </c>
      <c r="U30" s="172">
        <f>Animals!S24</f>
        <v>0.5</v>
      </c>
    </row>
    <row r="32" spans="1:21" x14ac:dyDescent="0.35">
      <c r="A32" s="1" t="s">
        <v>62</v>
      </c>
      <c r="B32" s="2"/>
      <c r="C32" s="5"/>
      <c r="D32" s="5"/>
      <c r="E32" s="5"/>
      <c r="F32" s="41"/>
      <c r="G32" s="41"/>
    </row>
    <row r="33" spans="1:21" x14ac:dyDescent="0.35">
      <c r="A33" s="4" t="s">
        <v>104</v>
      </c>
      <c r="B33" s="2"/>
      <c r="C33" s="7" t="s">
        <v>70</v>
      </c>
      <c r="D33" s="7" t="s">
        <v>23</v>
      </c>
      <c r="E33" s="3"/>
      <c r="F33" s="12" t="s">
        <v>71</v>
      </c>
      <c r="G33" s="12"/>
      <c r="I33" s="87">
        <f>MAX(I26,I27)*I30/2</f>
        <v>0.30499999999999999</v>
      </c>
      <c r="J33" s="89"/>
      <c r="K33" s="87">
        <f>MAX(K26,K27)*K30/2</f>
        <v>0.35249999999999998</v>
      </c>
      <c r="L33" s="90"/>
      <c r="M33" s="87">
        <f>MAX(M26,M27)*M30/2</f>
        <v>0.34250000000000003</v>
      </c>
      <c r="N33" s="90"/>
      <c r="O33" s="87">
        <f>MAX(O26,O27)*O30/2</f>
        <v>1.3</v>
      </c>
      <c r="P33" s="91"/>
      <c r="Q33" s="87">
        <f>MAX(Q26,Q27)*Q30/2</f>
        <v>0.64249999999999996</v>
      </c>
      <c r="R33" s="90"/>
      <c r="S33" s="87">
        <f>MAX(S26,S27)*S30/2</f>
        <v>0.59250000000000003</v>
      </c>
      <c r="T33" s="89"/>
      <c r="U33" s="87">
        <f>MAX(U26,U27)*U30/2</f>
        <v>0.4425</v>
      </c>
    </row>
    <row r="34" spans="1:21" x14ac:dyDescent="0.35">
      <c r="A34" s="4" t="s">
        <v>63</v>
      </c>
      <c r="B34" s="2"/>
      <c r="C34" s="7" t="s">
        <v>64</v>
      </c>
      <c r="D34" s="7" t="s">
        <v>215</v>
      </c>
      <c r="E34" s="3"/>
      <c r="F34" s="29" t="s">
        <v>274</v>
      </c>
      <c r="G34" s="29"/>
      <c r="I34" s="63">
        <f>$E11*$E14*($E15+2*I33)*($E13+I33)</f>
        <v>0</v>
      </c>
      <c r="K34" s="63">
        <f>$E11*$E14*($E15+2*K33)*($E13+K33)</f>
        <v>0</v>
      </c>
      <c r="M34" s="63">
        <f>$E11*$E14*($E15+2*M33)*($E13+M33)</f>
        <v>0</v>
      </c>
      <c r="O34" s="63">
        <f>$E11*$E14*($E15+2*O33)*($E13+O33)</f>
        <v>0</v>
      </c>
      <c r="P34" s="81"/>
      <c r="Q34" s="63">
        <f>$E11*$E14*($E15+2*Q33)*($E13+Q33)</f>
        <v>0</v>
      </c>
      <c r="S34" s="63">
        <f>$E11*$E14*($E15+2*S33)*($E13+S33)</f>
        <v>0</v>
      </c>
      <c r="U34" s="63">
        <f>$E11*$E14*($E15+2*U33)*($E13+U33)</f>
        <v>0</v>
      </c>
    </row>
    <row r="35" spans="1:21" x14ac:dyDescent="0.35">
      <c r="A35" s="4" t="s">
        <v>81</v>
      </c>
      <c r="B35" s="2"/>
      <c r="C35" s="7" t="s">
        <v>275</v>
      </c>
      <c r="D35" s="7"/>
      <c r="E35" s="3"/>
      <c r="F35" s="29" t="s">
        <v>276</v>
      </c>
      <c r="G35" s="29"/>
      <c r="I35" s="63">
        <f>IF(I25="diving bird",I29,I28)</f>
        <v>2</v>
      </c>
      <c r="K35" s="63">
        <f>IF(K25="diving bird",K29,K28)</f>
        <v>1.8</v>
      </c>
      <c r="M35" s="63">
        <f>IF(M25="diving bird",M29,M28)</f>
        <v>1.86</v>
      </c>
      <c r="O35" s="63">
        <f>IF(O25="diving bird",O29,O28)</f>
        <v>1.62</v>
      </c>
      <c r="P35" s="81"/>
      <c r="Q35" s="63">
        <f>IF(Q25="diving bird",Q29,Q28)</f>
        <v>2.1</v>
      </c>
      <c r="S35" s="63">
        <f>IF(S25="diving bird",S29,S28)</f>
        <v>1.94</v>
      </c>
      <c r="U35" s="63">
        <f>IF(U25="diving bird",U29,U28)</f>
        <v>3</v>
      </c>
    </row>
    <row r="36" spans="1:21" x14ac:dyDescent="0.35">
      <c r="A36" s="4" t="s">
        <v>65</v>
      </c>
      <c r="B36" s="2"/>
      <c r="C36" s="20"/>
      <c r="D36" s="7" t="s">
        <v>277</v>
      </c>
      <c r="E36" s="3"/>
      <c r="F36" s="30" t="s">
        <v>278</v>
      </c>
      <c r="G36" s="30"/>
      <c r="I36" s="63" t="e">
        <f>I34*(I35*I35+3*$E17*$E17)/(3*$E17)</f>
        <v>#DIV/0!</v>
      </c>
      <c r="K36" s="61" t="e">
        <f>K34*(K35*K35+3*$E17*$E17)/(3*$E17)</f>
        <v>#DIV/0!</v>
      </c>
      <c r="M36" s="61" t="e">
        <f>M34*(M35*M35+3*$E17*$E17)/(3*$E17)</f>
        <v>#DIV/0!</v>
      </c>
      <c r="O36" s="61" t="e">
        <f>O34*(O35*O35+3*$E17*$E17)/(3*$E17)</f>
        <v>#DIV/0!</v>
      </c>
      <c r="P36" s="62"/>
      <c r="Q36" s="61" t="e">
        <f>Q34*(Q35*Q35+3*$E17*$E17)/(3*$E17)</f>
        <v>#DIV/0!</v>
      </c>
      <c r="S36" s="61" t="e">
        <f>S34*(S35*S35+3*$E17*$E17)/(3*$E17)</f>
        <v>#DIV/0!</v>
      </c>
      <c r="U36" s="61" t="e">
        <f>U34*(U35*U35+3*$E17*$E17)/(3*$E17)</f>
        <v>#DIV/0!</v>
      </c>
    </row>
    <row r="37" spans="1:21" x14ac:dyDescent="0.35">
      <c r="A37" s="4" t="s">
        <v>66</v>
      </c>
      <c r="B37" s="2"/>
      <c r="C37" s="7" t="s">
        <v>279</v>
      </c>
      <c r="D37" s="7" t="s">
        <v>277</v>
      </c>
      <c r="E37" s="3"/>
      <c r="F37" s="30" t="s">
        <v>280</v>
      </c>
      <c r="G37" s="30"/>
      <c r="I37" s="39" t="e">
        <f ca="1">I36*I24</f>
        <v>#DIV/0!</v>
      </c>
      <c r="K37" s="39" t="e">
        <f ca="1">K36*K24</f>
        <v>#DIV/0!</v>
      </c>
      <c r="M37" s="39" t="e">
        <f ca="1">M36*M24</f>
        <v>#DIV/0!</v>
      </c>
      <c r="O37" s="39" t="e">
        <f ca="1">O36*O24</f>
        <v>#DIV/0!</v>
      </c>
      <c r="P37" s="68"/>
      <c r="Q37" s="39" t="e">
        <f ca="1">Q36*Q24</f>
        <v>#DIV/0!</v>
      </c>
      <c r="S37" s="39" t="e">
        <f ca="1">S36*S24</f>
        <v>#DIV/0!</v>
      </c>
      <c r="U37" s="39" t="e">
        <f ca="1">U36*U24</f>
        <v>#DIV/0!</v>
      </c>
    </row>
    <row r="38" spans="1:21" x14ac:dyDescent="0.35">
      <c r="A38" s="4" t="s">
        <v>67</v>
      </c>
      <c r="B38" s="2"/>
      <c r="C38" s="31"/>
      <c r="D38" s="32" t="s">
        <v>59</v>
      </c>
      <c r="E38" s="3"/>
      <c r="F38" s="12" t="s">
        <v>281</v>
      </c>
      <c r="G38" s="12"/>
      <c r="I38" s="85" t="e">
        <f ca="1">I37*$E8*(1-$E18)</f>
        <v>#DIV/0!</v>
      </c>
      <c r="J38" s="46"/>
      <c r="K38" s="85" t="e">
        <f ca="1">K37*$E8*(1-$E18)</f>
        <v>#DIV/0!</v>
      </c>
      <c r="L38" s="46"/>
      <c r="M38" s="85" t="e">
        <f ca="1">M37*$E8*(1-$E18)</f>
        <v>#DIV/0!</v>
      </c>
      <c r="N38" s="46"/>
      <c r="O38" s="85" t="e">
        <f ca="1">O37*$E8*(1-$E18)</f>
        <v>#DIV/0!</v>
      </c>
      <c r="P38" s="98"/>
      <c r="Q38" s="97" t="e">
        <f ca="1">Q37*$E8*(1-$E18)</f>
        <v>#DIV/0!</v>
      </c>
      <c r="R38" s="46"/>
      <c r="S38" s="97" t="e">
        <f ca="1">S37*$E8*(1-$E18)</f>
        <v>#DIV/0!</v>
      </c>
      <c r="T38" s="46"/>
      <c r="U38" s="97" t="e">
        <f ca="1">U37*$E8*(1-$E18)</f>
        <v>#DIV/0!</v>
      </c>
    </row>
    <row r="44" spans="1:21" ht="24" x14ac:dyDescent="0.35">
      <c r="G44" s="165"/>
      <c r="I44" s="169" t="s">
        <v>77</v>
      </c>
      <c r="J44" s="52"/>
      <c r="K44" s="169" t="s">
        <v>143</v>
      </c>
      <c r="L44" s="92"/>
      <c r="M44" s="169" t="s">
        <v>107</v>
      </c>
      <c r="N44" s="52"/>
      <c r="O44" s="169" t="s">
        <v>78</v>
      </c>
      <c r="P44" s="53"/>
      <c r="Q44" s="169" t="s">
        <v>188</v>
      </c>
      <c r="S44" s="169" t="s">
        <v>189</v>
      </c>
      <c r="U44" s="169" t="s">
        <v>199</v>
      </c>
    </row>
    <row r="45" spans="1:21" x14ac:dyDescent="0.35">
      <c r="A45" s="46" t="s">
        <v>187</v>
      </c>
      <c r="E45" t="s">
        <v>226</v>
      </c>
      <c r="F45" s="165">
        <v>1</v>
      </c>
      <c r="G45" s="165"/>
      <c r="I45" s="139" t="e">
        <f ca="1">$I$38*1</f>
        <v>#DIV/0!</v>
      </c>
      <c r="K45" s="139" t="e">
        <f ca="1">$K$38*1</f>
        <v>#DIV/0!</v>
      </c>
      <c r="M45" s="139" t="e">
        <f ca="1">$M$38*1</f>
        <v>#DIV/0!</v>
      </c>
      <c r="O45" s="139" t="e">
        <f ca="1">$O$38*1</f>
        <v>#DIV/0!</v>
      </c>
      <c r="Q45" s="139" t="e">
        <f ca="1">$Q$38*1</f>
        <v>#DIV/0!</v>
      </c>
      <c r="S45" s="139" t="e">
        <f ca="1">$S$38*1</f>
        <v>#DIV/0!</v>
      </c>
      <c r="U45" s="139" t="e">
        <f ca="1">$U$38*1</f>
        <v>#DIV/0!</v>
      </c>
    </row>
    <row r="46" spans="1:21" x14ac:dyDescent="0.35">
      <c r="A46" t="s">
        <v>185</v>
      </c>
      <c r="E46" t="s">
        <v>207</v>
      </c>
      <c r="F46" s="304">
        <f>Devices!D32</f>
        <v>0</v>
      </c>
      <c r="I46" s="174" t="s">
        <v>218</v>
      </c>
      <c r="K46" s="174" t="s">
        <v>220</v>
      </c>
      <c r="M46" s="174" t="s">
        <v>221</v>
      </c>
      <c r="O46" s="174" t="s">
        <v>207</v>
      </c>
      <c r="Q46" s="174" t="s">
        <v>219</v>
      </c>
      <c r="S46" s="174" t="s">
        <v>222</v>
      </c>
      <c r="U46" s="174" t="s">
        <v>223</v>
      </c>
    </row>
    <row r="47" spans="1:21" x14ac:dyDescent="0.35">
      <c r="A47" s="42">
        <v>0.5</v>
      </c>
      <c r="I47" s="157" t="e">
        <f t="shared" ref="I47:I52" ca="1" si="0">I$45*(1-$A47)</f>
        <v>#DIV/0!</v>
      </c>
      <c r="K47" s="63" t="e">
        <f t="shared" ref="K47:K52" ca="1" si="1">K$45*(1-$A47)</f>
        <v>#DIV/0!</v>
      </c>
      <c r="M47" s="157" t="e">
        <f t="shared" ref="M47:M52" ca="1" si="2">M$45*(1-$A47)</f>
        <v>#DIV/0!</v>
      </c>
      <c r="O47" s="157" t="e">
        <f t="shared" ref="O47:O52" ca="1" si="3">O$45*(1-$A47)</f>
        <v>#DIV/0!</v>
      </c>
      <c r="Q47" s="157" t="e">
        <f t="shared" ref="Q47:Q52" ca="1" si="4">Q$45*(1-$A47)</f>
        <v>#DIV/0!</v>
      </c>
      <c r="S47" s="157" t="e">
        <f t="shared" ref="S47:S52" ca="1" si="5">S$45*(1-$A47)</f>
        <v>#DIV/0!</v>
      </c>
      <c r="U47" s="157" t="e">
        <f t="shared" ref="U47:U52" ca="1" si="6">U$45*(1-$A47)</f>
        <v>#DIV/0!</v>
      </c>
    </row>
    <row r="48" spans="1:21" s="46" customFormat="1" x14ac:dyDescent="0.35">
      <c r="A48" s="42">
        <v>0.9</v>
      </c>
      <c r="B48"/>
      <c r="C48"/>
      <c r="D48"/>
      <c r="E48"/>
      <c r="F48"/>
      <c r="G48"/>
      <c r="H48"/>
      <c r="I48" s="157" t="e">
        <f t="shared" ca="1" si="0"/>
        <v>#DIV/0!</v>
      </c>
      <c r="J48"/>
      <c r="K48" s="63" t="e">
        <f t="shared" ca="1" si="1"/>
        <v>#DIV/0!</v>
      </c>
      <c r="L48"/>
      <c r="M48" s="63" t="e">
        <f t="shared" ca="1" si="2"/>
        <v>#DIV/0!</v>
      </c>
      <c r="N48"/>
      <c r="O48" s="157" t="e">
        <f t="shared" ca="1" si="3"/>
        <v>#DIV/0!</v>
      </c>
      <c r="P48"/>
      <c r="Q48" s="63" t="e">
        <f t="shared" ca="1" si="4"/>
        <v>#DIV/0!</v>
      </c>
      <c r="R48"/>
      <c r="S48" s="63" t="e">
        <f t="shared" ca="1" si="5"/>
        <v>#DIV/0!</v>
      </c>
      <c r="U48" s="63" t="e">
        <f t="shared" ca="1" si="6"/>
        <v>#DIV/0!</v>
      </c>
    </row>
    <row r="49" spans="1:23" x14ac:dyDescent="0.35">
      <c r="A49" s="42">
        <v>0.95</v>
      </c>
      <c r="I49" s="157" t="e">
        <f t="shared" ca="1" si="0"/>
        <v>#DIV/0!</v>
      </c>
      <c r="K49" s="63" t="e">
        <f t="shared" ca="1" si="1"/>
        <v>#DIV/0!</v>
      </c>
      <c r="M49" s="63" t="e">
        <f t="shared" ca="1" si="2"/>
        <v>#DIV/0!</v>
      </c>
      <c r="O49" s="141" t="e">
        <f t="shared" ca="1" si="3"/>
        <v>#DIV/0!</v>
      </c>
      <c r="Q49" s="63" t="e">
        <f t="shared" ca="1" si="4"/>
        <v>#DIV/0!</v>
      </c>
      <c r="S49" s="63" t="e">
        <f t="shared" ca="1" si="5"/>
        <v>#DIV/0!</v>
      </c>
      <c r="U49" s="63" t="e">
        <f t="shared" ca="1" si="6"/>
        <v>#DIV/0!</v>
      </c>
    </row>
    <row r="50" spans="1:23" x14ac:dyDescent="0.35">
      <c r="A50" s="140">
        <v>0.98</v>
      </c>
      <c r="B50" s="46"/>
      <c r="C50" s="46"/>
      <c r="D50" s="46"/>
      <c r="E50" s="46"/>
      <c r="F50" s="46"/>
      <c r="G50" s="46"/>
      <c r="H50" s="46"/>
      <c r="I50" s="85" t="e">
        <f t="shared" ca="1" si="0"/>
        <v>#DIV/0!</v>
      </c>
      <c r="J50" s="46"/>
      <c r="K50" s="141" t="e">
        <f t="shared" ca="1" si="1"/>
        <v>#DIV/0!</v>
      </c>
      <c r="L50" s="46"/>
      <c r="M50" s="141" t="e">
        <f t="shared" ca="1" si="2"/>
        <v>#DIV/0!</v>
      </c>
      <c r="N50" s="46"/>
      <c r="O50" s="141" t="e">
        <f t="shared" ca="1" si="3"/>
        <v>#DIV/0!</v>
      </c>
      <c r="P50" s="46"/>
      <c r="Q50" s="85" t="e">
        <f t="shared" ca="1" si="4"/>
        <v>#DIV/0!</v>
      </c>
      <c r="R50" s="46"/>
      <c r="S50" s="141" t="e">
        <f t="shared" ca="1" si="5"/>
        <v>#DIV/0!</v>
      </c>
      <c r="U50" s="141" t="e">
        <f t="shared" ca="1" si="6"/>
        <v>#DIV/0!</v>
      </c>
    </row>
    <row r="51" spans="1:23" x14ac:dyDescent="0.35">
      <c r="A51" s="42">
        <v>0.99</v>
      </c>
      <c r="I51" s="63" t="e">
        <f t="shared" ca="1" si="0"/>
        <v>#DIV/0!</v>
      </c>
      <c r="K51" s="63" t="e">
        <f t="shared" ca="1" si="1"/>
        <v>#DIV/0!</v>
      </c>
      <c r="M51" s="63" t="e">
        <f t="shared" ca="1" si="2"/>
        <v>#DIV/0!</v>
      </c>
      <c r="O51" s="63" t="e">
        <f t="shared" ca="1" si="3"/>
        <v>#DIV/0!</v>
      </c>
      <c r="Q51" s="63" t="e">
        <f t="shared" ca="1" si="4"/>
        <v>#DIV/0!</v>
      </c>
      <c r="S51" s="63" t="e">
        <f t="shared" ca="1" si="5"/>
        <v>#DIV/0!</v>
      </c>
      <c r="U51" s="63" t="e">
        <f t="shared" ca="1" si="6"/>
        <v>#DIV/0!</v>
      </c>
    </row>
    <row r="52" spans="1:23" x14ac:dyDescent="0.35">
      <c r="A52" s="154">
        <v>0.997</v>
      </c>
      <c r="I52" s="85" t="e">
        <f t="shared" ca="1" si="0"/>
        <v>#DIV/0!</v>
      </c>
      <c r="J52" s="46"/>
      <c r="K52" s="141" t="e">
        <f t="shared" ca="1" si="1"/>
        <v>#DIV/0!</v>
      </c>
      <c r="L52" s="46"/>
      <c r="M52" s="141" t="e">
        <f t="shared" ca="1" si="2"/>
        <v>#DIV/0!</v>
      </c>
      <c r="N52" s="46"/>
      <c r="O52" s="141" t="e">
        <f t="shared" ca="1" si="3"/>
        <v>#DIV/0!</v>
      </c>
      <c r="P52" s="46"/>
      <c r="Q52" s="85" t="e">
        <f t="shared" ca="1" si="4"/>
        <v>#DIV/0!</v>
      </c>
      <c r="R52" s="46"/>
      <c r="S52" s="141" t="e">
        <f t="shared" ca="1" si="5"/>
        <v>#DIV/0!</v>
      </c>
      <c r="T52" s="46"/>
      <c r="U52" s="141" t="e">
        <f t="shared" ca="1" si="6"/>
        <v>#DIV/0!</v>
      </c>
    </row>
    <row r="54" spans="1:23" x14ac:dyDescent="0.35">
      <c r="A54" s="151" t="s">
        <v>217</v>
      </c>
      <c r="B54" s="152"/>
      <c r="C54" s="152"/>
      <c r="D54" s="152"/>
      <c r="E54" s="152"/>
      <c r="F54" s="249">
        <f>Devices!D33</f>
        <v>0</v>
      </c>
      <c r="G54" s="249"/>
      <c r="I54" s="139" t="e">
        <f ca="1">$I$38*F54</f>
        <v>#DIV/0!</v>
      </c>
      <c r="K54" s="139" t="e">
        <f ca="1">$K$38*F54</f>
        <v>#DIV/0!</v>
      </c>
      <c r="M54" s="139" t="e">
        <f ca="1">$M$38*F54</f>
        <v>#DIV/0!</v>
      </c>
      <c r="O54" s="139" t="e">
        <f ca="1">$O$38*F54</f>
        <v>#DIV/0!</v>
      </c>
      <c r="Q54" s="139" t="e">
        <f ca="1">$Q$38*F54</f>
        <v>#DIV/0!</v>
      </c>
      <c r="S54" s="139" t="e">
        <f ca="1">$S$38*F54</f>
        <v>#DIV/0!</v>
      </c>
      <c r="U54" s="139" t="e">
        <f ca="1">$U$38*F54</f>
        <v>#DIV/0!</v>
      </c>
    </row>
    <row r="55" spans="1:23" x14ac:dyDescent="0.35">
      <c r="A55" t="s">
        <v>185</v>
      </c>
      <c r="E55" s="153" t="s">
        <v>207</v>
      </c>
      <c r="F55" s="166">
        <f>F54*F46</f>
        <v>0</v>
      </c>
      <c r="G55" s="166"/>
      <c r="I55" s="174" t="s">
        <v>218</v>
      </c>
      <c r="K55" s="174" t="s">
        <v>220</v>
      </c>
      <c r="M55" s="174" t="s">
        <v>221</v>
      </c>
      <c r="O55" s="174" t="s">
        <v>207</v>
      </c>
      <c r="Q55" s="174" t="s">
        <v>219</v>
      </c>
      <c r="S55" s="174" t="s">
        <v>222</v>
      </c>
      <c r="U55" s="174" t="s">
        <v>223</v>
      </c>
    </row>
    <row r="56" spans="1:23" x14ac:dyDescent="0.35">
      <c r="A56" s="42">
        <v>0.5</v>
      </c>
      <c r="I56" s="157" t="e">
        <f t="shared" ref="I56:I61" ca="1" si="7">I$54*(1-$A56)</f>
        <v>#DIV/0!</v>
      </c>
      <c r="K56" s="63" t="e">
        <f t="shared" ref="K56:K61" ca="1" si="8">K$54*(1-$A56)</f>
        <v>#DIV/0!</v>
      </c>
      <c r="M56" s="157" t="e">
        <f t="shared" ref="M56:M61" ca="1" si="9">M$54*(1-$A56)</f>
        <v>#DIV/0!</v>
      </c>
      <c r="O56" s="157" t="e">
        <f t="shared" ref="O56:O61" ca="1" si="10">O$54*(1-$A56)</f>
        <v>#DIV/0!</v>
      </c>
      <c r="Q56" s="157" t="e">
        <f t="shared" ref="Q56:Q61" ca="1" si="11">Q$54*(1-$A56)</f>
        <v>#DIV/0!</v>
      </c>
      <c r="S56" s="157" t="e">
        <f t="shared" ref="S56:S61" ca="1" si="12">S$54*(1-$A56)</f>
        <v>#DIV/0!</v>
      </c>
      <c r="U56" s="157" t="e">
        <f t="shared" ref="U56:U61" ca="1" si="13">U$54*(1-$A56)</f>
        <v>#DIV/0!</v>
      </c>
    </row>
    <row r="57" spans="1:23" x14ac:dyDescent="0.35">
      <c r="A57" s="42">
        <v>0.9</v>
      </c>
      <c r="I57" s="157" t="e">
        <f t="shared" ca="1" si="7"/>
        <v>#DIV/0!</v>
      </c>
      <c r="K57" s="63" t="e">
        <f t="shared" ca="1" si="8"/>
        <v>#DIV/0!</v>
      </c>
      <c r="M57" s="157" t="e">
        <f t="shared" ca="1" si="9"/>
        <v>#DIV/0!</v>
      </c>
      <c r="O57" s="157" t="e">
        <f t="shared" ca="1" si="10"/>
        <v>#DIV/0!</v>
      </c>
      <c r="Q57" s="157" t="e">
        <f t="shared" ca="1" si="11"/>
        <v>#DIV/0!</v>
      </c>
      <c r="S57" s="157" t="e">
        <f t="shared" ca="1" si="12"/>
        <v>#DIV/0!</v>
      </c>
      <c r="U57" s="157" t="e">
        <f t="shared" ca="1" si="13"/>
        <v>#DIV/0!</v>
      </c>
    </row>
    <row r="58" spans="1:23" x14ac:dyDescent="0.35">
      <c r="A58" s="42">
        <v>0.95</v>
      </c>
      <c r="I58" s="157" t="e">
        <f t="shared" ca="1" si="7"/>
        <v>#DIV/0!</v>
      </c>
      <c r="K58" s="63" t="e">
        <f t="shared" ca="1" si="8"/>
        <v>#DIV/0!</v>
      </c>
      <c r="M58" s="157" t="e">
        <f t="shared" ca="1" si="9"/>
        <v>#DIV/0!</v>
      </c>
      <c r="O58" s="157" t="e">
        <f t="shared" ca="1" si="10"/>
        <v>#DIV/0!</v>
      </c>
      <c r="Q58" s="157" t="e">
        <f t="shared" ca="1" si="11"/>
        <v>#DIV/0!</v>
      </c>
      <c r="S58" s="157" t="e">
        <f t="shared" ca="1" si="12"/>
        <v>#DIV/0!</v>
      </c>
      <c r="U58" s="157" t="e">
        <f t="shared" ca="1" si="13"/>
        <v>#DIV/0!</v>
      </c>
    </row>
    <row r="59" spans="1:23" x14ac:dyDescent="0.35">
      <c r="A59" s="140">
        <v>0.98</v>
      </c>
      <c r="B59" s="46"/>
      <c r="C59" s="46"/>
      <c r="D59" s="46"/>
      <c r="E59" s="46"/>
      <c r="F59" s="46"/>
      <c r="G59" s="46"/>
      <c r="H59" s="46"/>
      <c r="I59" s="155" t="e">
        <f t="shared" ca="1" si="7"/>
        <v>#DIV/0!</v>
      </c>
      <c r="J59" s="46"/>
      <c r="K59" s="141" t="e">
        <f t="shared" ca="1" si="8"/>
        <v>#DIV/0!</v>
      </c>
      <c r="L59" s="46"/>
      <c r="M59" s="141" t="e">
        <f t="shared" ca="1" si="9"/>
        <v>#DIV/0!</v>
      </c>
      <c r="N59" s="46"/>
      <c r="O59" s="156" t="e">
        <f t="shared" ca="1" si="10"/>
        <v>#DIV/0!</v>
      </c>
      <c r="P59" s="46"/>
      <c r="Q59" s="155" t="e">
        <f t="shared" ca="1" si="11"/>
        <v>#DIV/0!</v>
      </c>
      <c r="R59" s="46"/>
      <c r="S59" s="141" t="e">
        <f t="shared" ca="1" si="12"/>
        <v>#DIV/0!</v>
      </c>
      <c r="U59" s="156" t="e">
        <f t="shared" ca="1" si="13"/>
        <v>#DIV/0!</v>
      </c>
      <c r="W59" s="138" t="s">
        <v>225</v>
      </c>
    </row>
    <row r="60" spans="1:23" x14ac:dyDescent="0.35">
      <c r="A60" s="42">
        <v>0.99</v>
      </c>
      <c r="I60" s="157" t="e">
        <f t="shared" ca="1" si="7"/>
        <v>#DIV/0!</v>
      </c>
      <c r="K60" s="63" t="e">
        <f t="shared" ca="1" si="8"/>
        <v>#DIV/0!</v>
      </c>
      <c r="M60" s="63" t="e">
        <f t="shared" ca="1" si="9"/>
        <v>#DIV/0!</v>
      </c>
      <c r="O60" s="63" t="e">
        <f t="shared" ca="1" si="10"/>
        <v>#DIV/0!</v>
      </c>
      <c r="Q60" s="63" t="e">
        <f t="shared" ca="1" si="11"/>
        <v>#DIV/0!</v>
      </c>
      <c r="S60" s="63" t="e">
        <f t="shared" ca="1" si="12"/>
        <v>#DIV/0!</v>
      </c>
      <c r="U60" s="63" t="e">
        <f t="shared" ca="1" si="13"/>
        <v>#DIV/0!</v>
      </c>
    </row>
    <row r="61" spans="1:23" x14ac:dyDescent="0.35">
      <c r="A61" s="154">
        <v>0.997</v>
      </c>
      <c r="I61" s="85" t="e">
        <f t="shared" ca="1" si="7"/>
        <v>#DIV/0!</v>
      </c>
      <c r="J61" s="46"/>
      <c r="K61" s="141" t="e">
        <f t="shared" ca="1" si="8"/>
        <v>#DIV/0!</v>
      </c>
      <c r="L61" s="46"/>
      <c r="M61" s="141" t="e">
        <f t="shared" ca="1" si="9"/>
        <v>#DIV/0!</v>
      </c>
      <c r="N61" s="46"/>
      <c r="O61" s="141" t="e">
        <f t="shared" ca="1" si="10"/>
        <v>#DIV/0!</v>
      </c>
      <c r="P61" s="46"/>
      <c r="Q61" s="85" t="e">
        <f t="shared" ca="1" si="11"/>
        <v>#DIV/0!</v>
      </c>
      <c r="R61" s="46"/>
      <c r="S61" s="141" t="e">
        <f t="shared" ca="1" si="12"/>
        <v>#DIV/0!</v>
      </c>
      <c r="T61" s="46"/>
      <c r="U61" s="141" t="e">
        <f t="shared" ca="1" si="13"/>
        <v>#DIV/0!</v>
      </c>
    </row>
    <row r="63" spans="1:23" x14ac:dyDescent="0.35">
      <c r="A63" s="151" t="s">
        <v>216</v>
      </c>
      <c r="B63" s="152"/>
      <c r="C63" s="152"/>
      <c r="D63" s="152"/>
      <c r="E63" s="152"/>
      <c r="F63" s="166">
        <v>19</v>
      </c>
      <c r="G63" s="166"/>
      <c r="I63" s="139" t="e">
        <f ca="1">$I$38*F63</f>
        <v>#DIV/0!</v>
      </c>
      <c r="K63" s="139" t="e">
        <f ca="1">$K$38*F63</f>
        <v>#DIV/0!</v>
      </c>
      <c r="M63" s="139" t="e">
        <f ca="1">$M$38*F63</f>
        <v>#DIV/0!</v>
      </c>
      <c r="O63" s="139" t="e">
        <f ca="1">$O$38*F63</f>
        <v>#DIV/0!</v>
      </c>
      <c r="Q63" s="139" t="e">
        <f ca="1">$Q$38*F63</f>
        <v>#DIV/0!</v>
      </c>
      <c r="S63" s="139" t="e">
        <f ca="1">$S$38*F63</f>
        <v>#DIV/0!</v>
      </c>
      <c r="U63" s="139" t="e">
        <f ca="1">$U$38*F63</f>
        <v>#DIV/0!</v>
      </c>
    </row>
    <row r="64" spans="1:23" x14ac:dyDescent="0.35">
      <c r="A64" t="s">
        <v>185</v>
      </c>
      <c r="E64" s="153" t="s">
        <v>207</v>
      </c>
      <c r="F64" s="166">
        <f>F63*F46</f>
        <v>0</v>
      </c>
      <c r="G64" s="166"/>
      <c r="I64" s="174" t="s">
        <v>218</v>
      </c>
      <c r="K64" s="174" t="s">
        <v>220</v>
      </c>
      <c r="M64" s="174" t="s">
        <v>221</v>
      </c>
      <c r="O64" s="174" t="s">
        <v>207</v>
      </c>
      <c r="Q64" s="174" t="s">
        <v>219</v>
      </c>
      <c r="S64" s="174" t="s">
        <v>222</v>
      </c>
      <c r="U64" s="174" t="s">
        <v>223</v>
      </c>
    </row>
    <row r="65" spans="1:21" x14ac:dyDescent="0.35">
      <c r="A65" s="42">
        <v>0.5</v>
      </c>
      <c r="I65" s="157" t="e">
        <f t="shared" ref="I65:I70" ca="1" si="14">I$63*(1-$A65)</f>
        <v>#DIV/0!</v>
      </c>
      <c r="K65" s="63" t="e">
        <f t="shared" ref="K65:K70" ca="1" si="15">K$63*(1-$A65)</f>
        <v>#DIV/0!</v>
      </c>
      <c r="M65" s="157" t="e">
        <f t="shared" ref="M65:M70" ca="1" si="16">M$63*(1-$A65)</f>
        <v>#DIV/0!</v>
      </c>
      <c r="O65" s="157" t="e">
        <f t="shared" ref="O65:O70" ca="1" si="17">O$63*(1-$A65)</f>
        <v>#DIV/0!</v>
      </c>
      <c r="Q65" s="157" t="e">
        <f t="shared" ref="Q65:Q70" ca="1" si="18">Q$63*(1-$A65)</f>
        <v>#DIV/0!</v>
      </c>
      <c r="S65" s="157" t="e">
        <f t="shared" ref="S65:S70" ca="1" si="19">S$63*(1-$A65)</f>
        <v>#DIV/0!</v>
      </c>
      <c r="U65" s="157" t="e">
        <f t="shared" ref="U65:U70" ca="1" si="20">U$63*(1-$A65)</f>
        <v>#DIV/0!</v>
      </c>
    </row>
    <row r="66" spans="1:21" x14ac:dyDescent="0.35">
      <c r="A66" s="42">
        <v>0.9</v>
      </c>
      <c r="I66" s="157" t="e">
        <f t="shared" ca="1" si="14"/>
        <v>#DIV/0!</v>
      </c>
      <c r="K66" s="63" t="e">
        <f t="shared" ca="1" si="15"/>
        <v>#DIV/0!</v>
      </c>
      <c r="M66" s="157" t="e">
        <f t="shared" ca="1" si="16"/>
        <v>#DIV/0!</v>
      </c>
      <c r="O66" s="157" t="e">
        <f t="shared" ca="1" si="17"/>
        <v>#DIV/0!</v>
      </c>
      <c r="Q66" s="157" t="e">
        <f t="shared" ca="1" si="18"/>
        <v>#DIV/0!</v>
      </c>
      <c r="S66" s="157" t="e">
        <f t="shared" ca="1" si="19"/>
        <v>#DIV/0!</v>
      </c>
      <c r="U66" s="157" t="e">
        <f t="shared" ca="1" si="20"/>
        <v>#DIV/0!</v>
      </c>
    </row>
    <row r="67" spans="1:21" x14ac:dyDescent="0.35">
      <c r="A67" s="42">
        <v>0.95</v>
      </c>
      <c r="I67" s="157" t="e">
        <f t="shared" ca="1" si="14"/>
        <v>#DIV/0!</v>
      </c>
      <c r="K67" s="63" t="e">
        <f t="shared" ca="1" si="15"/>
        <v>#DIV/0!</v>
      </c>
      <c r="M67" s="157" t="e">
        <f t="shared" ca="1" si="16"/>
        <v>#DIV/0!</v>
      </c>
      <c r="O67" s="157" t="e">
        <f t="shared" ca="1" si="17"/>
        <v>#DIV/0!</v>
      </c>
      <c r="Q67" s="157" t="e">
        <f t="shared" ca="1" si="18"/>
        <v>#DIV/0!</v>
      </c>
      <c r="S67" s="157" t="e">
        <f t="shared" ca="1" si="19"/>
        <v>#DIV/0!</v>
      </c>
      <c r="U67" s="157" t="e">
        <f t="shared" ca="1" si="20"/>
        <v>#DIV/0!</v>
      </c>
    </row>
    <row r="68" spans="1:21" x14ac:dyDescent="0.35">
      <c r="A68" s="140">
        <v>0.98</v>
      </c>
      <c r="B68" s="46"/>
      <c r="C68" s="46"/>
      <c r="D68" s="46"/>
      <c r="E68" s="46"/>
      <c r="F68" s="46"/>
      <c r="G68" s="46"/>
      <c r="H68" s="46"/>
      <c r="I68" s="155" t="e">
        <f t="shared" ca="1" si="14"/>
        <v>#DIV/0!</v>
      </c>
      <c r="J68" s="46"/>
      <c r="K68" s="141" t="e">
        <f t="shared" ca="1" si="15"/>
        <v>#DIV/0!</v>
      </c>
      <c r="L68" s="46"/>
      <c r="M68" s="141" t="e">
        <f t="shared" ca="1" si="16"/>
        <v>#DIV/0!</v>
      </c>
      <c r="N68" s="46"/>
      <c r="O68" s="156" t="e">
        <f t="shared" ca="1" si="17"/>
        <v>#DIV/0!</v>
      </c>
      <c r="P68" s="46"/>
      <c r="Q68" s="155" t="e">
        <f t="shared" ca="1" si="18"/>
        <v>#DIV/0!</v>
      </c>
      <c r="R68" s="46"/>
      <c r="S68" s="141" t="e">
        <f t="shared" ca="1" si="19"/>
        <v>#DIV/0!</v>
      </c>
      <c r="U68" s="156" t="e">
        <f t="shared" ca="1" si="20"/>
        <v>#DIV/0!</v>
      </c>
    </row>
    <row r="69" spans="1:21" x14ac:dyDescent="0.35">
      <c r="A69" s="42">
        <v>0.99</v>
      </c>
      <c r="I69" s="157" t="e">
        <f t="shared" ca="1" si="14"/>
        <v>#DIV/0!</v>
      </c>
      <c r="K69" s="63" t="e">
        <f t="shared" ca="1" si="15"/>
        <v>#DIV/0!</v>
      </c>
      <c r="M69" s="63" t="e">
        <f t="shared" ca="1" si="16"/>
        <v>#DIV/0!</v>
      </c>
      <c r="O69" s="63" t="e">
        <f t="shared" ca="1" si="17"/>
        <v>#DIV/0!</v>
      </c>
      <c r="Q69" s="63" t="e">
        <f t="shared" ca="1" si="18"/>
        <v>#DIV/0!</v>
      </c>
      <c r="S69" s="63" t="e">
        <f t="shared" ca="1" si="19"/>
        <v>#DIV/0!</v>
      </c>
      <c r="U69" s="63" t="e">
        <f t="shared" ca="1" si="20"/>
        <v>#DIV/0!</v>
      </c>
    </row>
    <row r="70" spans="1:21" x14ac:dyDescent="0.35">
      <c r="A70" s="154">
        <v>0.997</v>
      </c>
      <c r="I70" s="85" t="e">
        <f t="shared" ca="1" si="14"/>
        <v>#DIV/0!</v>
      </c>
      <c r="J70" s="46"/>
      <c r="K70" s="141" t="e">
        <f t="shared" ca="1" si="15"/>
        <v>#DIV/0!</v>
      </c>
      <c r="L70" s="46"/>
      <c r="M70" s="141" t="e">
        <f t="shared" ca="1" si="16"/>
        <v>#DIV/0!</v>
      </c>
      <c r="N70" s="46"/>
      <c r="O70" s="141" t="e">
        <f t="shared" ca="1" si="17"/>
        <v>#DIV/0!</v>
      </c>
      <c r="P70" s="46"/>
      <c r="Q70" s="85" t="e">
        <f t="shared" ca="1" si="18"/>
        <v>#DIV/0!</v>
      </c>
      <c r="R70" s="46"/>
      <c r="S70" s="141" t="e">
        <f t="shared" ca="1" si="19"/>
        <v>#DIV/0!</v>
      </c>
      <c r="T70" s="46"/>
      <c r="U70" s="141" t="e">
        <f t="shared" ca="1" si="20"/>
        <v>#DIV/0!</v>
      </c>
    </row>
    <row r="72" spans="1:21" x14ac:dyDescent="0.35">
      <c r="A72" s="151" t="s">
        <v>224</v>
      </c>
      <c r="B72" s="152"/>
      <c r="C72" s="152"/>
      <c r="D72" s="152"/>
      <c r="E72" s="152"/>
      <c r="F72" s="165">
        <v>211</v>
      </c>
      <c r="G72" s="165"/>
      <c r="I72" s="139" t="e">
        <f ca="1">$I$38*F72</f>
        <v>#DIV/0!</v>
      </c>
      <c r="K72" s="139" t="e">
        <f ca="1">$K$38*F72</f>
        <v>#DIV/0!</v>
      </c>
      <c r="M72" s="139" t="e">
        <f ca="1">$M$38*F72</f>
        <v>#DIV/0!</v>
      </c>
      <c r="O72" s="139" t="e">
        <f ca="1">$O$38*F72</f>
        <v>#DIV/0!</v>
      </c>
      <c r="Q72" s="139" t="e">
        <f ca="1">$Q$38*F72</f>
        <v>#DIV/0!</v>
      </c>
      <c r="S72" s="139" t="e">
        <f ca="1">$S$38*F72</f>
        <v>#DIV/0!</v>
      </c>
      <c r="U72" s="139" t="e">
        <f ca="1">$U$38*F72</f>
        <v>#DIV/0!</v>
      </c>
    </row>
    <row r="73" spans="1:21" x14ac:dyDescent="0.35">
      <c r="A73" t="s">
        <v>185</v>
      </c>
      <c r="E73" s="153" t="s">
        <v>207</v>
      </c>
      <c r="F73" s="165">
        <f>F72*F46</f>
        <v>0</v>
      </c>
      <c r="G73" s="165"/>
      <c r="I73" s="174" t="s">
        <v>218</v>
      </c>
      <c r="K73" s="174" t="s">
        <v>220</v>
      </c>
      <c r="M73" s="174" t="s">
        <v>221</v>
      </c>
      <c r="O73" s="174" t="s">
        <v>207</v>
      </c>
      <c r="Q73" s="174" t="s">
        <v>219</v>
      </c>
      <c r="S73" s="174" t="s">
        <v>222</v>
      </c>
      <c r="U73" s="174" t="s">
        <v>223</v>
      </c>
    </row>
    <row r="74" spans="1:21" x14ac:dyDescent="0.35">
      <c r="A74" s="42">
        <v>0.5</v>
      </c>
      <c r="I74" s="157" t="e">
        <f t="shared" ref="I74:I79" ca="1" si="21">I$72*(1-$A74)</f>
        <v>#DIV/0!</v>
      </c>
      <c r="K74" s="157" t="e">
        <f t="shared" ref="K74:K79" ca="1" si="22">K$72*(1-$A74)</f>
        <v>#DIV/0!</v>
      </c>
      <c r="M74" s="157" t="e">
        <f t="shared" ref="M74:M79" ca="1" si="23">M$72*(1-$A74)</f>
        <v>#DIV/0!</v>
      </c>
      <c r="O74" s="157" t="e">
        <f t="shared" ref="O74:O79" ca="1" si="24">O$72*(1-$A74)</f>
        <v>#DIV/0!</v>
      </c>
      <c r="Q74" s="157" t="e">
        <f t="shared" ref="Q74:Q79" ca="1" si="25">Q$72*(1-$A74)</f>
        <v>#DIV/0!</v>
      </c>
      <c r="S74" s="157" t="e">
        <f t="shared" ref="S74:S79" ca="1" si="26">S$72*(1-$A74)</f>
        <v>#DIV/0!</v>
      </c>
      <c r="U74" s="157" t="e">
        <f t="shared" ref="U74:U79" ca="1" si="27">U$72*(1-$A74)</f>
        <v>#DIV/0!</v>
      </c>
    </row>
    <row r="75" spans="1:21" x14ac:dyDescent="0.35">
      <c r="A75" s="42">
        <v>0.9</v>
      </c>
      <c r="I75" s="157" t="e">
        <f t="shared" ca="1" si="21"/>
        <v>#DIV/0!</v>
      </c>
      <c r="K75" s="63" t="e">
        <f t="shared" ca="1" si="22"/>
        <v>#DIV/0!</v>
      </c>
      <c r="M75" s="157" t="e">
        <f t="shared" ca="1" si="23"/>
        <v>#DIV/0!</v>
      </c>
      <c r="O75" s="157" t="e">
        <f t="shared" ca="1" si="24"/>
        <v>#DIV/0!</v>
      </c>
      <c r="Q75" s="157" t="e">
        <f t="shared" ca="1" si="25"/>
        <v>#DIV/0!</v>
      </c>
      <c r="S75" s="157" t="e">
        <f t="shared" ca="1" si="26"/>
        <v>#DIV/0!</v>
      </c>
      <c r="U75" s="157" t="e">
        <f t="shared" ca="1" si="27"/>
        <v>#DIV/0!</v>
      </c>
    </row>
    <row r="76" spans="1:21" x14ac:dyDescent="0.35">
      <c r="A76" s="42">
        <v>0.95</v>
      </c>
      <c r="I76" s="157" t="e">
        <f t="shared" ca="1" si="21"/>
        <v>#DIV/0!</v>
      </c>
      <c r="K76" s="63" t="e">
        <f t="shared" ca="1" si="22"/>
        <v>#DIV/0!</v>
      </c>
      <c r="M76" s="157" t="e">
        <f t="shared" ca="1" si="23"/>
        <v>#DIV/0!</v>
      </c>
      <c r="O76" s="157" t="e">
        <f t="shared" ca="1" si="24"/>
        <v>#DIV/0!</v>
      </c>
      <c r="Q76" s="157" t="e">
        <f t="shared" ca="1" si="25"/>
        <v>#DIV/0!</v>
      </c>
      <c r="S76" s="157" t="e">
        <f t="shared" ca="1" si="26"/>
        <v>#DIV/0!</v>
      </c>
      <c r="U76" s="157" t="e">
        <f t="shared" ca="1" si="27"/>
        <v>#DIV/0!</v>
      </c>
    </row>
    <row r="77" spans="1:21" x14ac:dyDescent="0.35">
      <c r="A77" s="140">
        <v>0.98</v>
      </c>
      <c r="B77" s="46"/>
      <c r="C77" s="46"/>
      <c r="D77" s="46"/>
      <c r="E77" s="46"/>
      <c r="F77" s="46"/>
      <c r="G77" s="46"/>
      <c r="H77" s="46"/>
      <c r="I77" s="155" t="e">
        <f t="shared" ca="1" si="21"/>
        <v>#DIV/0!</v>
      </c>
      <c r="J77" s="46"/>
      <c r="K77" s="141" t="e">
        <f t="shared" ca="1" si="22"/>
        <v>#DIV/0!</v>
      </c>
      <c r="L77" s="46"/>
      <c r="M77" s="156" t="e">
        <f t="shared" ca="1" si="23"/>
        <v>#DIV/0!</v>
      </c>
      <c r="N77" s="46"/>
      <c r="O77" s="156" t="e">
        <f t="shared" ca="1" si="24"/>
        <v>#DIV/0!</v>
      </c>
      <c r="P77" s="46"/>
      <c r="Q77" s="155" t="e">
        <f t="shared" ca="1" si="25"/>
        <v>#DIV/0!</v>
      </c>
      <c r="R77" s="46"/>
      <c r="S77" s="156" t="e">
        <f t="shared" ca="1" si="26"/>
        <v>#DIV/0!</v>
      </c>
      <c r="U77" s="156" t="e">
        <f t="shared" ca="1" si="27"/>
        <v>#DIV/0!</v>
      </c>
    </row>
    <row r="78" spans="1:21" x14ac:dyDescent="0.35">
      <c r="A78" s="42">
        <v>0.99</v>
      </c>
      <c r="I78" s="157" t="e">
        <f t="shared" ca="1" si="21"/>
        <v>#DIV/0!</v>
      </c>
      <c r="K78" s="63" t="e">
        <f t="shared" ca="1" si="22"/>
        <v>#DIV/0!</v>
      </c>
      <c r="M78" s="157" t="e">
        <f t="shared" ca="1" si="23"/>
        <v>#DIV/0!</v>
      </c>
      <c r="O78" s="157" t="e">
        <f t="shared" ca="1" si="24"/>
        <v>#DIV/0!</v>
      </c>
      <c r="Q78" s="157" t="e">
        <f t="shared" ca="1" si="25"/>
        <v>#DIV/0!</v>
      </c>
      <c r="S78" s="157" t="e">
        <f t="shared" ca="1" si="26"/>
        <v>#DIV/0!</v>
      </c>
      <c r="U78" s="157" t="e">
        <f t="shared" ca="1" si="27"/>
        <v>#DIV/0!</v>
      </c>
    </row>
    <row r="79" spans="1:21" x14ac:dyDescent="0.35">
      <c r="A79" s="154">
        <v>0.997</v>
      </c>
      <c r="I79" s="155" t="e">
        <f t="shared" ca="1" si="21"/>
        <v>#DIV/0!</v>
      </c>
      <c r="K79" s="141" t="e">
        <f t="shared" ca="1" si="22"/>
        <v>#DIV/0!</v>
      </c>
      <c r="M79" s="141" t="e">
        <f t="shared" ca="1" si="23"/>
        <v>#DIV/0!</v>
      </c>
      <c r="O79" s="156" t="e">
        <f t="shared" ca="1" si="24"/>
        <v>#DIV/0!</v>
      </c>
      <c r="Q79" s="85" t="e">
        <f t="shared" ca="1" si="25"/>
        <v>#DIV/0!</v>
      </c>
      <c r="S79" s="141" t="e">
        <f t="shared" ca="1" si="26"/>
        <v>#DIV/0!</v>
      </c>
      <c r="U79" s="156" t="e">
        <f t="shared" ca="1" si="27"/>
        <v>#DIV/0!</v>
      </c>
    </row>
    <row r="81" spans="1:21" x14ac:dyDescent="0.35">
      <c r="A81" s="151" t="s">
        <v>227</v>
      </c>
      <c r="B81" s="152"/>
      <c r="C81" s="152"/>
      <c r="D81" s="152"/>
      <c r="E81" s="152"/>
      <c r="F81" s="166">
        <v>6</v>
      </c>
      <c r="G81" s="166"/>
      <c r="I81" s="139" t="e">
        <f ca="1">$I$38*F81</f>
        <v>#DIV/0!</v>
      </c>
      <c r="K81" s="139" t="e">
        <f ca="1">$K$38*F81</f>
        <v>#DIV/0!</v>
      </c>
      <c r="M81" s="139" t="e">
        <f ca="1">$M$38*F81</f>
        <v>#DIV/0!</v>
      </c>
      <c r="O81" s="139" t="e">
        <f ca="1">$O$38*F81</f>
        <v>#DIV/0!</v>
      </c>
      <c r="Q81" s="139" t="e">
        <f ca="1">$Q$38*F81</f>
        <v>#DIV/0!</v>
      </c>
      <c r="S81" s="139" t="e">
        <f ca="1">$S$38*F81</f>
        <v>#DIV/0!</v>
      </c>
      <c r="U81" s="139" t="e">
        <f ca="1">$U$38*F81</f>
        <v>#DIV/0!</v>
      </c>
    </row>
    <row r="82" spans="1:21" x14ac:dyDescent="0.35">
      <c r="A82" t="s">
        <v>185</v>
      </c>
      <c r="E82" s="153" t="s">
        <v>207</v>
      </c>
      <c r="F82" s="166">
        <f>F81*F46</f>
        <v>0</v>
      </c>
      <c r="G82" s="166"/>
      <c r="I82" s="174" t="s">
        <v>218</v>
      </c>
      <c r="K82" s="174" t="s">
        <v>220</v>
      </c>
      <c r="M82" s="174" t="s">
        <v>221</v>
      </c>
      <c r="O82" s="174" t="s">
        <v>207</v>
      </c>
      <c r="Q82" s="174" t="s">
        <v>219</v>
      </c>
      <c r="S82" s="174" t="s">
        <v>222</v>
      </c>
      <c r="U82" s="174" t="s">
        <v>223</v>
      </c>
    </row>
    <row r="83" spans="1:21" x14ac:dyDescent="0.35">
      <c r="A83" s="42">
        <v>0.5</v>
      </c>
      <c r="I83" s="157" t="e">
        <f t="shared" ref="I83:I88" ca="1" si="28">I$81*(1-$A83)</f>
        <v>#DIV/0!</v>
      </c>
      <c r="K83" s="158" t="e">
        <f t="shared" ref="K83:K88" ca="1" si="29">K$81*(1-$A83)</f>
        <v>#DIV/0!</v>
      </c>
      <c r="M83" s="157" t="e">
        <f t="shared" ref="M83:M88" ca="1" si="30">M$81*(1-$A83)</f>
        <v>#DIV/0!</v>
      </c>
      <c r="O83" s="157" t="e">
        <f t="shared" ref="O83:O88" ca="1" si="31">O$81*(1-$A83)</f>
        <v>#DIV/0!</v>
      </c>
      <c r="Q83" s="157" t="e">
        <f t="shared" ref="Q83:Q88" ca="1" si="32">Q$81*(1-$A83)</f>
        <v>#DIV/0!</v>
      </c>
      <c r="S83" s="157" t="e">
        <f t="shared" ref="S83:S88" ca="1" si="33">S$81*(1-$A83)</f>
        <v>#DIV/0!</v>
      </c>
      <c r="U83" s="157" t="e">
        <f t="shared" ref="U83:U88" ca="1" si="34">U$81*(1-$A83)</f>
        <v>#DIV/0!</v>
      </c>
    </row>
    <row r="84" spans="1:21" x14ac:dyDescent="0.35">
      <c r="A84" s="42">
        <v>0.9</v>
      </c>
      <c r="I84" s="157" t="e">
        <f t="shared" ca="1" si="28"/>
        <v>#DIV/0!</v>
      </c>
      <c r="K84" s="158" t="e">
        <f t="shared" ca="1" si="29"/>
        <v>#DIV/0!</v>
      </c>
      <c r="M84" s="157" t="e">
        <f t="shared" ca="1" si="30"/>
        <v>#DIV/0!</v>
      </c>
      <c r="O84" s="157" t="e">
        <f t="shared" ca="1" si="31"/>
        <v>#DIV/0!</v>
      </c>
      <c r="Q84" s="157" t="e">
        <f t="shared" ca="1" si="32"/>
        <v>#DIV/0!</v>
      </c>
      <c r="S84" s="157" t="e">
        <f t="shared" ca="1" si="33"/>
        <v>#DIV/0!</v>
      </c>
      <c r="U84" s="157" t="e">
        <f t="shared" ca="1" si="34"/>
        <v>#DIV/0!</v>
      </c>
    </row>
    <row r="85" spans="1:21" x14ac:dyDescent="0.35">
      <c r="A85" s="42">
        <v>0.95</v>
      </c>
      <c r="I85" s="157" t="e">
        <f t="shared" ca="1" si="28"/>
        <v>#DIV/0!</v>
      </c>
      <c r="K85" s="158" t="e">
        <f t="shared" ca="1" si="29"/>
        <v>#DIV/0!</v>
      </c>
      <c r="M85" s="158" t="e">
        <f t="shared" ca="1" si="30"/>
        <v>#DIV/0!</v>
      </c>
      <c r="O85" s="157" t="e">
        <f t="shared" ca="1" si="31"/>
        <v>#DIV/0!</v>
      </c>
      <c r="Q85" s="158" t="e">
        <f t="shared" ca="1" si="32"/>
        <v>#DIV/0!</v>
      </c>
      <c r="S85" s="158" t="e">
        <f t="shared" ca="1" si="33"/>
        <v>#DIV/0!</v>
      </c>
      <c r="U85" s="158" t="e">
        <f t="shared" ca="1" si="34"/>
        <v>#DIV/0!</v>
      </c>
    </row>
    <row r="86" spans="1:21" x14ac:dyDescent="0.35">
      <c r="A86" s="140">
        <v>0.98</v>
      </c>
      <c r="B86" s="46"/>
      <c r="C86" s="46"/>
      <c r="D86" s="46"/>
      <c r="E86" s="46"/>
      <c r="F86" s="46"/>
      <c r="G86" s="46"/>
      <c r="H86" s="46"/>
      <c r="I86" s="155" t="e">
        <f t="shared" ca="1" si="28"/>
        <v>#DIV/0!</v>
      </c>
      <c r="J86" s="46"/>
      <c r="K86" s="164" t="e">
        <f t="shared" ca="1" si="29"/>
        <v>#DIV/0!</v>
      </c>
      <c r="L86" s="46"/>
      <c r="M86" s="164" t="e">
        <f t="shared" ca="1" si="30"/>
        <v>#DIV/0!</v>
      </c>
      <c r="N86" s="46"/>
      <c r="O86" s="164" t="e">
        <f t="shared" ca="1" si="31"/>
        <v>#DIV/0!</v>
      </c>
      <c r="P86" s="46"/>
      <c r="Q86" s="163" t="e">
        <f t="shared" ca="1" si="32"/>
        <v>#DIV/0!</v>
      </c>
      <c r="R86" s="46"/>
      <c r="S86" s="164" t="e">
        <f t="shared" ca="1" si="33"/>
        <v>#DIV/0!</v>
      </c>
      <c r="U86" s="164" t="e">
        <f t="shared" ca="1" si="34"/>
        <v>#DIV/0!</v>
      </c>
    </row>
    <row r="87" spans="1:21" x14ac:dyDescent="0.35">
      <c r="A87" s="42">
        <v>0.99</v>
      </c>
      <c r="I87" s="158" t="e">
        <f t="shared" ca="1" si="28"/>
        <v>#DIV/0!</v>
      </c>
      <c r="K87" s="158" t="e">
        <f t="shared" ca="1" si="29"/>
        <v>#DIV/0!</v>
      </c>
      <c r="M87" s="158" t="e">
        <f t="shared" ca="1" si="30"/>
        <v>#DIV/0!</v>
      </c>
      <c r="O87" s="158" t="e">
        <f t="shared" ca="1" si="31"/>
        <v>#DIV/0!</v>
      </c>
      <c r="Q87" s="158" t="e">
        <f t="shared" ca="1" si="32"/>
        <v>#DIV/0!</v>
      </c>
      <c r="S87" s="158" t="e">
        <f t="shared" ca="1" si="33"/>
        <v>#DIV/0!</v>
      </c>
      <c r="U87" s="158" t="e">
        <f t="shared" ca="1" si="34"/>
        <v>#DIV/0!</v>
      </c>
    </row>
    <row r="88" spans="1:21" x14ac:dyDescent="0.35">
      <c r="A88" s="154">
        <v>0.997</v>
      </c>
      <c r="I88" s="85" t="e">
        <f t="shared" ca="1" si="28"/>
        <v>#DIV/0!</v>
      </c>
      <c r="J88" s="46"/>
      <c r="K88" s="164" t="e">
        <f t="shared" ca="1" si="29"/>
        <v>#DIV/0!</v>
      </c>
      <c r="L88" s="46"/>
      <c r="M88" s="141" t="e">
        <f t="shared" ca="1" si="30"/>
        <v>#DIV/0!</v>
      </c>
      <c r="N88" s="46"/>
      <c r="O88" s="164" t="e">
        <f t="shared" ca="1" si="31"/>
        <v>#DIV/0!</v>
      </c>
      <c r="P88" s="46"/>
      <c r="Q88" s="163" t="e">
        <f t="shared" ca="1" si="32"/>
        <v>#DIV/0!</v>
      </c>
      <c r="R88" s="46"/>
      <c r="S88" s="164" t="e">
        <f t="shared" ca="1" si="33"/>
        <v>#DIV/0!</v>
      </c>
      <c r="T88" s="46"/>
      <c r="U88" s="164" t="e">
        <f t="shared" ca="1" si="34"/>
        <v>#DIV/0!</v>
      </c>
    </row>
    <row r="90" spans="1:21" x14ac:dyDescent="0.35">
      <c r="A90" s="151" t="s">
        <v>228</v>
      </c>
      <c r="B90" s="152"/>
      <c r="C90" s="152"/>
      <c r="D90" s="152"/>
      <c r="E90" s="152"/>
      <c r="F90" s="166">
        <v>97</v>
      </c>
      <c r="G90" s="166"/>
      <c r="I90" s="139" t="e">
        <f ca="1">$I$38*F90</f>
        <v>#DIV/0!</v>
      </c>
      <c r="K90" s="139" t="e">
        <f ca="1">$K$38*F90</f>
        <v>#DIV/0!</v>
      </c>
      <c r="M90" s="139" t="e">
        <f ca="1">$M$38*F90</f>
        <v>#DIV/0!</v>
      </c>
      <c r="O90" s="139" t="e">
        <f ca="1">$O$38*F90</f>
        <v>#DIV/0!</v>
      </c>
      <c r="Q90" s="139" t="e">
        <f ca="1">$Q$38*F90</f>
        <v>#DIV/0!</v>
      </c>
      <c r="S90" s="139" t="e">
        <f ca="1">$S$38*F90</f>
        <v>#DIV/0!</v>
      </c>
      <c r="U90" s="139" t="e">
        <f ca="1">$U$38*F90</f>
        <v>#DIV/0!</v>
      </c>
    </row>
    <row r="91" spans="1:21" x14ac:dyDescent="0.35">
      <c r="A91" t="s">
        <v>185</v>
      </c>
      <c r="E91" s="153" t="s">
        <v>207</v>
      </c>
      <c r="F91" s="166">
        <f>F90*F46</f>
        <v>0</v>
      </c>
      <c r="G91" s="166"/>
      <c r="I91" s="174" t="s">
        <v>218</v>
      </c>
      <c r="K91" s="174" t="s">
        <v>220</v>
      </c>
      <c r="M91" s="174" t="s">
        <v>221</v>
      </c>
      <c r="O91" s="174" t="s">
        <v>207</v>
      </c>
      <c r="Q91" s="174" t="s">
        <v>219</v>
      </c>
      <c r="S91" s="174" t="s">
        <v>222</v>
      </c>
      <c r="U91" s="174" t="s">
        <v>223</v>
      </c>
    </row>
    <row r="92" spans="1:21" x14ac:dyDescent="0.35">
      <c r="A92" s="42">
        <v>0.5</v>
      </c>
      <c r="I92" s="157" t="e">
        <f t="shared" ref="I92:I97" ca="1" si="35">I$90*(1-$A92)</f>
        <v>#DIV/0!</v>
      </c>
      <c r="K92" s="158" t="e">
        <f t="shared" ref="K92:K97" ca="1" si="36">K$90*(1-$A92)</f>
        <v>#DIV/0!</v>
      </c>
      <c r="M92" s="157" t="e">
        <f t="shared" ref="M92:M97" ca="1" si="37">M$90*(1-$A92)</f>
        <v>#DIV/0!</v>
      </c>
      <c r="O92" s="157" t="e">
        <f t="shared" ref="O92:O97" ca="1" si="38">O$90*(1-$A92)</f>
        <v>#DIV/0!</v>
      </c>
      <c r="Q92" s="157" t="e">
        <f t="shared" ref="Q92:Q97" ca="1" si="39">Q$90*(1-$A92)</f>
        <v>#DIV/0!</v>
      </c>
      <c r="S92" s="157" t="e">
        <f t="shared" ref="S92:S97" ca="1" si="40">S$90*(1-$A92)</f>
        <v>#DIV/0!</v>
      </c>
      <c r="U92" s="157" t="e">
        <f t="shared" ref="U92:U97" ca="1" si="41">U$90*(1-$A92)</f>
        <v>#DIV/0!</v>
      </c>
    </row>
    <row r="93" spans="1:21" x14ac:dyDescent="0.35">
      <c r="A93" s="42">
        <v>0.9</v>
      </c>
      <c r="I93" s="157" t="e">
        <f t="shared" ca="1" si="35"/>
        <v>#DIV/0!</v>
      </c>
      <c r="K93" s="158" t="e">
        <f t="shared" ca="1" si="36"/>
        <v>#DIV/0!</v>
      </c>
      <c r="M93" s="157" t="e">
        <f t="shared" ca="1" si="37"/>
        <v>#DIV/0!</v>
      </c>
      <c r="O93" s="157" t="e">
        <f t="shared" ca="1" si="38"/>
        <v>#DIV/0!</v>
      </c>
      <c r="Q93" s="157" t="e">
        <f t="shared" ca="1" si="39"/>
        <v>#DIV/0!</v>
      </c>
      <c r="S93" s="157" t="e">
        <f t="shared" ca="1" si="40"/>
        <v>#DIV/0!</v>
      </c>
      <c r="U93" s="157" t="e">
        <f t="shared" ca="1" si="41"/>
        <v>#DIV/0!</v>
      </c>
    </row>
    <row r="94" spans="1:21" x14ac:dyDescent="0.35">
      <c r="A94" s="42">
        <v>0.95</v>
      </c>
      <c r="I94" s="157" t="e">
        <f t="shared" ca="1" si="35"/>
        <v>#DIV/0!</v>
      </c>
      <c r="K94" s="158" t="e">
        <f t="shared" ca="1" si="36"/>
        <v>#DIV/0!</v>
      </c>
      <c r="M94" s="157" t="e">
        <f t="shared" ca="1" si="37"/>
        <v>#DIV/0!</v>
      </c>
      <c r="O94" s="157" t="e">
        <f t="shared" ca="1" si="38"/>
        <v>#DIV/0!</v>
      </c>
      <c r="Q94" s="157" t="e">
        <f t="shared" ca="1" si="39"/>
        <v>#DIV/0!</v>
      </c>
      <c r="S94" s="157" t="e">
        <f t="shared" ca="1" si="40"/>
        <v>#DIV/0!</v>
      </c>
      <c r="U94" s="157" t="e">
        <f t="shared" ca="1" si="41"/>
        <v>#DIV/0!</v>
      </c>
    </row>
    <row r="95" spans="1:21" x14ac:dyDescent="0.35">
      <c r="A95" s="140">
        <v>0.98</v>
      </c>
      <c r="B95" s="46"/>
      <c r="C95" s="46"/>
      <c r="D95" s="46"/>
      <c r="E95" s="46"/>
      <c r="F95" s="46"/>
      <c r="G95" s="46"/>
      <c r="H95" s="46"/>
      <c r="I95" s="155" t="e">
        <f t="shared" ca="1" si="35"/>
        <v>#DIV/0!</v>
      </c>
      <c r="J95" s="46"/>
      <c r="K95" s="163" t="e">
        <f t="shared" ca="1" si="36"/>
        <v>#DIV/0!</v>
      </c>
      <c r="L95" s="46"/>
      <c r="M95" s="155" t="e">
        <f t="shared" ca="1" si="37"/>
        <v>#DIV/0!</v>
      </c>
      <c r="N95" s="46"/>
      <c r="O95" s="155" t="e">
        <f t="shared" ca="1" si="38"/>
        <v>#DIV/0!</v>
      </c>
      <c r="P95" s="46"/>
      <c r="Q95" s="155" t="e">
        <f t="shared" ca="1" si="39"/>
        <v>#DIV/0!</v>
      </c>
      <c r="R95" s="46"/>
      <c r="S95" s="155" t="e">
        <f t="shared" ca="1" si="40"/>
        <v>#DIV/0!</v>
      </c>
      <c r="U95" s="155" t="e">
        <f t="shared" ca="1" si="41"/>
        <v>#DIV/0!</v>
      </c>
    </row>
    <row r="96" spans="1:21" x14ac:dyDescent="0.35">
      <c r="A96" s="42">
        <v>0.99</v>
      </c>
      <c r="I96" s="157" t="e">
        <f t="shared" ca="1" si="35"/>
        <v>#DIV/0!</v>
      </c>
      <c r="K96" s="158" t="e">
        <f t="shared" ca="1" si="36"/>
        <v>#DIV/0!</v>
      </c>
      <c r="M96" s="157" t="e">
        <f t="shared" ca="1" si="37"/>
        <v>#DIV/0!</v>
      </c>
      <c r="O96" s="157" t="e">
        <f t="shared" ca="1" si="38"/>
        <v>#DIV/0!</v>
      </c>
      <c r="Q96" s="157" t="e">
        <f t="shared" ca="1" si="39"/>
        <v>#DIV/0!</v>
      </c>
      <c r="S96" s="157" t="e">
        <f t="shared" ca="1" si="40"/>
        <v>#DIV/0!</v>
      </c>
      <c r="U96" s="157" t="e">
        <f t="shared" ca="1" si="41"/>
        <v>#DIV/0!</v>
      </c>
    </row>
    <row r="97" spans="1:21" x14ac:dyDescent="0.35">
      <c r="A97" s="154">
        <v>0.997</v>
      </c>
      <c r="I97" s="155" t="e">
        <f t="shared" ca="1" si="35"/>
        <v>#DIV/0!</v>
      </c>
      <c r="J97" s="46"/>
      <c r="K97" s="163" t="e">
        <f t="shared" ca="1" si="36"/>
        <v>#DIV/0!</v>
      </c>
      <c r="L97" s="46"/>
      <c r="M97" s="141" t="e">
        <f t="shared" ca="1" si="37"/>
        <v>#DIV/0!</v>
      </c>
      <c r="N97" s="46"/>
      <c r="O97" s="85" t="e">
        <f t="shared" ca="1" si="38"/>
        <v>#DIV/0!</v>
      </c>
      <c r="P97" s="46"/>
      <c r="Q97" s="85" t="e">
        <f t="shared" ca="1" si="39"/>
        <v>#DIV/0!</v>
      </c>
      <c r="R97" s="46"/>
      <c r="S97" s="163" t="e">
        <f t="shared" ca="1" si="40"/>
        <v>#DIV/0!</v>
      </c>
      <c r="T97" s="46"/>
      <c r="U97" s="164" t="e">
        <f t="shared" ca="1" si="41"/>
        <v>#DIV/0!</v>
      </c>
    </row>
  </sheetData>
  <mergeCells count="3">
    <mergeCell ref="C3:D3"/>
    <mergeCell ref="C4:D4"/>
    <mergeCell ref="F12:F13"/>
  </mergeCells>
  <dataValidations count="1">
    <dataValidation type="list" allowBlank="1" showInputMessage="1" showErrorMessage="1" sqref="P25" xr:uid="{F36908AB-F2E6-480A-B224-5D828836E7E2}">
      <formula1>"diving bird, sea mammal, fish"</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3D552-E078-4073-B39E-5239A7181799}">
  <sheetPr codeName="Sheet14"/>
  <dimension ref="A1:W97"/>
  <sheetViews>
    <sheetView topLeftCell="A25" zoomScale="120" zoomScaleNormal="120" workbookViewId="0">
      <selection activeCell="I37" sqref="I37:U37"/>
    </sheetView>
  </sheetViews>
  <sheetFormatPr defaultRowHeight="14.5" x14ac:dyDescent="0.35"/>
  <cols>
    <col min="1" max="1" width="30.26953125" customWidth="1"/>
    <col min="2" max="2" width="7.81640625" customWidth="1"/>
    <col min="5" max="5" width="11.54296875" customWidth="1"/>
    <col min="6" max="6" width="13.7265625" customWidth="1"/>
    <col min="7" max="7" width="7.26953125" customWidth="1"/>
    <col min="8" max="8" width="6.26953125" customWidth="1"/>
    <col min="9" max="9" width="10.453125" bestFit="1" customWidth="1"/>
    <col min="10" max="10" width="2.7265625" customWidth="1"/>
    <col min="11" max="11" width="10" customWidth="1"/>
    <col min="12" max="12" width="3" customWidth="1"/>
    <col min="13" max="13" width="10.453125" customWidth="1"/>
    <col min="14" max="14" width="3" customWidth="1"/>
    <col min="15" max="15" width="10.453125" customWidth="1"/>
    <col min="16" max="16" width="3.26953125" customWidth="1"/>
    <col min="17" max="17" width="9.1796875" customWidth="1"/>
    <col min="18" max="18" width="3.81640625" customWidth="1"/>
    <col min="20" max="20" width="3.7265625" customWidth="1"/>
  </cols>
  <sheetData>
    <row r="1" spans="1:11" ht="26" x14ac:dyDescent="0.35">
      <c r="A1" s="232" t="s">
        <v>201</v>
      </c>
      <c r="B1" s="181" t="s">
        <v>238</v>
      </c>
      <c r="C1" s="182" t="s">
        <v>237</v>
      </c>
      <c r="D1" s="231" t="s">
        <v>248</v>
      </c>
      <c r="E1" s="183" t="s">
        <v>240</v>
      </c>
      <c r="F1" s="180" t="s">
        <v>241</v>
      </c>
      <c r="G1" s="237" t="s">
        <v>52</v>
      </c>
      <c r="H1" s="238" t="s">
        <v>35</v>
      </c>
    </row>
    <row r="2" spans="1:11" x14ac:dyDescent="0.35">
      <c r="A2" s="159" t="s">
        <v>192</v>
      </c>
      <c r="B2" s="159">
        <f>Devices!D2</f>
        <v>0</v>
      </c>
      <c r="C2" s="159"/>
      <c r="D2" s="145"/>
      <c r="E2" s="145"/>
      <c r="G2" s="239">
        <v>0</v>
      </c>
      <c r="H2" s="240">
        <v>0.69</v>
      </c>
    </row>
    <row r="3" spans="1:11" x14ac:dyDescent="0.35">
      <c r="F3" s="54" t="s">
        <v>53</v>
      </c>
      <c r="G3" s="241">
        <v>0.05</v>
      </c>
      <c r="H3" s="242">
        <v>0.73</v>
      </c>
      <c r="I3" s="70"/>
    </row>
    <row r="4" spans="1:11" x14ac:dyDescent="0.35">
      <c r="G4" s="241">
        <f t="shared" ref="G4:G22" si="0">G3+0.05</f>
        <v>0.1</v>
      </c>
      <c r="H4" s="242">
        <v>0.79</v>
      </c>
      <c r="K4" s="70"/>
    </row>
    <row r="5" spans="1:11" x14ac:dyDescent="0.35">
      <c r="A5" s="1" t="s">
        <v>45</v>
      </c>
      <c r="B5" s="2"/>
      <c r="C5" s="3" t="s">
        <v>46</v>
      </c>
      <c r="D5" s="3" t="s">
        <v>47</v>
      </c>
      <c r="E5" s="4"/>
      <c r="G5" s="241">
        <f t="shared" si="0"/>
        <v>0.15000000000000002</v>
      </c>
      <c r="H5" s="242">
        <v>0.88</v>
      </c>
      <c r="K5" s="83"/>
    </row>
    <row r="6" spans="1:11" x14ac:dyDescent="0.35">
      <c r="A6" s="4" t="s">
        <v>48</v>
      </c>
      <c r="B6" s="2"/>
      <c r="C6" s="15"/>
      <c r="D6" s="25">
        <f>Devices!D25</f>
        <v>0</v>
      </c>
      <c r="E6" s="26">
        <f>Devices!D26</f>
        <v>0</v>
      </c>
      <c r="G6" s="241">
        <f t="shared" si="0"/>
        <v>0.2</v>
      </c>
      <c r="H6" s="242">
        <v>0.96</v>
      </c>
      <c r="K6" s="83"/>
    </row>
    <row r="7" spans="1:11" x14ac:dyDescent="0.35">
      <c r="A7" s="4" t="s">
        <v>50</v>
      </c>
      <c r="B7" s="2"/>
      <c r="C7" s="9" t="s">
        <v>51</v>
      </c>
      <c r="D7" s="9" t="s">
        <v>6</v>
      </c>
      <c r="E7" s="27" t="b">
        <f>IF(D6="years",E6*365*24*3600,IF(D6="months",E6*30.4*24*3600,IF(D6="weeks",E6*7*24*3600)))</f>
        <v>0</v>
      </c>
      <c r="G7" s="241">
        <f t="shared" si="0"/>
        <v>0.25</v>
      </c>
      <c r="H7" s="242">
        <v>1</v>
      </c>
      <c r="K7" s="83"/>
    </row>
    <row r="8" spans="1:11" x14ac:dyDescent="0.35">
      <c r="A8" s="4"/>
      <c r="B8" s="2"/>
      <c r="C8" s="3"/>
      <c r="D8" s="3"/>
      <c r="E8" s="28"/>
      <c r="G8" s="241">
        <f t="shared" si="0"/>
        <v>0.3</v>
      </c>
      <c r="H8" s="242">
        <v>0.98</v>
      </c>
      <c r="K8" s="83"/>
    </row>
    <row r="9" spans="1:11" x14ac:dyDescent="0.35">
      <c r="A9" s="1" t="s">
        <v>21</v>
      </c>
      <c r="B9" s="2"/>
      <c r="C9" s="3"/>
      <c r="D9" s="5"/>
      <c r="E9" s="55"/>
      <c r="F9" s="47"/>
      <c r="G9" s="241">
        <f t="shared" si="0"/>
        <v>0.35</v>
      </c>
      <c r="H9" s="242">
        <v>0.92</v>
      </c>
      <c r="K9" s="83"/>
    </row>
    <row r="10" spans="1:11" x14ac:dyDescent="0.35">
      <c r="A10" s="4" t="s">
        <v>91</v>
      </c>
      <c r="B10" s="2"/>
      <c r="C10" s="14" t="s">
        <v>22</v>
      </c>
      <c r="D10" s="15" t="s">
        <v>23</v>
      </c>
      <c r="E10" s="16">
        <f>Devices!D4</f>
        <v>0</v>
      </c>
      <c r="F10" s="47"/>
      <c r="G10" s="241">
        <f t="shared" si="0"/>
        <v>0.39999999999999997</v>
      </c>
      <c r="H10" s="242">
        <v>0.85</v>
      </c>
      <c r="K10" s="83"/>
    </row>
    <row r="11" spans="1:11" x14ac:dyDescent="0.35">
      <c r="A11" s="4" t="s">
        <v>89</v>
      </c>
      <c r="B11" s="2"/>
      <c r="C11" s="9" t="s">
        <v>25</v>
      </c>
      <c r="D11" s="35" t="s">
        <v>23</v>
      </c>
      <c r="E11" s="245">
        <f>2*radius</f>
        <v>0</v>
      </c>
      <c r="F11" s="47"/>
      <c r="G11" s="241">
        <f t="shared" si="0"/>
        <v>0.44999999999999996</v>
      </c>
      <c r="H11" s="242">
        <v>0.8</v>
      </c>
      <c r="K11" s="83"/>
    </row>
    <row r="12" spans="1:11" x14ac:dyDescent="0.35">
      <c r="A12" s="4" t="s">
        <v>26</v>
      </c>
      <c r="B12" s="2"/>
      <c r="C12" s="14" t="s">
        <v>27</v>
      </c>
      <c r="D12" s="15" t="s">
        <v>23</v>
      </c>
      <c r="E12" s="146">
        <f>Devices!D15</f>
        <v>0</v>
      </c>
      <c r="F12" s="47"/>
      <c r="G12" s="241">
        <f t="shared" si="0"/>
        <v>0.49999999999999994</v>
      </c>
      <c r="H12" s="242">
        <v>0.75</v>
      </c>
      <c r="K12" s="83"/>
    </row>
    <row r="13" spans="1:11" x14ac:dyDescent="0.35">
      <c r="A13" s="4" t="s">
        <v>28</v>
      </c>
      <c r="B13" s="2"/>
      <c r="C13" s="17" t="s">
        <v>29</v>
      </c>
      <c r="D13" s="15"/>
      <c r="E13" s="18">
        <f>Devices!D6</f>
        <v>0</v>
      </c>
      <c r="F13" s="47"/>
      <c r="G13" s="241">
        <f t="shared" si="0"/>
        <v>0.54999999999999993</v>
      </c>
      <c r="H13" s="242">
        <v>0.7</v>
      </c>
      <c r="K13" s="86"/>
    </row>
    <row r="14" spans="1:11" x14ac:dyDescent="0.35">
      <c r="A14" s="13" t="s">
        <v>30</v>
      </c>
      <c r="B14" s="49"/>
      <c r="C14" s="51" t="s">
        <v>31</v>
      </c>
      <c r="D14" s="51" t="s">
        <v>23</v>
      </c>
      <c r="E14" s="72">
        <f>Devices!D17</f>
        <v>0</v>
      </c>
      <c r="G14" s="241">
        <f t="shared" si="0"/>
        <v>0.6</v>
      </c>
      <c r="H14" s="242">
        <v>0.64</v>
      </c>
      <c r="K14" s="83"/>
    </row>
    <row r="15" spans="1:11" x14ac:dyDescent="0.35">
      <c r="A15" s="13" t="s">
        <v>92</v>
      </c>
      <c r="B15" s="49"/>
      <c r="C15" s="57" t="s">
        <v>32</v>
      </c>
      <c r="D15" s="56" t="s">
        <v>33</v>
      </c>
      <c r="E15" s="72">
        <f>Devices!D18</f>
        <v>0</v>
      </c>
      <c r="G15" s="241">
        <f t="shared" si="0"/>
        <v>0.65</v>
      </c>
      <c r="H15" s="242">
        <v>0.57999999999999996</v>
      </c>
      <c r="K15" s="83"/>
    </row>
    <row r="16" spans="1:11" x14ac:dyDescent="0.35">
      <c r="A16" s="13" t="s">
        <v>34</v>
      </c>
      <c r="B16" s="49"/>
      <c r="C16" s="57" t="s">
        <v>35</v>
      </c>
      <c r="D16" s="56"/>
      <c r="E16" s="73">
        <v>0.2</v>
      </c>
      <c r="F16" s="58" t="s">
        <v>76</v>
      </c>
      <c r="G16" s="241">
        <f t="shared" si="0"/>
        <v>0.70000000000000007</v>
      </c>
      <c r="H16" s="242">
        <v>0.52</v>
      </c>
      <c r="K16" s="83"/>
    </row>
    <row r="17" spans="1:21" x14ac:dyDescent="0.35">
      <c r="A17" s="4" t="s">
        <v>36</v>
      </c>
      <c r="B17" s="2"/>
      <c r="C17" s="17" t="s">
        <v>37</v>
      </c>
      <c r="D17" s="15" t="s">
        <v>38</v>
      </c>
      <c r="E17" s="19">
        <f>Devices!D20</f>
        <v>0</v>
      </c>
      <c r="F17" s="59"/>
      <c r="G17" s="241">
        <f t="shared" si="0"/>
        <v>0.75000000000000011</v>
      </c>
      <c r="H17" s="242">
        <v>0.47</v>
      </c>
      <c r="K17" s="83"/>
    </row>
    <row r="18" spans="1:21" x14ac:dyDescent="0.35">
      <c r="A18" s="4" t="s">
        <v>39</v>
      </c>
      <c r="B18" s="2"/>
      <c r="C18" s="17" t="s">
        <v>40</v>
      </c>
      <c r="D18" s="15"/>
      <c r="E18" s="21">
        <f>Devices!D21</f>
        <v>0</v>
      </c>
      <c r="F18" s="47"/>
      <c r="G18" s="241">
        <f t="shared" si="0"/>
        <v>0.80000000000000016</v>
      </c>
      <c r="H18" s="242">
        <v>0.41</v>
      </c>
      <c r="K18" s="83"/>
    </row>
    <row r="19" spans="1:21" x14ac:dyDescent="0.35">
      <c r="A19" s="4"/>
      <c r="B19" s="2"/>
      <c r="C19" s="3"/>
      <c r="D19" s="5"/>
      <c r="E19" s="33"/>
      <c r="F19" s="47"/>
      <c r="G19" s="241">
        <f t="shared" si="0"/>
        <v>0.8500000000000002</v>
      </c>
      <c r="H19" s="242">
        <v>0.37</v>
      </c>
      <c r="K19" s="83"/>
    </row>
    <row r="20" spans="1:21" x14ac:dyDescent="0.35">
      <c r="E20" s="43"/>
      <c r="G20" s="241">
        <f t="shared" si="0"/>
        <v>0.90000000000000024</v>
      </c>
      <c r="H20" s="242">
        <v>0.3</v>
      </c>
      <c r="K20" s="83"/>
    </row>
    <row r="21" spans="1:21" x14ac:dyDescent="0.35">
      <c r="A21" s="50" t="s">
        <v>84</v>
      </c>
      <c r="E21" s="43"/>
      <c r="G21" s="241">
        <f t="shared" si="0"/>
        <v>0.95000000000000029</v>
      </c>
      <c r="H21" s="242">
        <v>0.24</v>
      </c>
      <c r="K21" s="83"/>
    </row>
    <row r="22" spans="1:21" ht="15" thickBot="1" x14ac:dyDescent="0.4">
      <c r="A22" s="4" t="s">
        <v>269</v>
      </c>
      <c r="B22" s="2"/>
      <c r="C22" s="14" t="s">
        <v>270</v>
      </c>
      <c r="D22" s="15" t="s">
        <v>262</v>
      </c>
      <c r="E22" s="18">
        <f>Devices!D11</f>
        <v>0</v>
      </c>
      <c r="G22" s="243">
        <f t="shared" si="0"/>
        <v>1.0000000000000002</v>
      </c>
      <c r="H22" s="244">
        <v>0</v>
      </c>
      <c r="K22" s="83"/>
    </row>
    <row r="23" spans="1:21" x14ac:dyDescent="0.35">
      <c r="A23" s="4"/>
      <c r="B23" s="2"/>
      <c r="C23" s="3"/>
      <c r="D23" s="5"/>
      <c r="E23" s="4"/>
      <c r="K23" s="83"/>
    </row>
    <row r="24" spans="1:21" x14ac:dyDescent="0.35">
      <c r="K24" s="70"/>
    </row>
    <row r="25" spans="1:21" x14ac:dyDescent="0.35">
      <c r="A25" s="1" t="s">
        <v>42</v>
      </c>
      <c r="G25" s="60"/>
      <c r="H25" s="60"/>
    </row>
    <row r="26" spans="1:21" s="23" customFormat="1" ht="24.5" thickBot="1" x14ac:dyDescent="0.4">
      <c r="A26" s="8" t="s">
        <v>90</v>
      </c>
      <c r="B26" s="22"/>
      <c r="C26" s="4"/>
      <c r="D26" s="3"/>
      <c r="E26" s="3"/>
      <c r="F26" s="3"/>
      <c r="G26" s="3"/>
      <c r="H26" s="3"/>
      <c r="I26" s="169" t="s">
        <v>77</v>
      </c>
      <c r="J26" s="52"/>
      <c r="K26" s="169" t="s">
        <v>143</v>
      </c>
      <c r="L26" s="92"/>
      <c r="M26" s="169" t="s">
        <v>107</v>
      </c>
      <c r="N26" s="52"/>
      <c r="O26" s="169" t="s">
        <v>78</v>
      </c>
      <c r="P26" s="53"/>
      <c r="Q26" s="169" t="s">
        <v>188</v>
      </c>
      <c r="R26"/>
      <c r="S26" s="169" t="s">
        <v>189</v>
      </c>
      <c r="T26"/>
      <c r="U26" s="169" t="s">
        <v>199</v>
      </c>
    </row>
    <row r="27" spans="1:21" s="6" customFormat="1" ht="15" thickBot="1" x14ac:dyDescent="0.4">
      <c r="A27" s="4" t="s">
        <v>88</v>
      </c>
      <c r="B27" s="2"/>
      <c r="C27" s="177" t="s">
        <v>16</v>
      </c>
      <c r="D27" s="177" t="s">
        <v>266</v>
      </c>
      <c r="E27" s="3"/>
      <c r="F27" s="3"/>
      <c r="G27" s="3"/>
      <c r="H27" s="3"/>
      <c r="I27" s="74" t="e">
        <f ca="1">Density_2!G21</f>
        <v>#NAME?</v>
      </c>
      <c r="J27" s="75"/>
      <c r="K27" s="74" t="e">
        <f ca="1">Density_2!I21</f>
        <v>#NAME?</v>
      </c>
      <c r="L27" s="75"/>
      <c r="M27" s="74" t="e">
        <f ca="1">Density_2!K21</f>
        <v>#NAME?</v>
      </c>
      <c r="N27" s="75"/>
      <c r="O27" s="74" t="e">
        <f ca="1">Density_2!M21</f>
        <v>#NAME?</v>
      </c>
      <c r="P27" s="76"/>
      <c r="Q27" s="74" t="e">
        <f ca="1">Density_2!O21</f>
        <v>#NAME?</v>
      </c>
      <c r="R27" s="24"/>
      <c r="S27" s="74" t="e">
        <f ca="1">Density_2!Q21</f>
        <v>#NAME?</v>
      </c>
      <c r="U27" s="74" t="e">
        <f ca="1">Density_2!S21</f>
        <v>#NAME?</v>
      </c>
    </row>
    <row r="28" spans="1:21" x14ac:dyDescent="0.35">
      <c r="A28" s="4" t="s">
        <v>103</v>
      </c>
      <c r="C28" s="3"/>
      <c r="I28" s="170" t="s">
        <v>102</v>
      </c>
      <c r="J28" s="43"/>
      <c r="K28" s="170" t="s">
        <v>102</v>
      </c>
      <c r="L28" s="43"/>
      <c r="M28" s="170" t="s">
        <v>102</v>
      </c>
      <c r="N28" s="43"/>
      <c r="O28" s="170" t="s">
        <v>102</v>
      </c>
      <c r="P28" s="43"/>
      <c r="Q28" s="170" t="s">
        <v>102</v>
      </c>
      <c r="S28" s="170" t="s">
        <v>102</v>
      </c>
      <c r="U28" s="170" t="s">
        <v>102</v>
      </c>
    </row>
    <row r="29" spans="1:21" s="6" customFormat="1" x14ac:dyDescent="0.35">
      <c r="A29" s="4" t="s">
        <v>80</v>
      </c>
      <c r="B29" s="2"/>
      <c r="C29" s="171" t="s">
        <v>43</v>
      </c>
      <c r="D29" s="171" t="s">
        <v>23</v>
      </c>
      <c r="E29" s="3"/>
      <c r="F29" s="3"/>
      <c r="G29" s="3"/>
      <c r="H29" s="3"/>
      <c r="I29" s="175">
        <f>Animals!G21</f>
        <v>1.22</v>
      </c>
      <c r="J29" s="43"/>
      <c r="K29" s="175">
        <f>Animals!I21</f>
        <v>1.41</v>
      </c>
      <c r="L29" s="45"/>
      <c r="M29" s="175">
        <f>Animals!K21</f>
        <v>1.37</v>
      </c>
      <c r="N29" s="45"/>
      <c r="O29" s="175">
        <f>Animals!M21</f>
        <v>5.2</v>
      </c>
      <c r="P29" s="45"/>
      <c r="Q29" s="175">
        <f>Animals!O21</f>
        <v>2.57</v>
      </c>
      <c r="R29" s="45"/>
      <c r="S29" s="175">
        <f>Animals!Q21</f>
        <v>2.37</v>
      </c>
      <c r="T29"/>
      <c r="U29" s="175">
        <f>Animals!S21</f>
        <v>1.77</v>
      </c>
    </row>
    <row r="30" spans="1:21" s="6" customFormat="1" x14ac:dyDescent="0.35">
      <c r="A30" s="4" t="s">
        <v>85</v>
      </c>
      <c r="B30" s="2"/>
      <c r="C30" s="171" t="s">
        <v>44</v>
      </c>
      <c r="D30" s="171" t="s">
        <v>23</v>
      </c>
      <c r="E30" s="3"/>
      <c r="F30" s="3"/>
      <c r="G30" s="3"/>
      <c r="H30" s="3"/>
      <c r="I30" s="172">
        <f>Animals!G22</f>
        <v>0.3</v>
      </c>
      <c r="J30" s="43"/>
      <c r="K30" s="172">
        <f>Animals!I22</f>
        <v>0.34</v>
      </c>
      <c r="L30" s="45"/>
      <c r="M30" s="172">
        <f>Animals!K22</f>
        <v>0.32</v>
      </c>
      <c r="N30" s="45"/>
      <c r="O30" s="172">
        <f>Animals!M22</f>
        <v>2.2000000000000002</v>
      </c>
      <c r="P30" s="45"/>
      <c r="Q30" s="172">
        <f>Animals!O22</f>
        <v>0.64</v>
      </c>
      <c r="R30" s="45"/>
      <c r="S30" s="172">
        <f>Animals!Q22</f>
        <v>0.55000000000000004</v>
      </c>
      <c r="T30"/>
      <c r="U30" s="172">
        <f>Animals!S22</f>
        <v>0.44</v>
      </c>
    </row>
    <row r="32" spans="1:21" x14ac:dyDescent="0.35">
      <c r="A32" s="1" t="s">
        <v>17</v>
      </c>
    </row>
    <row r="33" spans="1:23" x14ac:dyDescent="0.35">
      <c r="A33" s="4" t="s">
        <v>97</v>
      </c>
      <c r="C33" s="3" t="s">
        <v>100</v>
      </c>
      <c r="F33" s="40" t="s">
        <v>101</v>
      </c>
      <c r="I33" s="63">
        <f>IF(I28="diving bird",I30,I29)</f>
        <v>1.22</v>
      </c>
      <c r="K33" s="63">
        <f>IF(K28="diving bird",K30,K29)</f>
        <v>1.41</v>
      </c>
      <c r="M33" s="63">
        <f>IF(M28="diving bird",M30,M29)</f>
        <v>1.37</v>
      </c>
      <c r="O33" s="63">
        <f>IF(O28="diving bird",O30,O29)</f>
        <v>5.2</v>
      </c>
      <c r="Q33" s="63">
        <f>IF(Q28="diving bird",Q30,Q29)</f>
        <v>2.57</v>
      </c>
      <c r="S33" s="63">
        <f>IF(S28="diving bird",S30,S29)</f>
        <v>2.37</v>
      </c>
      <c r="U33" s="63">
        <f>IF(U28="diving bird",U30,U29)</f>
        <v>1.77</v>
      </c>
    </row>
    <row r="34" spans="1:23" x14ac:dyDescent="0.35">
      <c r="A34" s="4" t="s">
        <v>98</v>
      </c>
      <c r="C34" s="40" t="s">
        <v>99</v>
      </c>
      <c r="F34" s="40" t="s">
        <v>101</v>
      </c>
      <c r="I34" s="63">
        <f>IF(I28="diving bird",I29,I30)</f>
        <v>0.3</v>
      </c>
      <c r="K34" s="63">
        <v>0.34</v>
      </c>
      <c r="M34" s="63">
        <f>IF(M28="diving bird",M29,M30)</f>
        <v>0.32</v>
      </c>
      <c r="O34" s="63">
        <f>IF(O28="diving bird",O29,O30)</f>
        <v>2.2000000000000002</v>
      </c>
      <c r="Q34" s="63">
        <f>IF(Q28="diving bird",Q29,Q30)</f>
        <v>0.64</v>
      </c>
      <c r="S34" s="63">
        <f>IF(S28="diving bird",S29,S30)</f>
        <v>0.55000000000000004</v>
      </c>
      <c r="U34" s="63">
        <f>IF(U28="diving bird",U29,U30)</f>
        <v>0.44</v>
      </c>
    </row>
    <row r="35" spans="1:23" x14ac:dyDescent="0.35">
      <c r="A35" s="13" t="s">
        <v>82</v>
      </c>
      <c r="C35" s="38" t="s">
        <v>270</v>
      </c>
      <c r="D35" s="38" t="s">
        <v>262</v>
      </c>
      <c r="E35" s="62"/>
      <c r="F35" s="40" t="s">
        <v>270</v>
      </c>
      <c r="G35" s="40"/>
      <c r="I35" s="63">
        <f>$E22</f>
        <v>0</v>
      </c>
      <c r="K35" s="63">
        <f>$E22</f>
        <v>0</v>
      </c>
      <c r="M35" s="63">
        <f>$E22</f>
        <v>0</v>
      </c>
      <c r="O35" s="63">
        <f>$E22</f>
        <v>0</v>
      </c>
      <c r="Q35" s="63">
        <f>$E22</f>
        <v>0</v>
      </c>
      <c r="S35" s="63">
        <f>$E22</f>
        <v>0</v>
      </c>
      <c r="U35" s="63">
        <f>$E22</f>
        <v>0</v>
      </c>
    </row>
    <row r="36" spans="1:23" x14ac:dyDescent="0.35">
      <c r="A36" s="13" t="s">
        <v>18</v>
      </c>
      <c r="C36" s="38"/>
      <c r="D36" s="38" t="s">
        <v>215</v>
      </c>
      <c r="E36" s="62"/>
      <c r="F36" s="40" t="s">
        <v>282</v>
      </c>
      <c r="G36" s="40"/>
      <c r="I36" s="99">
        <f>$E10*PI()*($E12+0.5*I34)*($E12+0.5*I34)</f>
        <v>0</v>
      </c>
      <c r="J36" s="100"/>
      <c r="K36" s="99">
        <f>$E10*PI()*($E12+0.5*K34)*($E12+0.5*K34)</f>
        <v>0</v>
      </c>
      <c r="L36" s="100"/>
      <c r="M36" s="99">
        <f>$E10*PI()*($E12+0.5*M34)*($E12+0.5*M34)</f>
        <v>0</v>
      </c>
      <c r="N36" s="100"/>
      <c r="O36" s="99">
        <f>$E10*PI()*($E12+0.5*O34)*($E12+0.5*O34)</f>
        <v>0</v>
      </c>
      <c r="Q36" s="99">
        <f>$E10*PI()*($E12+0.5*Q34)*($E12+0.5*Q34)</f>
        <v>0</v>
      </c>
      <c r="R36" s="100"/>
      <c r="S36" s="99">
        <f>$E10*PI()*($E12+0.5*S34)*($E12+0.5*S34)</f>
        <v>0</v>
      </c>
      <c r="U36" s="99">
        <f>$E10*PI()*($E12+0.5*U34)*($E12+0.5*U34)</f>
        <v>0</v>
      </c>
    </row>
    <row r="37" spans="1:23" x14ac:dyDescent="0.35">
      <c r="A37" s="13" t="s">
        <v>111</v>
      </c>
      <c r="B37" s="13"/>
      <c r="C37" s="38" t="s">
        <v>19</v>
      </c>
      <c r="D37" s="64"/>
      <c r="F37" s="12" t="s">
        <v>19</v>
      </c>
      <c r="G37" s="12"/>
      <c r="I37" s="65">
        <v>0.50646764039993286</v>
      </c>
      <c r="K37" s="65">
        <v>0.57487392425537109</v>
      </c>
      <c r="M37" s="65">
        <v>0.56047260761260986</v>
      </c>
      <c r="O37" s="65">
        <v>1</v>
      </c>
      <c r="Q37" s="65">
        <v>0.97084885835647583</v>
      </c>
      <c r="S37" s="65">
        <v>0.91115772724151611</v>
      </c>
      <c r="U37" s="65">
        <v>0.70403838157653809</v>
      </c>
      <c r="V37" t="e">
        <f ca="1">pcoll_diskav("down",I33,I34,I35)</f>
        <v>#NAME?</v>
      </c>
      <c r="W37" s="138" t="s">
        <v>249</v>
      </c>
    </row>
    <row r="38" spans="1:23" x14ac:dyDescent="0.35">
      <c r="A38" s="13" t="s">
        <v>20</v>
      </c>
      <c r="B38" s="13"/>
      <c r="C38" s="37"/>
      <c r="D38" s="66" t="s">
        <v>283</v>
      </c>
      <c r="F38" s="40" t="s">
        <v>284</v>
      </c>
      <c r="G38" s="13"/>
      <c r="I38" s="67" t="e">
        <f ca="1">I27*I36*I35</f>
        <v>#NAME?</v>
      </c>
      <c r="K38" s="67" t="e">
        <f ca="1">K27*K36*K35</f>
        <v>#NAME?</v>
      </c>
      <c r="M38" s="67" t="e">
        <f ca="1">M27*M36*M35</f>
        <v>#NAME?</v>
      </c>
      <c r="O38" s="67" t="e">
        <f ca="1">O27*O36*O35</f>
        <v>#NAME?</v>
      </c>
      <c r="Q38" s="67" t="e">
        <f ca="1">Q27*Q36*Q35</f>
        <v>#NAME?</v>
      </c>
      <c r="S38" s="67" t="e">
        <f ca="1">S27*S36*S35</f>
        <v>#NAME?</v>
      </c>
      <c r="U38" s="67" t="e">
        <f ca="1">U27*U36*U35</f>
        <v>#NAME?</v>
      </c>
    </row>
    <row r="39" spans="1:23" x14ac:dyDescent="0.35">
      <c r="A39" s="13" t="s">
        <v>109</v>
      </c>
      <c r="B39" s="13"/>
      <c r="C39" s="38" t="s">
        <v>285</v>
      </c>
      <c r="D39" s="39"/>
      <c r="E39" s="68"/>
      <c r="F39" s="40" t="s">
        <v>286</v>
      </c>
      <c r="G39" s="13"/>
      <c r="H39" s="13"/>
      <c r="I39" s="39" t="e">
        <f ca="1">I38*I37</f>
        <v>#NAME?</v>
      </c>
      <c r="K39" s="39" t="e">
        <f ca="1">K38*K37</f>
        <v>#NAME?</v>
      </c>
      <c r="M39" s="39" t="e">
        <f ca="1">M38*M37</f>
        <v>#NAME?</v>
      </c>
      <c r="O39" s="39" t="e">
        <f ca="1">O38*O37</f>
        <v>#NAME?</v>
      </c>
      <c r="Q39" s="39" t="e">
        <f ca="1">Q38*Q37</f>
        <v>#NAME?</v>
      </c>
      <c r="S39" s="39" t="e">
        <f ca="1">S38*S37</f>
        <v>#NAME?</v>
      </c>
      <c r="U39" s="39" t="e">
        <f ca="1">U38*U37</f>
        <v>#NAME?</v>
      </c>
    </row>
    <row r="40" spans="1:23" x14ac:dyDescent="0.35">
      <c r="A40" s="13" t="s">
        <v>108</v>
      </c>
      <c r="B40" s="13"/>
      <c r="C40" s="37"/>
      <c r="D40" s="66"/>
      <c r="F40" s="40" t="s">
        <v>287</v>
      </c>
      <c r="G40" s="13"/>
      <c r="I40" s="71" t="e">
        <f ca="1">I38*(1-$E18)*$E7</f>
        <v>#NAME?</v>
      </c>
      <c r="J40" s="84"/>
      <c r="K40" s="71" t="e">
        <f ca="1">K38*(1-$E18)*$E7</f>
        <v>#NAME?</v>
      </c>
      <c r="L40" s="96"/>
      <c r="M40" s="71" t="e">
        <f ca="1">M38*(1-$E18)*$E7</f>
        <v>#NAME?</v>
      </c>
      <c r="N40" s="96"/>
      <c r="O40" s="71" t="e">
        <f ca="1">O38*(1-$E18)*$E7</f>
        <v>#NAME?</v>
      </c>
      <c r="P40" s="96"/>
      <c r="Q40" s="71" t="e">
        <f ca="1">Q38*(1-$E18)*$E7</f>
        <v>#NAME?</v>
      </c>
      <c r="R40" s="96"/>
      <c r="S40" s="71" t="e">
        <f ca="1">S38*(1-$E18)*$E7</f>
        <v>#NAME?</v>
      </c>
      <c r="U40" s="71" t="e">
        <f ca="1">U38*(1-$E18)*$E7</f>
        <v>#NAME?</v>
      </c>
    </row>
    <row r="41" spans="1:23" x14ac:dyDescent="0.35">
      <c r="A41" s="13" t="s">
        <v>110</v>
      </c>
      <c r="C41" s="69"/>
      <c r="D41" s="69" t="s">
        <v>59</v>
      </c>
      <c r="E41" s="68"/>
      <c r="F41" s="70" t="s">
        <v>288</v>
      </c>
      <c r="G41" s="70"/>
      <c r="I41" s="85" t="e">
        <f ca="1">I39*$E7*(1-$E18)</f>
        <v>#NAME?</v>
      </c>
      <c r="K41" s="85" t="e">
        <f ca="1">K39*$E7*(1-$E18)</f>
        <v>#NAME?</v>
      </c>
      <c r="M41" s="71" t="e">
        <f ca="1">M39*$E7*(1-$E18)</f>
        <v>#NAME?</v>
      </c>
      <c r="O41" s="71" t="e">
        <f ca="1">O39*$E7*(1-$E18)</f>
        <v>#NAME?</v>
      </c>
      <c r="Q41" s="71" t="e">
        <f ca="1">Q39*$E7*(1-$E18)</f>
        <v>#NAME?</v>
      </c>
      <c r="S41" s="71" t="e">
        <f ca="1">S39*$E7*(1-$E18)</f>
        <v>#NAME?</v>
      </c>
      <c r="U41" s="71" t="e">
        <f ca="1">U39*$E7*(1-$E18)</f>
        <v>#NAME?</v>
      </c>
    </row>
    <row r="42" spans="1:23" x14ac:dyDescent="0.35">
      <c r="A42" s="161" t="s">
        <v>176</v>
      </c>
      <c r="B42" s="152"/>
      <c r="C42" s="152"/>
      <c r="D42" s="152"/>
      <c r="E42" s="152"/>
      <c r="F42" s="152"/>
      <c r="G42" s="152"/>
      <c r="H42" s="152"/>
      <c r="I42" s="162" t="e">
        <f ca="1">I41/#REF!</f>
        <v>#NAME?</v>
      </c>
      <c r="J42" s="162"/>
      <c r="K42" s="162" t="e">
        <f ca="1">K41/#REF!</f>
        <v>#NAME?</v>
      </c>
      <c r="L42" s="162"/>
      <c r="M42" s="162" t="e">
        <f ca="1">M41/#REF!</f>
        <v>#NAME?</v>
      </c>
      <c r="N42" s="162"/>
      <c r="O42" s="162" t="e">
        <f ca="1">O41/#REF!</f>
        <v>#NAME?</v>
      </c>
      <c r="P42" s="162"/>
      <c r="Q42" s="162" t="e">
        <f ca="1">Q41/#REF!</f>
        <v>#NAME?</v>
      </c>
      <c r="R42" s="152"/>
      <c r="S42" s="162" t="e">
        <f ca="1">S41/#REF!</f>
        <v>#NAME?</v>
      </c>
      <c r="T42" s="152"/>
      <c r="U42" s="162" t="e">
        <f ca="1">U41/#REF!</f>
        <v>#NAME?</v>
      </c>
    </row>
    <row r="44" spans="1:23" ht="24" x14ac:dyDescent="0.35">
      <c r="I44" s="169" t="s">
        <v>77</v>
      </c>
      <c r="J44" s="52"/>
      <c r="K44" s="169" t="s">
        <v>143</v>
      </c>
      <c r="L44" s="92"/>
      <c r="M44" s="169" t="s">
        <v>107</v>
      </c>
      <c r="N44" s="52"/>
      <c r="O44" s="169" t="s">
        <v>78</v>
      </c>
      <c r="P44" s="53"/>
      <c r="Q44" s="169" t="s">
        <v>188</v>
      </c>
      <c r="S44" s="169" t="s">
        <v>189</v>
      </c>
      <c r="U44" s="169" t="s">
        <v>199</v>
      </c>
    </row>
    <row r="45" spans="1:23" x14ac:dyDescent="0.35">
      <c r="A45" s="46" t="s">
        <v>187</v>
      </c>
      <c r="E45" t="s">
        <v>226</v>
      </c>
      <c r="F45" s="165">
        <v>1</v>
      </c>
      <c r="I45" s="139" t="e">
        <f ca="1">$I$41*1</f>
        <v>#NAME?</v>
      </c>
      <c r="K45" s="139" t="e">
        <f ca="1">$K$41*1</f>
        <v>#NAME?</v>
      </c>
      <c r="M45" s="139" t="e">
        <f ca="1">$M$41*1</f>
        <v>#NAME?</v>
      </c>
      <c r="O45" s="139" t="e">
        <f ca="1">$O$41*1</f>
        <v>#NAME?</v>
      </c>
      <c r="Q45" s="139" t="e">
        <f ca="1">$Q$41*1</f>
        <v>#NAME?</v>
      </c>
      <c r="S45" s="139" t="e">
        <f ca="1">$S$41*1</f>
        <v>#NAME?</v>
      </c>
      <c r="U45" s="139" t="e">
        <f ca="1">$U$41*1</f>
        <v>#NAME?</v>
      </c>
    </row>
    <row r="46" spans="1:23" x14ac:dyDescent="0.35">
      <c r="A46" t="s">
        <v>185</v>
      </c>
      <c r="E46" t="s">
        <v>207</v>
      </c>
      <c r="F46" s="304">
        <f>Devices!D32</f>
        <v>0</v>
      </c>
      <c r="I46" s="174" t="s">
        <v>218</v>
      </c>
      <c r="K46" s="174" t="s">
        <v>220</v>
      </c>
      <c r="M46" s="174" t="s">
        <v>221</v>
      </c>
      <c r="O46" s="174" t="s">
        <v>207</v>
      </c>
      <c r="Q46" s="174" t="s">
        <v>219</v>
      </c>
      <c r="S46" s="174" t="s">
        <v>222</v>
      </c>
      <c r="U46" s="174" t="s">
        <v>223</v>
      </c>
    </row>
    <row r="47" spans="1:23" x14ac:dyDescent="0.35">
      <c r="A47" s="42">
        <v>0.5</v>
      </c>
      <c r="I47" s="157" t="e">
        <f t="shared" ref="I47:I52" ca="1" si="1">I$45*(1-$A47)</f>
        <v>#NAME?</v>
      </c>
      <c r="K47" s="63" t="e">
        <f t="shared" ref="K47:K52" ca="1" si="2">K$45*(1-$A47)</f>
        <v>#NAME?</v>
      </c>
      <c r="M47" s="157" t="e">
        <f t="shared" ref="M47:M52" ca="1" si="3">M$45*(1-$A47)</f>
        <v>#NAME?</v>
      </c>
      <c r="O47" s="157" t="e">
        <f t="shared" ref="O47:O52" ca="1" si="4">O$45*(1-$A47)</f>
        <v>#NAME?</v>
      </c>
      <c r="Q47" s="157" t="e">
        <f t="shared" ref="Q47:Q52" ca="1" si="5">Q$45*(1-$A47)</f>
        <v>#NAME?</v>
      </c>
      <c r="S47" s="157" t="e">
        <f t="shared" ref="S47:S52" ca="1" si="6">S$45*(1-$A47)</f>
        <v>#NAME?</v>
      </c>
      <c r="U47" s="157" t="e">
        <f t="shared" ref="U47:U52" ca="1" si="7">U$45*(1-$A47)</f>
        <v>#NAME?</v>
      </c>
      <c r="W47" s="138" t="s">
        <v>225</v>
      </c>
    </row>
    <row r="48" spans="1:23" x14ac:dyDescent="0.35">
      <c r="A48" s="42">
        <v>0.9</v>
      </c>
      <c r="I48" s="157" t="e">
        <f t="shared" ca="1" si="1"/>
        <v>#NAME?</v>
      </c>
      <c r="K48" s="63" t="e">
        <f t="shared" ca="1" si="2"/>
        <v>#NAME?</v>
      </c>
      <c r="M48" s="63" t="e">
        <f t="shared" ca="1" si="3"/>
        <v>#NAME?</v>
      </c>
      <c r="O48" s="157" t="e">
        <f t="shared" ca="1" si="4"/>
        <v>#NAME?</v>
      </c>
      <c r="Q48" s="63" t="e">
        <f t="shared" ca="1" si="5"/>
        <v>#NAME?</v>
      </c>
      <c r="S48" s="63" t="e">
        <f t="shared" ca="1" si="6"/>
        <v>#NAME?</v>
      </c>
      <c r="U48" s="63" t="e">
        <f t="shared" ca="1" si="7"/>
        <v>#NAME?</v>
      </c>
    </row>
    <row r="49" spans="1:21" x14ac:dyDescent="0.35">
      <c r="A49" s="42">
        <v>0.95</v>
      </c>
      <c r="I49" s="157" t="e">
        <f t="shared" ca="1" si="1"/>
        <v>#NAME?</v>
      </c>
      <c r="K49" s="63" t="e">
        <f t="shared" ca="1" si="2"/>
        <v>#NAME?</v>
      </c>
      <c r="M49" s="63" t="e">
        <f t="shared" ca="1" si="3"/>
        <v>#NAME?</v>
      </c>
      <c r="O49" s="141" t="e">
        <f t="shared" ca="1" si="4"/>
        <v>#NAME?</v>
      </c>
      <c r="Q49" s="63" t="e">
        <f t="shared" ca="1" si="5"/>
        <v>#NAME?</v>
      </c>
      <c r="S49" s="63" t="e">
        <f t="shared" ca="1" si="6"/>
        <v>#NAME?</v>
      </c>
      <c r="U49" s="63" t="e">
        <f t="shared" ca="1" si="7"/>
        <v>#NAME?</v>
      </c>
    </row>
    <row r="50" spans="1:21" s="46" customFormat="1" x14ac:dyDescent="0.35">
      <c r="A50" s="140">
        <v>0.98</v>
      </c>
      <c r="I50" s="155" t="e">
        <f t="shared" ca="1" si="1"/>
        <v>#NAME?</v>
      </c>
      <c r="K50" s="141" t="e">
        <f t="shared" ca="1" si="2"/>
        <v>#NAME?</v>
      </c>
      <c r="M50" s="141" t="e">
        <f t="shared" ca="1" si="3"/>
        <v>#NAME?</v>
      </c>
      <c r="O50" s="141" t="e">
        <f t="shared" ca="1" si="4"/>
        <v>#NAME?</v>
      </c>
      <c r="Q50" s="85" t="e">
        <f t="shared" ca="1" si="5"/>
        <v>#NAME?</v>
      </c>
      <c r="S50" s="141" t="e">
        <f t="shared" ca="1" si="6"/>
        <v>#NAME?</v>
      </c>
      <c r="U50" s="141" t="e">
        <f t="shared" ca="1" si="7"/>
        <v>#NAME?</v>
      </c>
    </row>
    <row r="51" spans="1:21" x14ac:dyDescent="0.35">
      <c r="A51" s="42">
        <v>0.99</v>
      </c>
      <c r="I51" s="158" t="e">
        <f t="shared" ca="1" si="1"/>
        <v>#NAME?</v>
      </c>
      <c r="K51" s="63" t="e">
        <f t="shared" ca="1" si="2"/>
        <v>#NAME?</v>
      </c>
      <c r="M51" s="63" t="e">
        <f t="shared" ca="1" si="3"/>
        <v>#NAME?</v>
      </c>
      <c r="O51" s="63" t="e">
        <f t="shared" ca="1" si="4"/>
        <v>#NAME?</v>
      </c>
      <c r="Q51" s="63" t="e">
        <f t="shared" ca="1" si="5"/>
        <v>#NAME?</v>
      </c>
      <c r="S51" s="63" t="e">
        <f t="shared" ca="1" si="6"/>
        <v>#NAME?</v>
      </c>
      <c r="U51" s="63" t="e">
        <f t="shared" ca="1" si="7"/>
        <v>#NAME?</v>
      </c>
    </row>
    <row r="52" spans="1:21" x14ac:dyDescent="0.35">
      <c r="A52" s="154">
        <v>0.997</v>
      </c>
      <c r="I52" s="85" t="e">
        <f t="shared" ca="1" si="1"/>
        <v>#NAME?</v>
      </c>
      <c r="J52" s="46"/>
      <c r="K52" s="141" t="e">
        <f t="shared" ca="1" si="2"/>
        <v>#NAME?</v>
      </c>
      <c r="L52" s="46"/>
      <c r="M52" s="141" t="e">
        <f t="shared" ca="1" si="3"/>
        <v>#NAME?</v>
      </c>
      <c r="N52" s="46"/>
      <c r="O52" s="141" t="e">
        <f t="shared" ca="1" si="4"/>
        <v>#NAME?</v>
      </c>
      <c r="P52" s="46"/>
      <c r="Q52" s="85" t="e">
        <f t="shared" ca="1" si="5"/>
        <v>#NAME?</v>
      </c>
      <c r="R52" s="46"/>
      <c r="S52" s="141" t="e">
        <f t="shared" ca="1" si="6"/>
        <v>#NAME?</v>
      </c>
      <c r="T52" s="46"/>
      <c r="U52" s="141" t="e">
        <f t="shared" ca="1" si="7"/>
        <v>#NAME?</v>
      </c>
    </row>
    <row r="54" spans="1:21" x14ac:dyDescent="0.35">
      <c r="A54" s="151" t="s">
        <v>217</v>
      </c>
      <c r="F54" s="249">
        <f>Devices!D33</f>
        <v>0</v>
      </c>
      <c r="I54" s="139" t="e">
        <f ca="1">$I$41*F54</f>
        <v>#NAME?</v>
      </c>
      <c r="K54" s="139" t="e">
        <f ca="1">$K$41*F54</f>
        <v>#NAME?</v>
      </c>
      <c r="M54" s="139" t="e">
        <f ca="1">$M$41*F54</f>
        <v>#NAME?</v>
      </c>
      <c r="O54" s="139" t="e">
        <f ca="1">$O$41*F54</f>
        <v>#NAME?</v>
      </c>
      <c r="Q54" s="139" t="e">
        <f ca="1">$Q$41*F54</f>
        <v>#NAME?</v>
      </c>
      <c r="S54" s="139" t="e">
        <f ca="1">$S$41*F54</f>
        <v>#NAME?</v>
      </c>
      <c r="U54" s="139" t="e">
        <f ca="1">$U$41*F54</f>
        <v>#NAME?</v>
      </c>
    </row>
    <row r="55" spans="1:21" x14ac:dyDescent="0.35">
      <c r="A55" t="s">
        <v>185</v>
      </c>
      <c r="E55" s="153" t="s">
        <v>207</v>
      </c>
      <c r="F55" s="166">
        <f>F54*F46</f>
        <v>0</v>
      </c>
      <c r="I55" s="174" t="s">
        <v>218</v>
      </c>
      <c r="K55" s="174" t="s">
        <v>220</v>
      </c>
      <c r="M55" s="174" t="s">
        <v>221</v>
      </c>
      <c r="O55" s="174" t="s">
        <v>207</v>
      </c>
      <c r="Q55" s="174" t="s">
        <v>219</v>
      </c>
      <c r="S55" s="174" t="s">
        <v>222</v>
      </c>
      <c r="U55" s="174" t="s">
        <v>223</v>
      </c>
    </row>
    <row r="56" spans="1:21" x14ac:dyDescent="0.35">
      <c r="A56" s="42">
        <v>0.5</v>
      </c>
      <c r="I56" s="157" t="e">
        <f t="shared" ref="I56:I61" ca="1" si="8">I$54*(1-$A56)</f>
        <v>#NAME?</v>
      </c>
      <c r="K56" s="63" t="e">
        <f t="shared" ref="K56:K61" ca="1" si="9">K$54*(1-$A56)</f>
        <v>#NAME?</v>
      </c>
      <c r="M56" s="157" t="e">
        <f t="shared" ref="M56:M61" ca="1" si="10">M$54*(1-$A56)</f>
        <v>#NAME?</v>
      </c>
      <c r="O56" s="157" t="e">
        <f t="shared" ref="O56:O61" ca="1" si="11">O$54*(1-$A56)</f>
        <v>#NAME?</v>
      </c>
      <c r="Q56" s="157" t="e">
        <f t="shared" ref="Q56:Q61" ca="1" si="12">Q$54*(1-$A56)</f>
        <v>#NAME?</v>
      </c>
      <c r="S56" s="157" t="e">
        <f t="shared" ref="S56:S61" ca="1" si="13">S$54*(1-$A56)</f>
        <v>#NAME?</v>
      </c>
      <c r="U56" s="157" t="e">
        <f t="shared" ref="U56:U61" ca="1" si="14">U$54*(1-$A56)</f>
        <v>#NAME?</v>
      </c>
    </row>
    <row r="57" spans="1:21" x14ac:dyDescent="0.35">
      <c r="A57" s="42">
        <v>0.9</v>
      </c>
      <c r="I57" s="157" t="e">
        <f t="shared" ca="1" si="8"/>
        <v>#NAME?</v>
      </c>
      <c r="K57" s="63" t="e">
        <f t="shared" ca="1" si="9"/>
        <v>#NAME?</v>
      </c>
      <c r="M57" s="157" t="e">
        <f t="shared" ca="1" si="10"/>
        <v>#NAME?</v>
      </c>
      <c r="O57" s="157" t="e">
        <f t="shared" ca="1" si="11"/>
        <v>#NAME?</v>
      </c>
      <c r="Q57" s="157" t="e">
        <f t="shared" ca="1" si="12"/>
        <v>#NAME?</v>
      </c>
      <c r="S57" s="157" t="e">
        <f t="shared" ca="1" si="13"/>
        <v>#NAME?</v>
      </c>
      <c r="U57" s="157" t="e">
        <f t="shared" ca="1" si="14"/>
        <v>#NAME?</v>
      </c>
    </row>
    <row r="58" spans="1:21" x14ac:dyDescent="0.35">
      <c r="A58" s="42">
        <v>0.95</v>
      </c>
      <c r="I58" s="157" t="e">
        <f t="shared" ca="1" si="8"/>
        <v>#NAME?</v>
      </c>
      <c r="K58" s="63" t="e">
        <f t="shared" ca="1" si="9"/>
        <v>#NAME?</v>
      </c>
      <c r="M58" s="157" t="e">
        <f t="shared" ca="1" si="10"/>
        <v>#NAME?</v>
      </c>
      <c r="O58" s="157" t="e">
        <f t="shared" ca="1" si="11"/>
        <v>#NAME?</v>
      </c>
      <c r="Q58" s="157" t="e">
        <f t="shared" ca="1" si="12"/>
        <v>#NAME?</v>
      </c>
      <c r="S58" s="157" t="e">
        <f t="shared" ca="1" si="13"/>
        <v>#NAME?</v>
      </c>
      <c r="U58" s="157" t="e">
        <f t="shared" ca="1" si="14"/>
        <v>#NAME?</v>
      </c>
    </row>
    <row r="59" spans="1:21" x14ac:dyDescent="0.35">
      <c r="A59" s="140">
        <v>0.98</v>
      </c>
      <c r="B59" s="46"/>
      <c r="C59" s="46"/>
      <c r="D59" s="46"/>
      <c r="E59" s="46"/>
      <c r="F59" s="46"/>
      <c r="G59" s="46"/>
      <c r="H59" s="46"/>
      <c r="I59" s="155" t="e">
        <f t="shared" ca="1" si="8"/>
        <v>#NAME?</v>
      </c>
      <c r="J59" s="46"/>
      <c r="K59" s="141" t="e">
        <f t="shared" ca="1" si="9"/>
        <v>#NAME?</v>
      </c>
      <c r="L59" s="46"/>
      <c r="M59" s="141" t="e">
        <f t="shared" ca="1" si="10"/>
        <v>#NAME?</v>
      </c>
      <c r="N59" s="46"/>
      <c r="O59" s="156" t="e">
        <f t="shared" ca="1" si="11"/>
        <v>#NAME?</v>
      </c>
      <c r="P59" s="46"/>
      <c r="Q59" s="155" t="e">
        <f t="shared" ca="1" si="12"/>
        <v>#NAME?</v>
      </c>
      <c r="R59" s="46"/>
      <c r="S59" s="156" t="e">
        <f t="shared" ca="1" si="13"/>
        <v>#NAME?</v>
      </c>
      <c r="T59" s="46"/>
      <c r="U59" s="156" t="e">
        <f t="shared" ca="1" si="14"/>
        <v>#NAME?</v>
      </c>
    </row>
    <row r="60" spans="1:21" x14ac:dyDescent="0.35">
      <c r="A60" s="42">
        <v>0.99</v>
      </c>
      <c r="I60" s="157" t="e">
        <f t="shared" ca="1" si="8"/>
        <v>#NAME?</v>
      </c>
      <c r="K60" s="63" t="e">
        <f t="shared" ca="1" si="9"/>
        <v>#NAME?</v>
      </c>
      <c r="M60" s="63" t="e">
        <f t="shared" ca="1" si="10"/>
        <v>#NAME?</v>
      </c>
      <c r="O60" s="63" t="e">
        <f t="shared" ca="1" si="11"/>
        <v>#NAME?</v>
      </c>
      <c r="Q60" s="63" t="e">
        <f t="shared" ca="1" si="12"/>
        <v>#NAME?</v>
      </c>
      <c r="S60" s="63" t="e">
        <f t="shared" ca="1" si="13"/>
        <v>#NAME?</v>
      </c>
      <c r="U60" s="63" t="e">
        <f t="shared" ca="1" si="14"/>
        <v>#NAME?</v>
      </c>
    </row>
    <row r="61" spans="1:21" x14ac:dyDescent="0.35">
      <c r="A61" s="154">
        <v>0.997</v>
      </c>
      <c r="I61" s="155" t="e">
        <f t="shared" ca="1" si="8"/>
        <v>#NAME?</v>
      </c>
      <c r="J61" s="46"/>
      <c r="K61" s="141" t="e">
        <f t="shared" ca="1" si="9"/>
        <v>#NAME?</v>
      </c>
      <c r="L61" s="46"/>
      <c r="M61" s="141" t="e">
        <f t="shared" ca="1" si="10"/>
        <v>#NAME?</v>
      </c>
      <c r="N61" s="46"/>
      <c r="O61" s="141" t="e">
        <f t="shared" ca="1" si="11"/>
        <v>#NAME?</v>
      </c>
      <c r="P61" s="46"/>
      <c r="Q61" s="85" t="e">
        <f t="shared" ca="1" si="12"/>
        <v>#NAME?</v>
      </c>
      <c r="R61" s="46"/>
      <c r="S61" s="141" t="e">
        <f t="shared" ca="1" si="13"/>
        <v>#NAME?</v>
      </c>
      <c r="T61" s="46"/>
      <c r="U61" s="141" t="e">
        <f t="shared" ca="1" si="14"/>
        <v>#NAME?</v>
      </c>
    </row>
    <row r="63" spans="1:21" x14ac:dyDescent="0.35">
      <c r="A63" s="151" t="s">
        <v>216</v>
      </c>
      <c r="B63" s="152"/>
      <c r="C63" s="152"/>
      <c r="D63" s="152"/>
      <c r="E63" s="152"/>
      <c r="F63" s="166">
        <v>16</v>
      </c>
      <c r="I63" s="139" t="e">
        <f ca="1">$I$41*F63</f>
        <v>#NAME?</v>
      </c>
      <c r="K63" s="139" t="e">
        <f ca="1">$K$41*F63</f>
        <v>#NAME?</v>
      </c>
      <c r="M63" s="139" t="e">
        <f ca="1">$M$41*F63</f>
        <v>#NAME?</v>
      </c>
      <c r="O63" s="139" t="e">
        <f ca="1">$O$41*F63</f>
        <v>#NAME?</v>
      </c>
      <c r="Q63" s="139" t="e">
        <f ca="1">$Q$41*F63</f>
        <v>#NAME?</v>
      </c>
      <c r="S63" s="139" t="e">
        <f ca="1">$S$41*F63</f>
        <v>#NAME?</v>
      </c>
      <c r="U63" s="139" t="e">
        <f ca="1">$U$41*F63</f>
        <v>#NAME?</v>
      </c>
    </row>
    <row r="64" spans="1:21" x14ac:dyDescent="0.35">
      <c r="A64" t="s">
        <v>185</v>
      </c>
      <c r="E64" s="153" t="s">
        <v>207</v>
      </c>
      <c r="F64" s="166">
        <f>F63*F46</f>
        <v>0</v>
      </c>
      <c r="I64" s="174" t="s">
        <v>218</v>
      </c>
      <c r="K64" s="174" t="s">
        <v>220</v>
      </c>
      <c r="M64" s="174" t="s">
        <v>221</v>
      </c>
      <c r="O64" s="174" t="s">
        <v>207</v>
      </c>
      <c r="Q64" s="174" t="s">
        <v>219</v>
      </c>
      <c r="S64" s="174" t="s">
        <v>222</v>
      </c>
      <c r="U64" s="174" t="s">
        <v>223</v>
      </c>
    </row>
    <row r="65" spans="1:21" x14ac:dyDescent="0.35">
      <c r="A65" s="42">
        <v>0.5</v>
      </c>
      <c r="I65" s="157" t="e">
        <f t="shared" ref="I65:I70" ca="1" si="15">I$63*(1-$A65)</f>
        <v>#NAME?</v>
      </c>
      <c r="K65" s="63" t="e">
        <f t="shared" ref="K65:K70" ca="1" si="16">K$63*(1-$A65)</f>
        <v>#NAME?</v>
      </c>
      <c r="M65" s="157" t="e">
        <f t="shared" ref="M65:M70" ca="1" si="17">M$63*(1-$A65)</f>
        <v>#NAME?</v>
      </c>
      <c r="O65" s="157" t="e">
        <f t="shared" ref="O65:O70" ca="1" si="18">O$63*(1-$A65)</f>
        <v>#NAME?</v>
      </c>
      <c r="Q65" s="157" t="e">
        <f t="shared" ref="Q65:Q70" ca="1" si="19">Q$63*(1-$A65)</f>
        <v>#NAME?</v>
      </c>
      <c r="S65" s="157" t="e">
        <f t="shared" ref="S65:S70" ca="1" si="20">S$63*(1-$A65)</f>
        <v>#NAME?</v>
      </c>
      <c r="U65" s="157" t="e">
        <f t="shared" ref="U65:U70" ca="1" si="21">U$63*(1-$A65)</f>
        <v>#NAME?</v>
      </c>
    </row>
    <row r="66" spans="1:21" x14ac:dyDescent="0.35">
      <c r="A66" s="42">
        <v>0.9</v>
      </c>
      <c r="I66" s="157" t="e">
        <f t="shared" ca="1" si="15"/>
        <v>#NAME?</v>
      </c>
      <c r="K66" s="63" t="e">
        <f t="shared" ca="1" si="16"/>
        <v>#NAME?</v>
      </c>
      <c r="M66" s="157" t="e">
        <f t="shared" ca="1" si="17"/>
        <v>#NAME?</v>
      </c>
      <c r="O66" s="157" t="e">
        <f t="shared" ca="1" si="18"/>
        <v>#NAME?</v>
      </c>
      <c r="Q66" s="157" t="e">
        <f t="shared" ca="1" si="19"/>
        <v>#NAME?</v>
      </c>
      <c r="S66" s="157" t="e">
        <f t="shared" ca="1" si="20"/>
        <v>#NAME?</v>
      </c>
      <c r="U66" s="157" t="e">
        <f t="shared" ca="1" si="21"/>
        <v>#NAME?</v>
      </c>
    </row>
    <row r="67" spans="1:21" x14ac:dyDescent="0.35">
      <c r="A67" s="42">
        <v>0.95</v>
      </c>
      <c r="I67" s="157" t="e">
        <f t="shared" ca="1" si="15"/>
        <v>#NAME?</v>
      </c>
      <c r="K67" s="63" t="e">
        <f t="shared" ca="1" si="16"/>
        <v>#NAME?</v>
      </c>
      <c r="M67" s="157" t="e">
        <f t="shared" ca="1" si="17"/>
        <v>#NAME?</v>
      </c>
      <c r="O67" s="157" t="e">
        <f t="shared" ca="1" si="18"/>
        <v>#NAME?</v>
      </c>
      <c r="Q67" s="157" t="e">
        <f t="shared" ca="1" si="19"/>
        <v>#NAME?</v>
      </c>
      <c r="S67" s="157" t="e">
        <f t="shared" ca="1" si="20"/>
        <v>#NAME?</v>
      </c>
      <c r="U67" s="157" t="e">
        <f t="shared" ca="1" si="21"/>
        <v>#NAME?</v>
      </c>
    </row>
    <row r="68" spans="1:21" x14ac:dyDescent="0.35">
      <c r="A68" s="140">
        <v>0.98</v>
      </c>
      <c r="B68" s="46"/>
      <c r="C68" s="46"/>
      <c r="D68" s="46"/>
      <c r="E68" s="46"/>
      <c r="F68" s="46"/>
      <c r="G68" s="46"/>
      <c r="H68" s="46"/>
      <c r="I68" s="155" t="e">
        <f t="shared" ca="1" si="15"/>
        <v>#NAME?</v>
      </c>
      <c r="J68" s="46"/>
      <c r="K68" s="141" t="e">
        <f t="shared" ca="1" si="16"/>
        <v>#NAME?</v>
      </c>
      <c r="L68" s="46"/>
      <c r="M68" s="141" t="e">
        <f t="shared" ca="1" si="17"/>
        <v>#NAME?</v>
      </c>
      <c r="N68" s="46"/>
      <c r="O68" s="156" t="e">
        <f t="shared" ca="1" si="18"/>
        <v>#NAME?</v>
      </c>
      <c r="P68" s="46"/>
      <c r="Q68" s="85" t="e">
        <f t="shared" ca="1" si="19"/>
        <v>#NAME?</v>
      </c>
      <c r="R68" s="46"/>
      <c r="S68" s="156" t="e">
        <f t="shared" ca="1" si="20"/>
        <v>#NAME?</v>
      </c>
      <c r="T68" s="46"/>
      <c r="U68" s="156" t="e">
        <f t="shared" ca="1" si="21"/>
        <v>#NAME?</v>
      </c>
    </row>
    <row r="69" spans="1:21" x14ac:dyDescent="0.35">
      <c r="A69" s="42">
        <v>0.99</v>
      </c>
      <c r="I69" s="157" t="e">
        <f t="shared" ca="1" si="15"/>
        <v>#NAME?</v>
      </c>
      <c r="K69" s="63" t="e">
        <f t="shared" ca="1" si="16"/>
        <v>#NAME?</v>
      </c>
      <c r="M69" s="63" t="e">
        <f t="shared" ca="1" si="17"/>
        <v>#NAME?</v>
      </c>
      <c r="O69" s="63" t="e">
        <f t="shared" ca="1" si="18"/>
        <v>#NAME?</v>
      </c>
      <c r="Q69" s="63" t="e">
        <f t="shared" ca="1" si="19"/>
        <v>#NAME?</v>
      </c>
      <c r="S69" s="63" t="e">
        <f t="shared" ca="1" si="20"/>
        <v>#NAME?</v>
      </c>
      <c r="U69" s="63" t="e">
        <f t="shared" ca="1" si="21"/>
        <v>#NAME?</v>
      </c>
    </row>
    <row r="70" spans="1:21" x14ac:dyDescent="0.35">
      <c r="A70" s="154">
        <v>0.997</v>
      </c>
      <c r="I70" s="85" t="e">
        <f t="shared" ca="1" si="15"/>
        <v>#NAME?</v>
      </c>
      <c r="J70" s="46"/>
      <c r="K70" s="141" t="e">
        <f t="shared" ca="1" si="16"/>
        <v>#NAME?</v>
      </c>
      <c r="L70" s="46"/>
      <c r="M70" s="141" t="e">
        <f t="shared" ca="1" si="17"/>
        <v>#NAME?</v>
      </c>
      <c r="N70" s="46"/>
      <c r="O70" s="141" t="e">
        <f t="shared" ca="1" si="18"/>
        <v>#NAME?</v>
      </c>
      <c r="P70" s="46"/>
      <c r="Q70" s="85" t="e">
        <f t="shared" ca="1" si="19"/>
        <v>#NAME?</v>
      </c>
      <c r="R70" s="46"/>
      <c r="S70" s="141" t="e">
        <f t="shared" ca="1" si="20"/>
        <v>#NAME?</v>
      </c>
      <c r="T70" s="46"/>
      <c r="U70" s="141" t="e">
        <f t="shared" ca="1" si="21"/>
        <v>#NAME?</v>
      </c>
    </row>
    <row r="72" spans="1:21" x14ac:dyDescent="0.35">
      <c r="A72" s="151" t="s">
        <v>224</v>
      </c>
      <c r="B72" s="152"/>
      <c r="C72" s="152"/>
      <c r="D72" s="152"/>
      <c r="E72" s="152"/>
      <c r="F72" s="165">
        <v>148</v>
      </c>
      <c r="I72" s="139" t="e">
        <f ca="1">$I$41*F72</f>
        <v>#NAME?</v>
      </c>
      <c r="K72" s="139" t="e">
        <f ca="1">$K$41*F72</f>
        <v>#NAME?</v>
      </c>
      <c r="M72" s="139" t="e">
        <f ca="1">$M$41*F72</f>
        <v>#NAME?</v>
      </c>
      <c r="O72" s="139" t="e">
        <f ca="1">$O$41*F72</f>
        <v>#NAME?</v>
      </c>
      <c r="Q72" s="139" t="e">
        <f ca="1">$Q$41*F72</f>
        <v>#NAME?</v>
      </c>
      <c r="S72" s="139" t="e">
        <f ca="1">$S$41*F72</f>
        <v>#NAME?</v>
      </c>
      <c r="U72" s="139" t="e">
        <f ca="1">$U$41*F72</f>
        <v>#NAME?</v>
      </c>
    </row>
    <row r="73" spans="1:21" x14ac:dyDescent="0.35">
      <c r="A73" t="s">
        <v>185</v>
      </c>
      <c r="E73" s="153" t="s">
        <v>207</v>
      </c>
      <c r="F73" s="165">
        <f>F72*F46</f>
        <v>0</v>
      </c>
      <c r="I73" s="174" t="s">
        <v>218</v>
      </c>
      <c r="K73" s="174" t="s">
        <v>220</v>
      </c>
      <c r="M73" s="174" t="s">
        <v>221</v>
      </c>
      <c r="O73" s="174" t="s">
        <v>207</v>
      </c>
      <c r="Q73" s="174" t="s">
        <v>219</v>
      </c>
      <c r="S73" s="174" t="s">
        <v>222</v>
      </c>
      <c r="U73" s="174" t="s">
        <v>223</v>
      </c>
    </row>
    <row r="74" spans="1:21" x14ac:dyDescent="0.35">
      <c r="A74" s="42">
        <v>0.5</v>
      </c>
      <c r="I74" s="157" t="e">
        <f t="shared" ref="I74:I79" ca="1" si="22">I$72*(1-$A74)</f>
        <v>#NAME?</v>
      </c>
      <c r="K74" s="157" t="e">
        <f t="shared" ref="K74:K79" ca="1" si="23">K$72*(1-$A74)</f>
        <v>#NAME?</v>
      </c>
      <c r="M74" s="157" t="e">
        <f t="shared" ref="M74:M79" ca="1" si="24">M$72*(1-$A74)</f>
        <v>#NAME?</v>
      </c>
      <c r="O74" s="157" t="e">
        <f t="shared" ref="O74:O79" ca="1" si="25">O$72*(1-$A74)</f>
        <v>#NAME?</v>
      </c>
      <c r="Q74" s="157" t="e">
        <f t="shared" ref="Q74:Q79" ca="1" si="26">Q$72*(1-$A74)</f>
        <v>#NAME?</v>
      </c>
      <c r="S74" s="157" t="e">
        <f t="shared" ref="S74:S79" ca="1" si="27">S$72*(1-$A74)</f>
        <v>#NAME?</v>
      </c>
      <c r="U74" s="157" t="e">
        <f t="shared" ref="U74:U79" ca="1" si="28">U$72*(1-$A74)</f>
        <v>#NAME?</v>
      </c>
    </row>
    <row r="75" spans="1:21" x14ac:dyDescent="0.35">
      <c r="A75" s="42">
        <v>0.9</v>
      </c>
      <c r="I75" s="157" t="e">
        <f t="shared" ca="1" si="22"/>
        <v>#NAME?</v>
      </c>
      <c r="K75" s="63" t="e">
        <f t="shared" ca="1" si="23"/>
        <v>#NAME?</v>
      </c>
      <c r="M75" s="157" t="e">
        <f t="shared" ca="1" si="24"/>
        <v>#NAME?</v>
      </c>
      <c r="O75" s="157" t="e">
        <f t="shared" ca="1" si="25"/>
        <v>#NAME?</v>
      </c>
      <c r="Q75" s="157" t="e">
        <f t="shared" ca="1" si="26"/>
        <v>#NAME?</v>
      </c>
      <c r="S75" s="157" t="e">
        <f t="shared" ca="1" si="27"/>
        <v>#NAME?</v>
      </c>
      <c r="U75" s="157" t="e">
        <f t="shared" ca="1" si="28"/>
        <v>#NAME?</v>
      </c>
    </row>
    <row r="76" spans="1:21" x14ac:dyDescent="0.35">
      <c r="A76" s="42">
        <v>0.95</v>
      </c>
      <c r="I76" s="157" t="e">
        <f t="shared" ca="1" si="22"/>
        <v>#NAME?</v>
      </c>
      <c r="K76" s="63" t="e">
        <f t="shared" ca="1" si="23"/>
        <v>#NAME?</v>
      </c>
      <c r="M76" s="157" t="e">
        <f t="shared" ca="1" si="24"/>
        <v>#NAME?</v>
      </c>
      <c r="O76" s="157" t="e">
        <f t="shared" ca="1" si="25"/>
        <v>#NAME?</v>
      </c>
      <c r="Q76" s="157" t="e">
        <f t="shared" ca="1" si="26"/>
        <v>#NAME?</v>
      </c>
      <c r="S76" s="157" t="e">
        <f t="shared" ca="1" si="27"/>
        <v>#NAME?</v>
      </c>
      <c r="U76" s="157" t="e">
        <f t="shared" ca="1" si="28"/>
        <v>#NAME?</v>
      </c>
    </row>
    <row r="77" spans="1:21" x14ac:dyDescent="0.35">
      <c r="A77" s="140">
        <v>0.98</v>
      </c>
      <c r="B77" s="46"/>
      <c r="C77" s="46"/>
      <c r="D77" s="46"/>
      <c r="E77" s="46"/>
      <c r="F77" s="46"/>
      <c r="G77" s="46"/>
      <c r="H77" s="46"/>
      <c r="I77" s="155" t="e">
        <f t="shared" ca="1" si="22"/>
        <v>#NAME?</v>
      </c>
      <c r="J77" s="46"/>
      <c r="K77" s="141" t="e">
        <f t="shared" ca="1" si="23"/>
        <v>#NAME?</v>
      </c>
      <c r="L77" s="46"/>
      <c r="M77" s="156" t="e">
        <f t="shared" ca="1" si="24"/>
        <v>#NAME?</v>
      </c>
      <c r="N77" s="46"/>
      <c r="O77" s="156" t="e">
        <f t="shared" ca="1" si="25"/>
        <v>#NAME?</v>
      </c>
      <c r="P77" s="46"/>
      <c r="Q77" s="155" t="e">
        <f t="shared" ca="1" si="26"/>
        <v>#NAME?</v>
      </c>
      <c r="R77" s="46"/>
      <c r="S77" s="156" t="e">
        <f t="shared" ca="1" si="27"/>
        <v>#NAME?</v>
      </c>
      <c r="T77" s="46"/>
      <c r="U77" s="156" t="e">
        <f t="shared" ca="1" si="28"/>
        <v>#NAME?</v>
      </c>
    </row>
    <row r="78" spans="1:21" x14ac:dyDescent="0.35">
      <c r="A78" s="42">
        <v>0.99</v>
      </c>
      <c r="I78" s="157" t="e">
        <f t="shared" ca="1" si="22"/>
        <v>#NAME?</v>
      </c>
      <c r="K78" s="63" t="e">
        <f t="shared" ca="1" si="23"/>
        <v>#NAME?</v>
      </c>
      <c r="M78" s="157" t="e">
        <f t="shared" ca="1" si="24"/>
        <v>#NAME?</v>
      </c>
      <c r="O78" s="157" t="e">
        <f t="shared" ca="1" si="25"/>
        <v>#NAME?</v>
      </c>
      <c r="Q78" s="157" t="e">
        <f t="shared" ca="1" si="26"/>
        <v>#NAME?</v>
      </c>
      <c r="S78" s="157" t="e">
        <f t="shared" ca="1" si="27"/>
        <v>#NAME?</v>
      </c>
      <c r="U78" s="157" t="e">
        <f t="shared" ca="1" si="28"/>
        <v>#NAME?</v>
      </c>
    </row>
    <row r="79" spans="1:21" x14ac:dyDescent="0.35">
      <c r="A79" s="154">
        <v>0.997</v>
      </c>
      <c r="I79" s="155" t="e">
        <f t="shared" ca="1" si="22"/>
        <v>#NAME?</v>
      </c>
      <c r="J79" s="46"/>
      <c r="K79" s="141" t="e">
        <f t="shared" ca="1" si="23"/>
        <v>#NAME?</v>
      </c>
      <c r="L79" s="46"/>
      <c r="M79" s="141" t="e">
        <f t="shared" ca="1" si="24"/>
        <v>#NAME?</v>
      </c>
      <c r="N79" s="46"/>
      <c r="O79" s="156" t="e">
        <f t="shared" ca="1" si="25"/>
        <v>#NAME?</v>
      </c>
      <c r="P79" s="46"/>
      <c r="Q79" s="85" t="e">
        <f t="shared" ca="1" si="26"/>
        <v>#NAME?</v>
      </c>
      <c r="R79" s="46"/>
      <c r="S79" s="141" t="e">
        <f t="shared" ca="1" si="27"/>
        <v>#NAME?</v>
      </c>
      <c r="T79" s="46"/>
      <c r="U79" s="156" t="e">
        <f t="shared" ca="1" si="28"/>
        <v>#NAME?</v>
      </c>
    </row>
    <row r="81" spans="1:21" x14ac:dyDescent="0.35">
      <c r="A81" s="151" t="s">
        <v>227</v>
      </c>
      <c r="B81" s="152"/>
      <c r="C81" s="152"/>
      <c r="D81" s="152"/>
      <c r="E81" s="152"/>
      <c r="F81" s="166">
        <v>5</v>
      </c>
      <c r="I81" s="139" t="e">
        <f ca="1">$I$41*F81</f>
        <v>#NAME?</v>
      </c>
      <c r="K81" s="139" t="e">
        <f ca="1">$K$41*F81</f>
        <v>#NAME?</v>
      </c>
      <c r="M81" s="139" t="e">
        <f ca="1">$M$41*F81</f>
        <v>#NAME?</v>
      </c>
      <c r="O81" s="139" t="e">
        <f ca="1">$O$41*F81</f>
        <v>#NAME?</v>
      </c>
      <c r="Q81" s="139" t="e">
        <f ca="1">$Q$41*F81</f>
        <v>#NAME?</v>
      </c>
      <c r="S81" s="139" t="e">
        <f ca="1">$S$41*F81</f>
        <v>#NAME?</v>
      </c>
      <c r="U81" s="139" t="e">
        <f ca="1">$U$41*F81</f>
        <v>#NAME?</v>
      </c>
    </row>
    <row r="82" spans="1:21" x14ac:dyDescent="0.35">
      <c r="A82" t="s">
        <v>185</v>
      </c>
      <c r="E82" s="153" t="s">
        <v>207</v>
      </c>
      <c r="F82" s="166">
        <f>F81*F46</f>
        <v>0</v>
      </c>
      <c r="I82" s="174" t="s">
        <v>218</v>
      </c>
      <c r="K82" s="174" t="s">
        <v>220</v>
      </c>
      <c r="M82" s="174" t="s">
        <v>221</v>
      </c>
      <c r="O82" s="174" t="s">
        <v>207</v>
      </c>
      <c r="Q82" s="174" t="s">
        <v>219</v>
      </c>
      <c r="S82" s="174" t="s">
        <v>222</v>
      </c>
      <c r="U82" s="174" t="s">
        <v>223</v>
      </c>
    </row>
    <row r="83" spans="1:21" x14ac:dyDescent="0.35">
      <c r="A83" s="42">
        <v>0.5</v>
      </c>
      <c r="I83" s="157" t="e">
        <f t="shared" ref="I83:I88" ca="1" si="29">I$81*(1-$A83)</f>
        <v>#NAME?</v>
      </c>
      <c r="K83" s="158" t="e">
        <f t="shared" ref="K83:K88" ca="1" si="30">K$81*(1-$A83)</f>
        <v>#NAME?</v>
      </c>
      <c r="M83" s="157" t="e">
        <f t="shared" ref="M83:M88" ca="1" si="31">M$81*(1-$A83)</f>
        <v>#NAME?</v>
      </c>
      <c r="O83" s="157" t="e">
        <f t="shared" ref="O83:O88" ca="1" si="32">O$81*(1-$A83)</f>
        <v>#NAME?</v>
      </c>
      <c r="Q83" s="157" t="e">
        <f t="shared" ref="Q83:Q88" ca="1" si="33">Q$81*(1-$A83)</f>
        <v>#NAME?</v>
      </c>
      <c r="S83" s="157" t="e">
        <f t="shared" ref="S83:S88" ca="1" si="34">S$81*(1-$A83)</f>
        <v>#NAME?</v>
      </c>
      <c r="U83" s="157" t="e">
        <f t="shared" ref="U83:U88" ca="1" si="35">U$81*(1-$A83)</f>
        <v>#NAME?</v>
      </c>
    </row>
    <row r="84" spans="1:21" x14ac:dyDescent="0.35">
      <c r="A84" s="42">
        <v>0.9</v>
      </c>
      <c r="I84" s="157" t="e">
        <f t="shared" ca="1" si="29"/>
        <v>#NAME?</v>
      </c>
      <c r="K84" s="158" t="e">
        <f t="shared" ca="1" si="30"/>
        <v>#NAME?</v>
      </c>
      <c r="M84" s="157" t="e">
        <f t="shared" ca="1" si="31"/>
        <v>#NAME?</v>
      </c>
      <c r="O84" s="157" t="e">
        <f t="shared" ca="1" si="32"/>
        <v>#NAME?</v>
      </c>
      <c r="Q84" s="157" t="e">
        <f t="shared" ca="1" si="33"/>
        <v>#NAME?</v>
      </c>
      <c r="S84" s="157" t="e">
        <f t="shared" ca="1" si="34"/>
        <v>#NAME?</v>
      </c>
      <c r="U84" s="157" t="e">
        <f t="shared" ca="1" si="35"/>
        <v>#NAME?</v>
      </c>
    </row>
    <row r="85" spans="1:21" x14ac:dyDescent="0.35">
      <c r="A85" s="42">
        <v>0.95</v>
      </c>
      <c r="I85" s="157" t="e">
        <f t="shared" ca="1" si="29"/>
        <v>#NAME?</v>
      </c>
      <c r="K85" s="158" t="e">
        <f t="shared" ca="1" si="30"/>
        <v>#NAME?</v>
      </c>
      <c r="M85" s="158" t="e">
        <f t="shared" ca="1" si="31"/>
        <v>#NAME?</v>
      </c>
      <c r="O85" s="157" t="e">
        <f t="shared" ca="1" si="32"/>
        <v>#NAME?</v>
      </c>
      <c r="Q85" s="158" t="e">
        <f t="shared" ca="1" si="33"/>
        <v>#NAME?</v>
      </c>
      <c r="S85" s="158" t="e">
        <f t="shared" ca="1" si="34"/>
        <v>#NAME?</v>
      </c>
      <c r="U85" s="158" t="e">
        <f t="shared" ca="1" si="35"/>
        <v>#NAME?</v>
      </c>
    </row>
    <row r="86" spans="1:21" x14ac:dyDescent="0.35">
      <c r="A86" s="140">
        <v>0.98</v>
      </c>
      <c r="B86" s="46"/>
      <c r="C86" s="46"/>
      <c r="D86" s="46"/>
      <c r="E86" s="46"/>
      <c r="F86" s="46"/>
      <c r="G86" s="46"/>
      <c r="H86" s="46"/>
      <c r="I86" s="155" t="e">
        <f t="shared" ca="1" si="29"/>
        <v>#NAME?</v>
      </c>
      <c r="J86" s="46"/>
      <c r="K86" s="164" t="e">
        <f t="shared" ca="1" si="30"/>
        <v>#NAME?</v>
      </c>
      <c r="L86" s="46"/>
      <c r="M86" s="164" t="e">
        <f t="shared" ca="1" si="31"/>
        <v>#NAME?</v>
      </c>
      <c r="N86" s="46"/>
      <c r="O86" s="164" t="e">
        <f t="shared" ca="1" si="32"/>
        <v>#NAME?</v>
      </c>
      <c r="P86" s="46"/>
      <c r="Q86" s="163" t="e">
        <f t="shared" ca="1" si="33"/>
        <v>#NAME?</v>
      </c>
      <c r="R86" s="46"/>
      <c r="S86" s="164" t="e">
        <f t="shared" ca="1" si="34"/>
        <v>#NAME?</v>
      </c>
      <c r="T86" s="46"/>
      <c r="U86" s="164" t="e">
        <f t="shared" ca="1" si="35"/>
        <v>#NAME?</v>
      </c>
    </row>
    <row r="87" spans="1:21" x14ac:dyDescent="0.35">
      <c r="A87" s="42">
        <v>0.99</v>
      </c>
      <c r="I87" s="157" t="e">
        <f t="shared" ca="1" si="29"/>
        <v>#NAME?</v>
      </c>
      <c r="K87" s="158" t="e">
        <f t="shared" ca="1" si="30"/>
        <v>#NAME?</v>
      </c>
      <c r="M87" s="158" t="e">
        <f t="shared" ca="1" si="31"/>
        <v>#NAME?</v>
      </c>
      <c r="O87" s="158" t="e">
        <f t="shared" ca="1" si="32"/>
        <v>#NAME?</v>
      </c>
      <c r="Q87" s="158" t="e">
        <f t="shared" ca="1" si="33"/>
        <v>#NAME?</v>
      </c>
      <c r="S87" s="158" t="e">
        <f t="shared" ca="1" si="34"/>
        <v>#NAME?</v>
      </c>
      <c r="U87" s="158" t="e">
        <f t="shared" ca="1" si="35"/>
        <v>#NAME?</v>
      </c>
    </row>
    <row r="88" spans="1:21" x14ac:dyDescent="0.35">
      <c r="A88" s="154">
        <v>0.997</v>
      </c>
      <c r="I88" s="85" t="e">
        <f t="shared" ca="1" si="29"/>
        <v>#NAME?</v>
      </c>
      <c r="J88" s="46"/>
      <c r="K88" s="164" t="e">
        <f t="shared" ca="1" si="30"/>
        <v>#NAME?</v>
      </c>
      <c r="L88" s="46"/>
      <c r="M88" s="164" t="e">
        <f t="shared" ca="1" si="31"/>
        <v>#NAME?</v>
      </c>
      <c r="N88" s="46"/>
      <c r="O88" s="164" t="e">
        <f t="shared" ca="1" si="32"/>
        <v>#NAME?</v>
      </c>
      <c r="P88" s="46"/>
      <c r="Q88" s="163" t="e">
        <f t="shared" ca="1" si="33"/>
        <v>#NAME?</v>
      </c>
      <c r="R88" s="46"/>
      <c r="S88" s="164" t="e">
        <f t="shared" ca="1" si="34"/>
        <v>#NAME?</v>
      </c>
      <c r="T88" s="46"/>
      <c r="U88" s="164" t="e">
        <f t="shared" ca="1" si="35"/>
        <v>#NAME?</v>
      </c>
    </row>
    <row r="90" spans="1:21" x14ac:dyDescent="0.35">
      <c r="A90" s="151" t="s">
        <v>229</v>
      </c>
      <c r="B90" s="152"/>
      <c r="C90" s="152"/>
      <c r="D90" s="152"/>
      <c r="E90" s="152"/>
      <c r="F90" s="166">
        <v>100</v>
      </c>
      <c r="I90" s="139" t="e">
        <f ca="1">$I$41*F90</f>
        <v>#NAME?</v>
      </c>
      <c r="K90" s="139" t="e">
        <f ca="1">$K$41*F90</f>
        <v>#NAME?</v>
      </c>
      <c r="M90" s="139" t="e">
        <f ca="1">$M$41*F90</f>
        <v>#NAME?</v>
      </c>
      <c r="O90" s="139" t="e">
        <f ca="1">$O$41*F90</f>
        <v>#NAME?</v>
      </c>
      <c r="Q90" s="139" t="e">
        <f ca="1">$Q$41*F90</f>
        <v>#NAME?</v>
      </c>
      <c r="S90" s="139" t="e">
        <f ca="1">$S$41*F90</f>
        <v>#NAME?</v>
      </c>
      <c r="U90" s="139" t="e">
        <f ca="1">$U$41*F90</f>
        <v>#NAME?</v>
      </c>
    </row>
    <row r="91" spans="1:21" x14ac:dyDescent="0.35">
      <c r="A91" t="s">
        <v>185</v>
      </c>
      <c r="E91" s="153" t="s">
        <v>207</v>
      </c>
      <c r="F91" s="166">
        <f>F90*F46</f>
        <v>0</v>
      </c>
      <c r="I91" s="174" t="s">
        <v>218</v>
      </c>
      <c r="K91" s="174" t="s">
        <v>220</v>
      </c>
      <c r="M91" s="174" t="s">
        <v>221</v>
      </c>
      <c r="O91" s="174" t="s">
        <v>207</v>
      </c>
      <c r="Q91" s="174" t="s">
        <v>219</v>
      </c>
      <c r="S91" s="174" t="s">
        <v>222</v>
      </c>
      <c r="U91" s="174" t="s">
        <v>223</v>
      </c>
    </row>
    <row r="92" spans="1:21" x14ac:dyDescent="0.35">
      <c r="A92" s="42">
        <v>0.5</v>
      </c>
      <c r="I92" s="157" t="e">
        <f t="shared" ref="I92:I97" ca="1" si="36">I$90*(1-$A92)</f>
        <v>#NAME?</v>
      </c>
      <c r="K92" s="158" t="e">
        <f t="shared" ref="K92:K97" ca="1" si="37">K$90*(1-$A92)</f>
        <v>#NAME?</v>
      </c>
      <c r="M92" s="157" t="e">
        <f t="shared" ref="M92:M97" ca="1" si="38">M$90*(1-$A92)</f>
        <v>#NAME?</v>
      </c>
      <c r="O92" s="157" t="e">
        <f t="shared" ref="O92:O97" ca="1" si="39">O$90*(1-$A92)</f>
        <v>#NAME?</v>
      </c>
      <c r="Q92" s="157" t="e">
        <f t="shared" ref="Q92:Q97" ca="1" si="40">Q$90*(1-$A92)</f>
        <v>#NAME?</v>
      </c>
      <c r="S92" s="157" t="e">
        <f t="shared" ref="S92:S97" ca="1" si="41">S$90*(1-$A92)</f>
        <v>#NAME?</v>
      </c>
      <c r="U92" s="157" t="e">
        <f t="shared" ref="U92:U97" ca="1" si="42">U$90*(1-$A92)</f>
        <v>#NAME?</v>
      </c>
    </row>
    <row r="93" spans="1:21" x14ac:dyDescent="0.35">
      <c r="A93" s="42">
        <v>0.9</v>
      </c>
      <c r="I93" s="157" t="e">
        <f t="shared" ca="1" si="36"/>
        <v>#NAME?</v>
      </c>
      <c r="K93" s="158" t="e">
        <f t="shared" ca="1" si="37"/>
        <v>#NAME?</v>
      </c>
      <c r="M93" s="157" t="e">
        <f t="shared" ca="1" si="38"/>
        <v>#NAME?</v>
      </c>
      <c r="O93" s="157" t="e">
        <f t="shared" ca="1" si="39"/>
        <v>#NAME?</v>
      </c>
      <c r="Q93" s="157" t="e">
        <f t="shared" ca="1" si="40"/>
        <v>#NAME?</v>
      </c>
      <c r="S93" s="157" t="e">
        <f t="shared" ca="1" si="41"/>
        <v>#NAME?</v>
      </c>
      <c r="U93" s="157" t="e">
        <f t="shared" ca="1" si="42"/>
        <v>#NAME?</v>
      </c>
    </row>
    <row r="94" spans="1:21" x14ac:dyDescent="0.35">
      <c r="A94" s="42">
        <v>0.95</v>
      </c>
      <c r="I94" s="157" t="e">
        <f t="shared" ca="1" si="36"/>
        <v>#NAME?</v>
      </c>
      <c r="K94" s="158" t="e">
        <f t="shared" ca="1" si="37"/>
        <v>#NAME?</v>
      </c>
      <c r="M94" s="157" t="e">
        <f t="shared" ca="1" si="38"/>
        <v>#NAME?</v>
      </c>
      <c r="O94" s="157" t="e">
        <f t="shared" ca="1" si="39"/>
        <v>#NAME?</v>
      </c>
      <c r="Q94" s="157" t="e">
        <f t="shared" ca="1" si="40"/>
        <v>#NAME?</v>
      </c>
      <c r="S94" s="157" t="e">
        <f t="shared" ca="1" si="41"/>
        <v>#NAME?</v>
      </c>
      <c r="U94" s="157" t="e">
        <f t="shared" ca="1" si="42"/>
        <v>#NAME?</v>
      </c>
    </row>
    <row r="95" spans="1:21" x14ac:dyDescent="0.35">
      <c r="A95" s="140">
        <v>0.98</v>
      </c>
      <c r="B95" s="46"/>
      <c r="C95" s="46"/>
      <c r="D95" s="46"/>
      <c r="E95" s="46"/>
      <c r="F95" s="46"/>
      <c r="G95" s="46"/>
      <c r="H95" s="46"/>
      <c r="I95" s="155" t="e">
        <f t="shared" ca="1" si="36"/>
        <v>#NAME?</v>
      </c>
      <c r="J95" s="46"/>
      <c r="K95" s="163" t="e">
        <f t="shared" ca="1" si="37"/>
        <v>#NAME?</v>
      </c>
      <c r="L95" s="46"/>
      <c r="M95" s="155" t="e">
        <f t="shared" ca="1" si="38"/>
        <v>#NAME?</v>
      </c>
      <c r="N95" s="46"/>
      <c r="O95" s="155" t="e">
        <f t="shared" ca="1" si="39"/>
        <v>#NAME?</v>
      </c>
      <c r="P95" s="46"/>
      <c r="Q95" s="155" t="e">
        <f t="shared" ca="1" si="40"/>
        <v>#NAME?</v>
      </c>
      <c r="R95" s="46"/>
      <c r="S95" s="155" t="e">
        <f t="shared" ca="1" si="41"/>
        <v>#NAME?</v>
      </c>
      <c r="T95" s="46"/>
      <c r="U95" s="155" t="e">
        <f t="shared" ca="1" si="42"/>
        <v>#NAME?</v>
      </c>
    </row>
    <row r="96" spans="1:21" x14ac:dyDescent="0.35">
      <c r="A96" s="42">
        <v>0.99</v>
      </c>
      <c r="I96" s="157" t="e">
        <f t="shared" ca="1" si="36"/>
        <v>#NAME?</v>
      </c>
      <c r="K96" s="158" t="e">
        <f t="shared" ca="1" si="37"/>
        <v>#NAME?</v>
      </c>
      <c r="M96" s="157" t="e">
        <f t="shared" ca="1" si="38"/>
        <v>#NAME?</v>
      </c>
      <c r="O96" s="157" t="e">
        <f t="shared" ca="1" si="39"/>
        <v>#NAME?</v>
      </c>
      <c r="Q96" s="157" t="e">
        <f t="shared" ca="1" si="40"/>
        <v>#NAME?</v>
      </c>
      <c r="S96" s="157" t="e">
        <f t="shared" ca="1" si="41"/>
        <v>#NAME?</v>
      </c>
      <c r="U96" s="157" t="e">
        <f t="shared" ca="1" si="42"/>
        <v>#NAME?</v>
      </c>
    </row>
    <row r="97" spans="1:21" x14ac:dyDescent="0.35">
      <c r="A97" s="154">
        <v>0.997</v>
      </c>
      <c r="I97" s="155" t="e">
        <f t="shared" ca="1" si="36"/>
        <v>#NAME?</v>
      </c>
      <c r="J97" s="46"/>
      <c r="K97" s="163" t="e">
        <f t="shared" ca="1" si="37"/>
        <v>#NAME?</v>
      </c>
      <c r="L97" s="46"/>
      <c r="M97" s="85" t="e">
        <f t="shared" ca="1" si="38"/>
        <v>#NAME?</v>
      </c>
      <c r="N97" s="46"/>
      <c r="O97" s="85" t="e">
        <f t="shared" ca="1" si="39"/>
        <v>#NAME?</v>
      </c>
      <c r="P97" s="46"/>
      <c r="Q97" s="85" t="e">
        <f t="shared" ca="1" si="40"/>
        <v>#NAME?</v>
      </c>
      <c r="R97" s="46"/>
      <c r="S97" s="85" t="e">
        <f t="shared" ca="1" si="41"/>
        <v>#NAME?</v>
      </c>
      <c r="T97" s="46"/>
      <c r="U97" s="85" t="e">
        <f t="shared" ca="1" si="42"/>
        <v>#NAME?</v>
      </c>
    </row>
  </sheetData>
  <printOptions gridLines="1"/>
  <pageMargins left="0.70866141732283472" right="0.70866141732283472" top="0.74803149606299213" bottom="0.74803149606299213" header="0.31496062992125984" footer="0.31496062992125984"/>
  <pageSetup paperSize="9" scale="66" orientation="landscape" horizontalDpi="4294967293" verticalDpi="120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79DA-D01D-4158-A37D-5A9DE53F14A8}">
  <sheetPr codeName="Sheet15"/>
  <dimension ref="A1:S21"/>
  <sheetViews>
    <sheetView defaultGridColor="0" colorId="22" zoomScale="115" zoomScaleNormal="115" workbookViewId="0">
      <selection activeCell="K21" sqref="K21"/>
    </sheetView>
  </sheetViews>
  <sheetFormatPr defaultRowHeight="14.5" x14ac:dyDescent="0.35"/>
  <cols>
    <col min="1" max="1" width="10" customWidth="1"/>
    <col min="2" max="2" width="19.81640625" customWidth="1"/>
    <col min="3" max="3" width="11.7265625" style="13" customWidth="1"/>
    <col min="4" max="4" width="9.1796875" style="13"/>
    <col min="5" max="5" width="10.453125" style="13" customWidth="1"/>
    <col min="6" max="6" width="12.54296875" style="13" customWidth="1"/>
    <col min="7" max="7" width="10.81640625" style="13" customWidth="1"/>
    <col min="8" max="8" width="2.54296875" style="13" customWidth="1"/>
    <col min="9" max="9" width="10.81640625" style="13" customWidth="1"/>
    <col min="10" max="10" width="2.81640625" style="13" customWidth="1"/>
    <col min="11" max="11" width="10.81640625" style="13" customWidth="1"/>
    <col min="12" max="12" width="2.81640625" style="13" customWidth="1"/>
    <col min="13" max="13" width="10.81640625" style="13" customWidth="1"/>
    <col min="14" max="14" width="1.81640625" customWidth="1"/>
    <col min="15" max="15" width="9.1796875" customWidth="1"/>
    <col min="16" max="16" width="2.26953125" customWidth="1"/>
    <col min="18" max="18" width="2.7265625" customWidth="1"/>
  </cols>
  <sheetData>
    <row r="1" spans="1:19" ht="27.75" customHeight="1" x14ac:dyDescent="0.35">
      <c r="A1" s="321" t="s">
        <v>239</v>
      </c>
      <c r="B1" s="322"/>
      <c r="C1" s="181" t="s">
        <v>238</v>
      </c>
      <c r="D1" s="182" t="s">
        <v>237</v>
      </c>
      <c r="E1" s="183" t="s">
        <v>240</v>
      </c>
      <c r="F1" s="180" t="s">
        <v>241</v>
      </c>
    </row>
    <row r="2" spans="1:19" ht="15" customHeight="1" x14ac:dyDescent="0.35">
      <c r="A2" s="178"/>
      <c r="B2" s="179"/>
      <c r="C2" s="136"/>
      <c r="D2" s="136"/>
    </row>
    <row r="3" spans="1:19" ht="15" customHeight="1" x14ac:dyDescent="0.35">
      <c r="A3" s="203" t="s">
        <v>200</v>
      </c>
      <c r="B3" s="153"/>
      <c r="C3" s="136"/>
      <c r="D3" s="136"/>
    </row>
    <row r="4" spans="1:19" x14ac:dyDescent="0.35">
      <c r="A4" s="235" t="s">
        <v>191</v>
      </c>
      <c r="C4" s="323">
        <f>Devices!E1</f>
        <v>3</v>
      </c>
      <c r="D4" s="323"/>
      <c r="E4" s="216"/>
      <c r="F4" s="217"/>
      <c r="G4" s="225"/>
      <c r="H4" s="225"/>
      <c r="I4" s="225"/>
      <c r="J4" s="225"/>
      <c r="K4" s="225"/>
      <c r="L4" s="225"/>
      <c r="M4" s="225"/>
      <c r="N4" s="43"/>
      <c r="O4" s="225"/>
      <c r="Q4" s="225"/>
      <c r="S4" s="225"/>
    </row>
    <row r="5" spans="1:19" x14ac:dyDescent="0.35">
      <c r="A5" s="236" t="s">
        <v>242</v>
      </c>
      <c r="C5" s="324" t="str">
        <f>Devices!E2</f>
        <v>Magallanes</v>
      </c>
      <c r="D5" s="324"/>
      <c r="E5" s="216"/>
      <c r="F5" s="217"/>
      <c r="G5" s="225"/>
      <c r="H5" s="225"/>
      <c r="I5" s="225"/>
      <c r="J5" s="225"/>
      <c r="K5" s="225"/>
      <c r="L5" s="225"/>
      <c r="M5" s="225"/>
      <c r="N5" s="43"/>
      <c r="O5" s="225"/>
      <c r="Q5" s="225"/>
      <c r="S5" s="225"/>
    </row>
    <row r="6" spans="1:19" x14ac:dyDescent="0.35">
      <c r="A6" s="226"/>
      <c r="B6" s="184"/>
      <c r="C6" s="8"/>
      <c r="D6" s="5"/>
      <c r="E6" s="216"/>
      <c r="F6" s="217"/>
      <c r="G6" s="225"/>
      <c r="H6" s="225"/>
      <c r="I6" s="225"/>
      <c r="J6" s="225"/>
      <c r="K6" s="225"/>
      <c r="L6" s="225"/>
      <c r="M6" s="225"/>
      <c r="N6" s="43"/>
      <c r="O6" s="225"/>
      <c r="Q6" s="225"/>
      <c r="S6" s="225"/>
    </row>
    <row r="7" spans="1:19" x14ac:dyDescent="0.35">
      <c r="A7" s="1" t="s">
        <v>54</v>
      </c>
      <c r="B7" s="185"/>
      <c r="C7" s="3"/>
      <c r="D7" s="12"/>
      <c r="F7" s="217"/>
      <c r="G7" s="225"/>
      <c r="H7" s="225"/>
      <c r="I7" s="225"/>
      <c r="J7" s="225"/>
      <c r="K7" s="225"/>
      <c r="L7" s="225"/>
      <c r="M7" s="225"/>
      <c r="N7" s="43"/>
      <c r="O7" s="225"/>
      <c r="Q7" s="225"/>
      <c r="S7" s="225"/>
    </row>
    <row r="8" spans="1:19" x14ac:dyDescent="0.35">
      <c r="A8" s="1" t="s">
        <v>26</v>
      </c>
      <c r="B8" s="185"/>
      <c r="C8" s="14" t="s">
        <v>27</v>
      </c>
      <c r="D8" s="186" t="s">
        <v>23</v>
      </c>
      <c r="E8" s="248">
        <f>Devices!E5</f>
        <v>10.5</v>
      </c>
      <c r="F8" s="217"/>
      <c r="G8" s="225"/>
      <c r="H8" s="225"/>
      <c r="I8" s="225"/>
      <c r="J8" s="225"/>
      <c r="K8" s="225"/>
      <c r="L8" s="225"/>
      <c r="M8" s="225"/>
      <c r="N8" s="43"/>
      <c r="O8" s="225"/>
      <c r="Q8" s="225"/>
      <c r="S8" s="225"/>
    </row>
    <row r="9" spans="1:19" x14ac:dyDescent="0.35">
      <c r="A9" s="4" t="s">
        <v>24</v>
      </c>
      <c r="B9" s="2"/>
      <c r="C9" s="9" t="s">
        <v>25</v>
      </c>
      <c r="D9" s="7" t="s">
        <v>23</v>
      </c>
      <c r="E9" s="247">
        <f>2*E8</f>
        <v>21</v>
      </c>
      <c r="F9" s="217"/>
      <c r="G9" s="225"/>
      <c r="H9" s="225"/>
      <c r="I9" s="225"/>
      <c r="J9" s="225"/>
      <c r="K9" s="225"/>
      <c r="L9" s="225"/>
      <c r="M9" s="225"/>
      <c r="N9" s="43"/>
      <c r="O9" s="225"/>
      <c r="Q9" s="225"/>
      <c r="S9" s="225"/>
    </row>
    <row r="10" spans="1:19" x14ac:dyDescent="0.35">
      <c r="A10" s="4" t="s">
        <v>55</v>
      </c>
      <c r="B10" s="2"/>
      <c r="C10" s="14"/>
      <c r="D10" s="186" t="s">
        <v>23</v>
      </c>
      <c r="E10" s="44">
        <f>Devices!E3</f>
        <v>3.1539999999999999</v>
      </c>
      <c r="F10" s="217"/>
      <c r="G10" s="225"/>
      <c r="H10" s="225"/>
      <c r="I10" s="225"/>
      <c r="J10" s="225"/>
      <c r="K10" s="225"/>
      <c r="L10" s="225"/>
      <c r="M10" s="225"/>
      <c r="N10" s="43"/>
      <c r="O10" s="225"/>
      <c r="Q10" s="225"/>
      <c r="S10" s="225"/>
    </row>
    <row r="11" spans="1:19" x14ac:dyDescent="0.35">
      <c r="A11" s="4" t="s">
        <v>186</v>
      </c>
      <c r="B11" s="2"/>
      <c r="C11" s="14"/>
      <c r="D11" s="14" t="s">
        <v>23</v>
      </c>
      <c r="E11" s="227">
        <f>Devices!E22</f>
        <v>36</v>
      </c>
      <c r="F11" s="217"/>
      <c r="G11" s="225"/>
      <c r="H11" s="225"/>
      <c r="I11" s="225"/>
      <c r="J11" s="225"/>
      <c r="K11" s="225"/>
      <c r="L11" s="225"/>
      <c r="M11" s="225"/>
      <c r="N11" s="43"/>
      <c r="O11" s="225"/>
      <c r="Q11" s="225"/>
      <c r="S11" s="225"/>
    </row>
    <row r="12" spans="1:19" x14ac:dyDescent="0.35">
      <c r="A12" s="4"/>
      <c r="B12" s="2"/>
      <c r="C12" s="3"/>
      <c r="D12" s="3"/>
      <c r="E12" s="24"/>
      <c r="F12" s="217"/>
      <c r="G12" s="225"/>
      <c r="H12" s="225"/>
      <c r="I12" s="225"/>
      <c r="J12" s="225"/>
      <c r="K12" s="225"/>
      <c r="L12" s="225"/>
      <c r="M12" s="225"/>
      <c r="N12" s="43"/>
      <c r="O12" s="225"/>
      <c r="Q12" s="225"/>
      <c r="S12" s="225"/>
    </row>
    <row r="13" spans="1:19" ht="24" x14ac:dyDescent="0.35">
      <c r="A13" s="228" t="s">
        <v>243</v>
      </c>
      <c r="B13" s="229"/>
      <c r="C13" s="8"/>
      <c r="D13" s="5"/>
      <c r="E13" s="216"/>
      <c r="F13" s="217"/>
      <c r="G13" s="187" t="s">
        <v>77</v>
      </c>
      <c r="H13" s="52"/>
      <c r="I13" s="187" t="s">
        <v>143</v>
      </c>
      <c r="J13" s="92"/>
      <c r="K13" s="187" t="s">
        <v>107</v>
      </c>
      <c r="L13" s="52"/>
      <c r="M13" s="187" t="s">
        <v>78</v>
      </c>
      <c r="N13" s="53"/>
      <c r="O13" s="187" t="s">
        <v>188</v>
      </c>
      <c r="Q13" s="187" t="s">
        <v>189</v>
      </c>
      <c r="S13" s="187" t="s">
        <v>199</v>
      </c>
    </row>
    <row r="14" spans="1:19" x14ac:dyDescent="0.35">
      <c r="A14" s="4" t="s">
        <v>4</v>
      </c>
      <c r="B14" s="2"/>
      <c r="C14" s="171" t="s">
        <v>259</v>
      </c>
      <c r="D14" s="171" t="s">
        <v>6</v>
      </c>
      <c r="G14" s="172">
        <f>Animals!G12</f>
        <v>26.2</v>
      </c>
      <c r="H14" s="45"/>
      <c r="I14" s="172">
        <f>Animals!I12</f>
        <v>180</v>
      </c>
      <c r="J14" s="45"/>
      <c r="K14" s="172">
        <f>Animals!K12</f>
        <v>297</v>
      </c>
      <c r="L14" s="45"/>
      <c r="M14" s="172">
        <f>Animals!M12</f>
        <v>104</v>
      </c>
      <c r="N14" s="43"/>
      <c r="O14" s="172">
        <f>Animals!O12</f>
        <v>25.8</v>
      </c>
      <c r="Q14" s="188">
        <f>Animals!Q12</f>
        <v>25.8</v>
      </c>
      <c r="S14" s="188">
        <f>Animals!S12</f>
        <v>25.8</v>
      </c>
    </row>
    <row r="15" spans="1:19" x14ac:dyDescent="0.35">
      <c r="A15" s="4" t="s">
        <v>2</v>
      </c>
      <c r="B15" s="2"/>
      <c r="C15" s="189" t="s">
        <v>3</v>
      </c>
      <c r="D15" s="189" t="s">
        <v>260</v>
      </c>
      <c r="E15" s="5"/>
      <c r="F15" s="28" t="s">
        <v>261</v>
      </c>
      <c r="G15" s="190">
        <f>Animals!G16</f>
        <v>0</v>
      </c>
      <c r="I15" s="190">
        <f>Animals!I16</f>
        <v>0</v>
      </c>
      <c r="J15" s="191"/>
      <c r="K15" s="190">
        <f>Animals!K16</f>
        <v>0</v>
      </c>
      <c r="M15" s="190">
        <f>Animals!M16</f>
        <v>0</v>
      </c>
      <c r="O15" s="190">
        <f>Animals!O16</f>
        <v>0</v>
      </c>
      <c r="Q15" s="190">
        <f>Animals!Q16</f>
        <v>0</v>
      </c>
      <c r="S15" s="190">
        <f>Animals!S16</f>
        <v>0</v>
      </c>
    </row>
    <row r="16" spans="1:19" ht="24" x14ac:dyDescent="0.35">
      <c r="A16" s="4" t="s">
        <v>86</v>
      </c>
      <c r="B16" s="2"/>
      <c r="C16" s="192"/>
      <c r="D16" s="171"/>
      <c r="E16" s="3"/>
      <c r="F16" s="41"/>
      <c r="G16" s="193" t="str">
        <f>Animals!G10</f>
        <v>harbour porpoise</v>
      </c>
      <c r="H16" s="194"/>
      <c r="I16" s="193" t="str">
        <f>Animals!I10</f>
        <v>harbour seal</v>
      </c>
      <c r="J16" s="195"/>
      <c r="K16" s="193" t="str">
        <f>Animals!K10</f>
        <v>grey seal</v>
      </c>
      <c r="L16" s="45"/>
      <c r="M16" s="193" t="str">
        <f>Animals!M10</f>
        <v>uniform</v>
      </c>
      <c r="N16" s="43"/>
      <c r="O16" s="193" t="str">
        <f>Animals!O10</f>
        <v>uniform</v>
      </c>
      <c r="Q16" s="193" t="str">
        <f>Animals!Q10</f>
        <v>uniform</v>
      </c>
      <c r="S16" s="193" t="str">
        <f>Animals!S10</f>
        <v>uniform</v>
      </c>
    </row>
    <row r="17" spans="1:19" x14ac:dyDescent="0.35">
      <c r="A17" s="4" t="s">
        <v>56</v>
      </c>
      <c r="B17" s="2"/>
      <c r="C17" s="192" t="s">
        <v>57</v>
      </c>
      <c r="D17" s="171" t="s">
        <v>262</v>
      </c>
      <c r="E17" s="3"/>
      <c r="F17" s="41"/>
      <c r="G17" s="196">
        <f>Animals!G11</f>
        <v>0</v>
      </c>
      <c r="H17" s="197"/>
      <c r="I17" s="196">
        <f>Animals!I11</f>
        <v>0.85</v>
      </c>
      <c r="J17" s="198"/>
      <c r="K17" s="196">
        <f>Animals!K11</f>
        <v>0.61</v>
      </c>
      <c r="L17" s="197"/>
      <c r="M17" s="196">
        <f>Animals!M11</f>
        <v>0</v>
      </c>
      <c r="N17" s="199"/>
      <c r="O17" s="196">
        <f>Animals!O11</f>
        <v>0</v>
      </c>
      <c r="Q17" s="196">
        <f>Animals!Q11</f>
        <v>0</v>
      </c>
      <c r="S17" s="196">
        <f>Animals!S11</f>
        <v>0</v>
      </c>
    </row>
    <row r="18" spans="1:19" x14ac:dyDescent="0.35">
      <c r="A18" s="4" t="s">
        <v>15</v>
      </c>
      <c r="B18" s="2"/>
      <c r="C18" s="171" t="s">
        <v>263</v>
      </c>
      <c r="D18" s="189" t="s">
        <v>264</v>
      </c>
      <c r="G18" s="190">
        <f>Animals!G18</f>
        <v>3.3000000000000002E-7</v>
      </c>
      <c r="I18" s="190">
        <f>Animals!I18</f>
        <v>5.0000000000000003E-10</v>
      </c>
      <c r="K18" s="190">
        <f>Animals!K18</f>
        <v>1.55E-7</v>
      </c>
      <c r="M18" s="190">
        <f>Animals!M18</f>
        <v>8.8299999999999987E-9</v>
      </c>
      <c r="O18" s="190">
        <f>Animals!O18</f>
        <v>5.0000000000000001E-9</v>
      </c>
      <c r="Q18" s="190">
        <f>Animals!Q18</f>
        <v>9.5800000000000004E-9</v>
      </c>
      <c r="S18" s="190">
        <f>Animals!S18</f>
        <v>2.33E-9</v>
      </c>
    </row>
    <row r="19" spans="1:19" x14ac:dyDescent="0.35">
      <c r="A19" s="4" t="s">
        <v>11</v>
      </c>
      <c r="B19" s="2"/>
      <c r="C19" s="7" t="s">
        <v>12</v>
      </c>
      <c r="D19" s="7" t="s">
        <v>6</v>
      </c>
      <c r="E19" s="3"/>
      <c r="F19" s="28"/>
      <c r="G19" s="20" t="str">
        <f>IF(G16="shallow-diving",MAX(0,G14-2*$E10/G17),IF(G16="deep-diving",2*$E9/G17,""))</f>
        <v/>
      </c>
      <c r="I19" s="20" t="str">
        <f>IF(I16="shallow-diving",MAX(0,I14-2*$E10/I17),IF(I16="deep-diving",2*$E9/I17,""))</f>
        <v/>
      </c>
      <c r="J19" s="200"/>
      <c r="K19" s="20" t="str">
        <f>IF(K16="shallow-diving",MAX(0,K14-2*$E10/K17),IF(K16="deep-diving",2*$E9/K17,""))</f>
        <v/>
      </c>
      <c r="M19" s="20" t="str">
        <f>IF(M16="shallow-diving",MAX(0,M14-2*$E10/M17),IF(M16="deep-diving",2*$E9/M17,""))</f>
        <v/>
      </c>
      <c r="O19" s="20" t="str">
        <f>IF(O16="shallow-diving",MAX(0,O14-2*$E10/O17),IF(O16="deep-diving",2*$E9/O17,""))</f>
        <v/>
      </c>
      <c r="Q19" s="20" t="str">
        <f>IF(Q16="shallow-diving",MAX(0,Q14-2*$E10/Q17),IF(Q16="deep-diving",2*$E9/Q17,""))</f>
        <v/>
      </c>
      <c r="S19" s="20" t="str">
        <f>IF(S16="shallow-diving",MAX(0,S14-2*$E10/S17),IF(S16="deep-diving",2*$E9/S17,""))</f>
        <v/>
      </c>
    </row>
    <row r="20" spans="1:19" x14ac:dyDescent="0.35">
      <c r="A20" s="4" t="s">
        <v>13</v>
      </c>
      <c r="B20" s="2"/>
      <c r="C20" s="7" t="s">
        <v>177</v>
      </c>
      <c r="D20" s="7"/>
      <c r="E20" s="3"/>
      <c r="F20" s="28" t="s">
        <v>14</v>
      </c>
      <c r="G20" s="201">
        <f>Q2R(G16,G17,G14,G15,E10,E9,E11)</f>
        <v>0.62316220998764038</v>
      </c>
      <c r="I20" s="201">
        <f>Q2R($I$16,$I$17,$I$14,$I$15,$E10,$E9,$E11)</f>
        <v>0.41292399168014526</v>
      </c>
      <c r="J20" s="202"/>
      <c r="K20" s="201">
        <f>Q2R($K$16,$K$17,$K$14,$K$15,$E10,$E9,$E11)</f>
        <v>0.31861197948455811</v>
      </c>
      <c r="M20" s="201">
        <f>Q2R($M$16,$M$17,$M$14,$M$15,$E10,$E9,$E11)</f>
        <v>0.58333331346511841</v>
      </c>
      <c r="O20" s="201">
        <f>Q2R($O$16,$O$17,$O$14,$O$15,$E10,$E9,$E11)</f>
        <v>0.58333331346511841</v>
      </c>
      <c r="Q20" s="201">
        <f>Q2R($Q$16,$Q$17,$Q$14,$Q$15,$E10,$E9,$E11)</f>
        <v>0.58333331346511841</v>
      </c>
      <c r="S20" s="201">
        <f>Q2R($S$16,$S$17,$S$14,$S$15,$E10,$E9,$E11)</f>
        <v>0.58333331346511841</v>
      </c>
    </row>
    <row r="21" spans="1:19" x14ac:dyDescent="0.35">
      <c r="A21" s="4" t="s">
        <v>265</v>
      </c>
      <c r="B21" s="2"/>
      <c r="C21" s="9" t="s">
        <v>16</v>
      </c>
      <c r="D21" s="7" t="s">
        <v>266</v>
      </c>
      <c r="E21" s="3"/>
      <c r="F21" s="28" t="s">
        <v>267</v>
      </c>
      <c r="G21" s="230">
        <f>G18*G20/$E9</f>
        <v>9.7925490140914921E-9</v>
      </c>
      <c r="I21" s="230">
        <f>I18*I20/$E9</f>
        <v>9.8315236114320308E-12</v>
      </c>
      <c r="J21" s="95"/>
      <c r="K21" s="230">
        <f>K18*K20/$E9</f>
        <v>2.3516598485765004E-9</v>
      </c>
      <c r="M21" s="230">
        <f>M18*M20/$E9</f>
        <v>2.452777694236664E-10</v>
      </c>
      <c r="O21" s="230">
        <f>O18*O20/$E9</f>
        <v>1.3888888415836153E-10</v>
      </c>
      <c r="Q21" s="230">
        <f>Q18*Q20/$E9</f>
        <v>2.6611110204742072E-10</v>
      </c>
      <c r="S21" s="230">
        <f>S18*S20/$E9</f>
        <v>6.472222001779648E-11</v>
      </c>
    </row>
  </sheetData>
  <dataConsolidate/>
  <mergeCells count="3">
    <mergeCell ref="A1:B1"/>
    <mergeCell ref="C4:D4"/>
    <mergeCell ref="C5:D5"/>
  </mergeCells>
  <conditionalFormatting sqref="G14 I14:K14 M14 O14">
    <cfRule type="expression" dxfId="5" priority="3">
      <formula>(#REF!="non-diving")</formula>
    </cfRule>
  </conditionalFormatting>
  <conditionalFormatting sqref="Q14">
    <cfRule type="expression" dxfId="4" priority="2">
      <formula>(#REF!="non-diving")</formula>
    </cfRule>
  </conditionalFormatting>
  <conditionalFormatting sqref="S14">
    <cfRule type="expression" dxfId="3" priority="1">
      <formula>(#REF!="non-diving")</formula>
    </cfRule>
  </conditionalFormatting>
  <dataValidations count="2">
    <dataValidation type="list" allowBlank="1" showInputMessage="1" showErrorMessage="1" sqref="G4:G12 S4:S12 Q4:Q12 O4:O12 M4:M12 I4:K12" xr:uid="{C9975ADB-D51B-42EC-B594-74EDD498B083}">
      <formula1>"yes, no"</formula1>
    </dataValidation>
    <dataValidation type="list" allowBlank="1" showInputMessage="1" showErrorMessage="1" sqref="J16" xr:uid="{4D21A80D-0CEA-46B0-B01A-9186338EAEA2}">
      <formula1>#REF!</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E9D7D-3995-4089-9C1A-B146162CD675}">
  <sheetPr codeName="Sheet16"/>
  <dimension ref="A1:W97"/>
  <sheetViews>
    <sheetView defaultGridColor="0" colorId="22" zoomScale="120" zoomScaleNormal="120" workbookViewId="0">
      <selection activeCell="V45" sqref="V45"/>
    </sheetView>
  </sheetViews>
  <sheetFormatPr defaultRowHeight="14.5" x14ac:dyDescent="0.35"/>
  <cols>
    <col min="1" max="1" width="26" customWidth="1"/>
    <col min="4" max="4" width="10.26953125" customWidth="1"/>
    <col min="5" max="5" width="14.81640625" customWidth="1"/>
    <col min="6" max="6" width="13.453125" customWidth="1"/>
    <col min="7" max="7" width="5.81640625" customWidth="1"/>
    <col min="8" max="8" width="3.54296875" customWidth="1"/>
    <col min="9" max="9" width="10.1796875" customWidth="1"/>
    <col min="10" max="10" width="2.81640625" customWidth="1"/>
    <col min="11" max="11" width="10.453125" customWidth="1"/>
    <col min="12" max="12" width="2.26953125" customWidth="1"/>
    <col min="13" max="13" width="9.54296875" customWidth="1"/>
    <col min="14" max="14" width="2.26953125" customWidth="1"/>
    <col min="15" max="15" width="10.453125" customWidth="1"/>
    <col min="16" max="16" width="3" customWidth="1"/>
    <col min="17" max="17" width="10.453125" customWidth="1"/>
    <col min="18" max="18" width="2.453125" customWidth="1"/>
    <col min="19" max="19" width="10.453125" customWidth="1"/>
    <col min="20" max="20" width="2.54296875" customWidth="1"/>
  </cols>
  <sheetData>
    <row r="1" spans="1:20" ht="34.5" customHeight="1" x14ac:dyDescent="0.35">
      <c r="A1" s="232" t="s">
        <v>202</v>
      </c>
      <c r="B1" s="181" t="s">
        <v>238</v>
      </c>
      <c r="C1" s="182" t="s">
        <v>237</v>
      </c>
      <c r="D1" s="231" t="s">
        <v>248</v>
      </c>
      <c r="E1" s="183" t="s">
        <v>240</v>
      </c>
      <c r="F1" s="180" t="s">
        <v>241</v>
      </c>
      <c r="G1" s="250"/>
    </row>
    <row r="2" spans="1:20" x14ac:dyDescent="0.35">
      <c r="A2" s="233" t="s">
        <v>200</v>
      </c>
      <c r="C2" s="152"/>
      <c r="D2" s="138"/>
      <c r="E2" s="138"/>
      <c r="F2" s="138"/>
      <c r="G2" s="138"/>
      <c r="H2" s="138"/>
      <c r="I2" s="138"/>
      <c r="J2" s="138"/>
      <c r="K2" s="138"/>
      <c r="L2" s="138"/>
      <c r="M2" s="138"/>
      <c r="N2" s="138"/>
      <c r="O2" s="138"/>
      <c r="P2" s="138"/>
      <c r="Q2" s="138"/>
      <c r="R2" s="138"/>
      <c r="S2" s="138"/>
      <c r="T2" s="138"/>
    </row>
    <row r="3" spans="1:20" x14ac:dyDescent="0.35">
      <c r="A3" s="235" t="s">
        <v>191</v>
      </c>
      <c r="C3" s="325">
        <f>Devices!E1</f>
        <v>3</v>
      </c>
      <c r="D3" s="325"/>
      <c r="E3" s="138"/>
      <c r="F3" s="138"/>
      <c r="G3" s="138"/>
      <c r="H3" s="138"/>
      <c r="I3" s="138"/>
      <c r="J3" s="138"/>
      <c r="K3" s="138"/>
      <c r="L3" s="138"/>
      <c r="M3" s="138"/>
      <c r="N3" s="138"/>
      <c r="O3" s="138"/>
      <c r="P3" s="138"/>
      <c r="Q3" s="138"/>
      <c r="R3" s="138"/>
      <c r="S3" s="138"/>
      <c r="T3" s="138"/>
    </row>
    <row r="4" spans="1:20" x14ac:dyDescent="0.35">
      <c r="A4" s="236" t="s">
        <v>242</v>
      </c>
      <c r="C4" s="325" t="str">
        <f>Devices!E2</f>
        <v>Magallanes</v>
      </c>
      <c r="D4" s="325"/>
      <c r="E4" s="138"/>
      <c r="F4" s="138"/>
      <c r="G4" s="138"/>
      <c r="H4" s="138"/>
      <c r="I4" s="138"/>
      <c r="J4" s="138"/>
      <c r="K4" s="138"/>
      <c r="L4" s="138"/>
      <c r="M4" s="138"/>
      <c r="N4" s="138"/>
      <c r="O4" s="138"/>
      <c r="P4" s="138"/>
      <c r="Q4" s="138"/>
      <c r="R4" s="138"/>
      <c r="S4" s="138"/>
      <c r="T4" s="138"/>
    </row>
    <row r="5" spans="1:20" x14ac:dyDescent="0.35">
      <c r="A5" s="152"/>
      <c r="B5" s="152"/>
      <c r="C5" s="152"/>
      <c r="D5" s="138"/>
      <c r="E5" s="138"/>
      <c r="F5" s="138"/>
      <c r="G5" s="138"/>
      <c r="H5" s="138"/>
      <c r="I5" s="138"/>
      <c r="J5" s="138"/>
      <c r="K5" s="138"/>
      <c r="L5" s="138"/>
      <c r="M5" s="138"/>
      <c r="N5" s="138"/>
      <c r="O5" s="138"/>
      <c r="P5" s="138"/>
      <c r="Q5" s="138"/>
      <c r="R5" s="138"/>
      <c r="S5" s="138"/>
      <c r="T5" s="138"/>
    </row>
    <row r="6" spans="1:20" x14ac:dyDescent="0.35">
      <c r="A6" s="1" t="s">
        <v>45</v>
      </c>
      <c r="B6" s="2"/>
      <c r="C6" s="3" t="s">
        <v>46</v>
      </c>
      <c r="D6" s="3" t="s">
        <v>47</v>
      </c>
      <c r="E6" s="4"/>
    </row>
    <row r="7" spans="1:20" x14ac:dyDescent="0.35">
      <c r="A7" s="4" t="s">
        <v>48</v>
      </c>
      <c r="B7" s="2"/>
      <c r="C7" s="15"/>
      <c r="D7" s="25" t="str">
        <f>Devices!E25</f>
        <v>years</v>
      </c>
      <c r="E7" s="26">
        <f>Devices!E26</f>
        <v>1</v>
      </c>
    </row>
    <row r="8" spans="1:20" x14ac:dyDescent="0.35">
      <c r="A8" s="4" t="s">
        <v>50</v>
      </c>
      <c r="B8" s="2"/>
      <c r="C8" s="9" t="s">
        <v>51</v>
      </c>
      <c r="D8" s="9" t="s">
        <v>6</v>
      </c>
      <c r="E8" s="36">
        <f>IF(D7="years",E7*365*24*3600,IF(D7="months",E7*30.4*24*3600,IF(D7="weeks",E7*7*24*3600)))</f>
        <v>31536000</v>
      </c>
    </row>
    <row r="9" spans="1:20" x14ac:dyDescent="0.35">
      <c r="A9" s="4"/>
      <c r="B9" s="2"/>
      <c r="C9" s="3"/>
      <c r="D9" s="3"/>
      <c r="E9" s="28"/>
    </row>
    <row r="10" spans="1:20" x14ac:dyDescent="0.35">
      <c r="A10" s="1" t="s">
        <v>21</v>
      </c>
      <c r="B10" s="2"/>
      <c r="C10" s="3"/>
      <c r="D10" s="5"/>
      <c r="E10" s="55"/>
    </row>
    <row r="11" spans="1:20" x14ac:dyDescent="0.35">
      <c r="A11" s="4" t="s">
        <v>91</v>
      </c>
      <c r="B11" s="2"/>
      <c r="C11" s="14" t="s">
        <v>22</v>
      </c>
      <c r="D11" s="15" t="s">
        <v>23</v>
      </c>
      <c r="E11" s="16">
        <f>Devices!E4</f>
        <v>2</v>
      </c>
    </row>
    <row r="12" spans="1:20" x14ac:dyDescent="0.35">
      <c r="A12" s="4" t="s">
        <v>24</v>
      </c>
      <c r="B12" s="2"/>
      <c r="C12" s="9" t="s">
        <v>25</v>
      </c>
      <c r="D12" s="35" t="s">
        <v>23</v>
      </c>
      <c r="E12" s="245">
        <f>E13*2</f>
        <v>21</v>
      </c>
      <c r="F12" s="326"/>
      <c r="G12" s="246"/>
    </row>
    <row r="13" spans="1:20" x14ac:dyDescent="0.35">
      <c r="A13" s="4" t="s">
        <v>26</v>
      </c>
      <c r="B13" s="2"/>
      <c r="C13" s="14" t="s">
        <v>27</v>
      </c>
      <c r="D13" s="15" t="s">
        <v>23</v>
      </c>
      <c r="E13" s="146">
        <f>Devices!E5</f>
        <v>10.5</v>
      </c>
      <c r="F13" s="326"/>
      <c r="G13" s="246"/>
    </row>
    <row r="14" spans="1:20" x14ac:dyDescent="0.35">
      <c r="A14" s="4" t="s">
        <v>28</v>
      </c>
      <c r="B14" s="2"/>
      <c r="C14" s="17" t="s">
        <v>29</v>
      </c>
      <c r="D14" s="15"/>
      <c r="E14" s="18">
        <f>Devices!E6</f>
        <v>3</v>
      </c>
    </row>
    <row r="15" spans="1:20" x14ac:dyDescent="0.35">
      <c r="A15" s="13" t="s">
        <v>73</v>
      </c>
      <c r="B15" s="49"/>
      <c r="C15" s="51" t="s">
        <v>60</v>
      </c>
      <c r="D15" s="51" t="s">
        <v>23</v>
      </c>
      <c r="E15" s="148">
        <f>Devices!E7</f>
        <v>1.0069999999999999</v>
      </c>
    </row>
    <row r="16" spans="1:20" x14ac:dyDescent="0.35">
      <c r="A16" s="4" t="s">
        <v>36</v>
      </c>
      <c r="B16" s="2"/>
      <c r="C16" s="17" t="s">
        <v>37</v>
      </c>
      <c r="D16" s="15" t="s">
        <v>38</v>
      </c>
      <c r="E16" s="19">
        <f>Devices!E8</f>
        <v>9.98</v>
      </c>
    </row>
    <row r="17" spans="1:21" x14ac:dyDescent="0.35">
      <c r="A17" s="4" t="s">
        <v>112</v>
      </c>
      <c r="B17" s="2"/>
      <c r="C17" s="34" t="s">
        <v>268</v>
      </c>
      <c r="D17" s="35" t="s">
        <v>262</v>
      </c>
      <c r="E17" s="20">
        <f>(1/2)*$E13*$E16*2*PI()/60</f>
        <v>5.4867915694945735</v>
      </c>
    </row>
    <row r="18" spans="1:21" x14ac:dyDescent="0.35">
      <c r="A18" s="4" t="s">
        <v>39</v>
      </c>
      <c r="B18" s="2"/>
      <c r="C18" s="17" t="s">
        <v>40</v>
      </c>
      <c r="D18" s="15"/>
      <c r="E18" s="21">
        <f>Devices!E21</f>
        <v>0.26</v>
      </c>
    </row>
    <row r="19" spans="1:21" x14ac:dyDescent="0.35">
      <c r="A19" s="4" t="s">
        <v>269</v>
      </c>
      <c r="B19" s="2"/>
      <c r="C19" s="14" t="s">
        <v>270</v>
      </c>
      <c r="D19" s="15" t="s">
        <v>262</v>
      </c>
      <c r="E19" s="19">
        <f>Devices!E11</f>
        <v>1.52</v>
      </c>
    </row>
    <row r="20" spans="1:21" x14ac:dyDescent="0.35">
      <c r="A20" s="4" t="s">
        <v>113</v>
      </c>
      <c r="B20" s="2"/>
      <c r="C20" s="35" t="s">
        <v>61</v>
      </c>
      <c r="D20" s="35" t="s">
        <v>262</v>
      </c>
      <c r="E20" s="101">
        <f>SQRT(E17*E17+E19*E19)</f>
        <v>5.6934419929491442</v>
      </c>
      <c r="F20" s="70" t="s">
        <v>271</v>
      </c>
      <c r="G20" s="70"/>
    </row>
    <row r="21" spans="1:21" x14ac:dyDescent="0.35">
      <c r="A21" s="4"/>
      <c r="B21" s="2"/>
      <c r="C21" s="5"/>
      <c r="D21" s="5"/>
      <c r="E21" s="102"/>
    </row>
    <row r="22" spans="1:21" x14ac:dyDescent="0.35">
      <c r="A22" s="50" t="s">
        <v>42</v>
      </c>
      <c r="I22" s="77"/>
    </row>
    <row r="23" spans="1:21" ht="24" x14ac:dyDescent="0.35">
      <c r="A23" s="13" t="s">
        <v>87</v>
      </c>
      <c r="I23" s="169" t="s">
        <v>77</v>
      </c>
      <c r="J23" s="52"/>
      <c r="K23" s="169" t="s">
        <v>143</v>
      </c>
      <c r="L23" s="92"/>
      <c r="M23" s="169" t="s">
        <v>107</v>
      </c>
      <c r="N23" s="52"/>
      <c r="O23" s="169" t="s">
        <v>78</v>
      </c>
      <c r="P23" s="53"/>
      <c r="Q23" s="169" t="s">
        <v>188</v>
      </c>
      <c r="S23" s="169" t="s">
        <v>189</v>
      </c>
      <c r="U23" s="169" t="s">
        <v>199</v>
      </c>
    </row>
    <row r="24" spans="1:21" x14ac:dyDescent="0.35">
      <c r="A24" s="4" t="s">
        <v>106</v>
      </c>
      <c r="C24" s="177" t="s">
        <v>16</v>
      </c>
      <c r="D24" s="177" t="s">
        <v>272</v>
      </c>
      <c r="I24" s="78">
        <f>Density_3!G21</f>
        <v>9.7925490140914921E-9</v>
      </c>
      <c r="J24" s="75"/>
      <c r="K24" s="78">
        <f>Density_3!I21</f>
        <v>9.8315236114320308E-12</v>
      </c>
      <c r="L24" s="75"/>
      <c r="M24" s="78">
        <f>Density_3!K21</f>
        <v>2.3516598485765004E-9</v>
      </c>
      <c r="N24" s="75"/>
      <c r="O24" s="79">
        <f>Density_3!M21</f>
        <v>2.452777694236664E-10</v>
      </c>
      <c r="P24" s="88"/>
      <c r="Q24" s="79">
        <f>Density_3!O21</f>
        <v>1.3888888415836153E-10</v>
      </c>
      <c r="R24" s="75"/>
      <c r="S24" s="79">
        <f>Density_3!Q21</f>
        <v>2.6611110204742072E-10</v>
      </c>
      <c r="U24" s="79">
        <f>Density_3!S21</f>
        <v>6.472222001779648E-11</v>
      </c>
    </row>
    <row r="25" spans="1:21" x14ac:dyDescent="0.35">
      <c r="A25" s="4" t="s">
        <v>103</v>
      </c>
      <c r="I25" s="170" t="s">
        <v>102</v>
      </c>
      <c r="J25" s="43"/>
      <c r="K25" s="170" t="s">
        <v>102</v>
      </c>
      <c r="L25" s="43"/>
      <c r="M25" s="170" t="s">
        <v>102</v>
      </c>
      <c r="N25" s="43"/>
      <c r="O25" s="170" t="s">
        <v>102</v>
      </c>
      <c r="P25" s="24"/>
      <c r="Q25" s="170" t="s">
        <v>102</v>
      </c>
      <c r="R25" s="43"/>
      <c r="S25" s="170" t="s">
        <v>102</v>
      </c>
      <c r="U25" s="170" t="s">
        <v>102</v>
      </c>
    </row>
    <row r="26" spans="1:21" x14ac:dyDescent="0.35">
      <c r="A26" s="4" t="s">
        <v>80</v>
      </c>
      <c r="C26" s="173" t="s">
        <v>43</v>
      </c>
      <c r="D26" s="173" t="s">
        <v>23</v>
      </c>
      <c r="I26" s="175">
        <f>Animals!G21</f>
        <v>1.22</v>
      </c>
      <c r="J26" s="43"/>
      <c r="K26" s="175">
        <f>Animals!I21</f>
        <v>1.41</v>
      </c>
      <c r="L26" s="45"/>
      <c r="M26" s="175">
        <f>Animals!K21</f>
        <v>1.37</v>
      </c>
      <c r="N26" s="45"/>
      <c r="O26" s="175">
        <f>Animals!M21</f>
        <v>5.2</v>
      </c>
      <c r="P26" s="45"/>
      <c r="Q26" s="175">
        <f>Animals!O21</f>
        <v>2.57</v>
      </c>
      <c r="R26" s="45"/>
      <c r="S26" s="175">
        <f>Animals!Q21</f>
        <v>2.37</v>
      </c>
      <c r="U26" s="175">
        <f>Animals!S21</f>
        <v>1.77</v>
      </c>
    </row>
    <row r="27" spans="1:21" x14ac:dyDescent="0.35">
      <c r="A27" s="4" t="s">
        <v>72</v>
      </c>
      <c r="C27" s="171" t="s">
        <v>44</v>
      </c>
      <c r="D27" s="171" t="s">
        <v>23</v>
      </c>
      <c r="E27" s="3"/>
      <c r="I27" s="172">
        <f>Animals!G22</f>
        <v>0.3</v>
      </c>
      <c r="J27" s="43"/>
      <c r="K27" s="172">
        <f>Animals!I22</f>
        <v>0.34</v>
      </c>
      <c r="L27" s="45"/>
      <c r="M27" s="172">
        <f>Animals!K22</f>
        <v>0.32</v>
      </c>
      <c r="N27" s="45"/>
      <c r="O27" s="172">
        <f>Animals!M22</f>
        <v>2.2000000000000002</v>
      </c>
      <c r="P27" s="45"/>
      <c r="Q27" s="172">
        <f>Animals!O22</f>
        <v>0.64</v>
      </c>
      <c r="R27" s="45"/>
      <c r="S27" s="172">
        <f>Animals!Q22</f>
        <v>0.55000000000000004</v>
      </c>
      <c r="U27" s="172">
        <f>Animals!S22</f>
        <v>0.44</v>
      </c>
    </row>
    <row r="28" spans="1:21" x14ac:dyDescent="0.35">
      <c r="A28" s="4" t="s">
        <v>95</v>
      </c>
      <c r="C28" s="171" t="s">
        <v>273</v>
      </c>
      <c r="D28" s="171" t="s">
        <v>262</v>
      </c>
      <c r="E28" s="3"/>
      <c r="I28" s="172">
        <f>Animals!G23</f>
        <v>2</v>
      </c>
      <c r="J28" s="43"/>
      <c r="K28" s="172">
        <f>Animals!I23</f>
        <v>1.8</v>
      </c>
      <c r="L28" s="45"/>
      <c r="M28" s="172">
        <f>Animals!K23</f>
        <v>1.86</v>
      </c>
      <c r="N28" s="45"/>
      <c r="O28" s="172">
        <f>Animals!M23</f>
        <v>1.62</v>
      </c>
      <c r="P28" s="45"/>
      <c r="Q28" s="172">
        <f>Animals!O23</f>
        <v>2.1</v>
      </c>
      <c r="R28" s="45"/>
      <c r="S28" s="172">
        <f>Animals!Q23</f>
        <v>1.94</v>
      </c>
      <c r="U28" s="172">
        <f>Animals!S23</f>
        <v>3</v>
      </c>
    </row>
    <row r="29" spans="1:21" x14ac:dyDescent="0.35">
      <c r="A29" s="4" t="s">
        <v>56</v>
      </c>
      <c r="C29" s="171" t="s">
        <v>57</v>
      </c>
      <c r="D29" s="171" t="s">
        <v>262</v>
      </c>
      <c r="E29" s="3"/>
      <c r="I29" s="234">
        <f>Animals!G11</f>
        <v>0</v>
      </c>
      <c r="J29" s="43"/>
      <c r="K29" s="234">
        <f>Animals!I11</f>
        <v>0.85</v>
      </c>
      <c r="L29" s="45"/>
      <c r="M29" s="234">
        <f>Animals!K11</f>
        <v>0.61</v>
      </c>
      <c r="N29" s="45"/>
      <c r="O29" s="234">
        <f>Animals!M11</f>
        <v>0</v>
      </c>
      <c r="P29" s="45"/>
      <c r="Q29" s="234">
        <f>Animals!O11</f>
        <v>0</v>
      </c>
      <c r="R29" s="45"/>
      <c r="S29" s="234">
        <f>Animals!Q11</f>
        <v>0</v>
      </c>
      <c r="U29" s="234">
        <f>Animals!S11</f>
        <v>0</v>
      </c>
    </row>
    <row r="30" spans="1:21" x14ac:dyDescent="0.35">
      <c r="A30" s="4" t="s">
        <v>68</v>
      </c>
      <c r="B30" s="2"/>
      <c r="C30" s="171" t="s">
        <v>69</v>
      </c>
      <c r="D30" s="171"/>
      <c r="E30" s="3"/>
      <c r="F30" s="12" t="s">
        <v>93</v>
      </c>
      <c r="G30" s="12"/>
      <c r="I30" s="172">
        <f>Animals!G24</f>
        <v>0.5</v>
      </c>
      <c r="J30" s="84"/>
      <c r="K30" s="172">
        <f>Animals!I24</f>
        <v>0.5</v>
      </c>
      <c r="L30" s="62"/>
      <c r="M30" s="172">
        <f>Animals!K24</f>
        <v>0.5</v>
      </c>
      <c r="N30" s="62"/>
      <c r="O30" s="172">
        <f>Animals!M24</f>
        <v>0.5</v>
      </c>
      <c r="P30" s="45"/>
      <c r="Q30" s="172">
        <f>Animals!O24</f>
        <v>0.5</v>
      </c>
      <c r="R30" s="62"/>
      <c r="S30" s="172">
        <f>Animals!Q24</f>
        <v>0.5</v>
      </c>
      <c r="U30" s="172">
        <f>Animals!S24</f>
        <v>0.5</v>
      </c>
    </row>
    <row r="32" spans="1:21" x14ac:dyDescent="0.35">
      <c r="A32" s="1" t="s">
        <v>62</v>
      </c>
      <c r="B32" s="2"/>
      <c r="C32" s="5"/>
      <c r="D32" s="5"/>
      <c r="E32" s="5"/>
      <c r="F32" s="41"/>
      <c r="G32" s="41"/>
    </row>
    <row r="33" spans="1:21" x14ac:dyDescent="0.35">
      <c r="A33" s="4" t="s">
        <v>104</v>
      </c>
      <c r="B33" s="2"/>
      <c r="C33" s="7" t="s">
        <v>70</v>
      </c>
      <c r="D33" s="7" t="s">
        <v>23</v>
      </c>
      <c r="E33" s="3"/>
      <c r="F33" s="12" t="s">
        <v>71</v>
      </c>
      <c r="G33" s="12"/>
      <c r="I33" s="87">
        <f>MAX(I26,I27)*I30/2</f>
        <v>0.30499999999999999</v>
      </c>
      <c r="J33" s="89"/>
      <c r="K33" s="87">
        <f>MAX(K26,K27)*K30/2</f>
        <v>0.35249999999999998</v>
      </c>
      <c r="L33" s="90"/>
      <c r="M33" s="87">
        <f>MAX(M26,M27)*M30/2</f>
        <v>0.34250000000000003</v>
      </c>
      <c r="N33" s="90"/>
      <c r="O33" s="87">
        <f>MAX(O26,O27)*O30/2</f>
        <v>1.3</v>
      </c>
      <c r="P33" s="91"/>
      <c r="Q33" s="87">
        <f>MAX(Q26,Q27)*Q30/2</f>
        <v>0.64249999999999996</v>
      </c>
      <c r="R33" s="90"/>
      <c r="S33" s="87">
        <f>MAX(S26,S27)*S30/2</f>
        <v>0.59250000000000003</v>
      </c>
      <c r="T33" s="89"/>
      <c r="U33" s="87">
        <f>MAX(U26,U27)*U30/2</f>
        <v>0.4425</v>
      </c>
    </row>
    <row r="34" spans="1:21" x14ac:dyDescent="0.35">
      <c r="A34" s="4" t="s">
        <v>63</v>
      </c>
      <c r="B34" s="2"/>
      <c r="C34" s="7" t="s">
        <v>64</v>
      </c>
      <c r="D34" s="7" t="s">
        <v>215</v>
      </c>
      <c r="E34" s="3"/>
      <c r="F34" s="29" t="s">
        <v>274</v>
      </c>
      <c r="G34" s="29"/>
      <c r="I34" s="63">
        <f>$E11*$E14*($E15+2*I33)*($E13+I33)</f>
        <v>104.83010999999999</v>
      </c>
      <c r="K34" s="63">
        <f>$E11*$E14*($E15+2*K33)*($E13+K33)</f>
        <v>111.47687999999998</v>
      </c>
      <c r="M34" s="63">
        <f>$E11*$E14*($E15+2*M33)*($E13+M33)</f>
        <v>110.07305999999998</v>
      </c>
      <c r="O34" s="63">
        <f>$E11*$E14*($E15+2*O33)*($E13+O33)</f>
        <v>255.37560000000005</v>
      </c>
      <c r="P34" s="81"/>
      <c r="Q34" s="63">
        <f>$E11*$E14*($E15+2*Q33)*($E13+Q33)</f>
        <v>153.23165999999998</v>
      </c>
      <c r="S34" s="63">
        <f>$E11*$E14*($E15+2*S33)*($E13+S33)</f>
        <v>145.88856000000001</v>
      </c>
      <c r="U34" s="63">
        <f>$E11*$E14*($E15+2*U33)*($E13+U33)</f>
        <v>124.21926000000001</v>
      </c>
    </row>
    <row r="35" spans="1:21" x14ac:dyDescent="0.35">
      <c r="A35" s="4" t="s">
        <v>81</v>
      </c>
      <c r="B35" s="2"/>
      <c r="C35" s="7" t="s">
        <v>275</v>
      </c>
      <c r="D35" s="7"/>
      <c r="E35" s="3"/>
      <c r="F35" s="29" t="s">
        <v>276</v>
      </c>
      <c r="G35" s="29"/>
      <c r="I35" s="63">
        <f>IF(I25="diving bird",I29,I28)</f>
        <v>2</v>
      </c>
      <c r="K35" s="63">
        <f>IF(K25="diving bird",K29,K28)</f>
        <v>1.8</v>
      </c>
      <c r="M35" s="63">
        <f>IF(M25="diving bird",M29,M28)</f>
        <v>1.86</v>
      </c>
      <c r="O35" s="63">
        <f>IF(O25="diving bird",O29,O28)</f>
        <v>1.62</v>
      </c>
      <c r="P35" s="81"/>
      <c r="Q35" s="63">
        <f>IF(Q25="diving bird",Q29,Q28)</f>
        <v>2.1</v>
      </c>
      <c r="S35" s="63">
        <f>IF(S25="diving bird",S29,S28)</f>
        <v>1.94</v>
      </c>
      <c r="U35" s="63">
        <f>IF(U25="diving bird",U29,U28)</f>
        <v>3</v>
      </c>
    </row>
    <row r="36" spans="1:21" x14ac:dyDescent="0.35">
      <c r="A36" s="4" t="s">
        <v>65</v>
      </c>
      <c r="B36" s="2"/>
      <c r="C36" s="20"/>
      <c r="D36" s="7" t="s">
        <v>277</v>
      </c>
      <c r="E36" s="3"/>
      <c r="F36" s="30" t="s">
        <v>278</v>
      </c>
      <c r="G36" s="30"/>
      <c r="I36" s="63">
        <f>I34*(I35*I35+3*$E17*$E17)/(3*$E17)</f>
        <v>600.65550171610221</v>
      </c>
      <c r="K36" s="61">
        <f>K34*(K35*K35+3*$E17*$E17)/(3*$E17)</f>
        <v>633.59310702297353</v>
      </c>
      <c r="M36" s="61">
        <f>M34*(M35*M35+3*$E17*$E17)/(3*$E17)</f>
        <v>627.08281549436799</v>
      </c>
      <c r="O36" s="61">
        <f>O34*(O35*O35+3*$E17*$E17)/(3*$E17)</f>
        <v>1441.9091209601088</v>
      </c>
      <c r="P36" s="62"/>
      <c r="Q36" s="61">
        <f>Q34*(Q35*Q35+3*$E17*$E17)/(3*$E17)</f>
        <v>881.80341463004027</v>
      </c>
      <c r="S36" s="61">
        <f>S34*(S35*S35+3*$E17*$E17)/(3*$E17)</f>
        <v>833.81696710359461</v>
      </c>
      <c r="U36" s="61">
        <f>U34*(U35*U35+3*$E17*$E17)/(3*$E17)</f>
        <v>749.48425841220762</v>
      </c>
    </row>
    <row r="37" spans="1:21" x14ac:dyDescent="0.35">
      <c r="A37" s="4" t="s">
        <v>66</v>
      </c>
      <c r="B37" s="2"/>
      <c r="C37" s="7" t="s">
        <v>279</v>
      </c>
      <c r="D37" s="7" t="s">
        <v>277</v>
      </c>
      <c r="E37" s="3"/>
      <c r="F37" s="30" t="s">
        <v>280</v>
      </c>
      <c r="G37" s="30"/>
      <c r="I37" s="39">
        <f>I36*I24</f>
        <v>5.8819484411386468E-6</v>
      </c>
      <c r="K37" s="39">
        <f>K36*K24</f>
        <v>6.2291855917369458E-9</v>
      </c>
      <c r="M37" s="39">
        <f>M36*M24</f>
        <v>1.4746854789304109E-6</v>
      </c>
      <c r="O37" s="39">
        <f>O36*O24</f>
        <v>3.5366825290073508E-7</v>
      </c>
      <c r="P37" s="68"/>
      <c r="Q37" s="39">
        <f>Q36*Q24</f>
        <v>1.2247269230499931E-7</v>
      </c>
      <c r="S37" s="39">
        <f>S36*S24</f>
        <v>2.2188795202177552E-7</v>
      </c>
      <c r="U37" s="39">
        <f>U36*U24</f>
        <v>4.8508285072829932E-8</v>
      </c>
    </row>
    <row r="38" spans="1:21" x14ac:dyDescent="0.35">
      <c r="A38" s="4" t="s">
        <v>67</v>
      </c>
      <c r="B38" s="2"/>
      <c r="C38" s="31"/>
      <c r="D38" s="32" t="s">
        <v>59</v>
      </c>
      <c r="E38" s="3"/>
      <c r="F38" s="12" t="s">
        <v>281</v>
      </c>
      <c r="G38" s="12"/>
      <c r="I38" s="85">
        <f>I37*$E8*(1-$E18)</f>
        <v>137.2649132694138</v>
      </c>
      <c r="J38" s="46"/>
      <c r="K38" s="85">
        <f>K37*$E8*(1-$E18)</f>
        <v>0.14536826164755207</v>
      </c>
      <c r="L38" s="46"/>
      <c r="M38" s="85">
        <f>M37*$E8*(1-$E18)</f>
        <v>34.414204135026587</v>
      </c>
      <c r="N38" s="46"/>
      <c r="O38" s="85">
        <f>O37*$E8*(1-$E18)</f>
        <v>8.2534286973734101</v>
      </c>
      <c r="P38" s="98"/>
      <c r="Q38" s="97">
        <f>Q37*$E8*(1-$E18)</f>
        <v>2.8581011301525394</v>
      </c>
      <c r="R38" s="46"/>
      <c r="S38" s="97">
        <f>S37*$E8*(1-$E18)</f>
        <v>5.1781192566694472</v>
      </c>
      <c r="T38" s="46"/>
      <c r="U38" s="97">
        <f>U37*$E8*(1-$E18)</f>
        <v>1.1320203857620059</v>
      </c>
    </row>
    <row r="44" spans="1:21" ht="24" x14ac:dyDescent="0.35">
      <c r="G44" s="165"/>
      <c r="I44" s="169" t="s">
        <v>77</v>
      </c>
      <c r="J44" s="52"/>
      <c r="K44" s="169" t="s">
        <v>143</v>
      </c>
      <c r="L44" s="92"/>
      <c r="M44" s="169" t="s">
        <v>107</v>
      </c>
      <c r="N44" s="52"/>
      <c r="O44" s="169" t="s">
        <v>78</v>
      </c>
      <c r="P44" s="53"/>
      <c r="Q44" s="169" t="s">
        <v>188</v>
      </c>
      <c r="S44" s="169" t="s">
        <v>189</v>
      </c>
      <c r="U44" s="169" t="s">
        <v>199</v>
      </c>
    </row>
    <row r="45" spans="1:21" x14ac:dyDescent="0.35">
      <c r="A45" s="46" t="s">
        <v>187</v>
      </c>
      <c r="E45" t="s">
        <v>226</v>
      </c>
      <c r="F45" s="165">
        <v>1</v>
      </c>
      <c r="G45" s="165"/>
      <c r="I45" s="139">
        <f>$I$38*1</f>
        <v>137.2649132694138</v>
      </c>
      <c r="K45" s="139">
        <f>$K$38*1</f>
        <v>0.14536826164755207</v>
      </c>
      <c r="M45" s="139">
        <f>$M$38*1</f>
        <v>34.414204135026587</v>
      </c>
      <c r="O45" s="139">
        <f>$O$38*1</f>
        <v>8.2534286973734101</v>
      </c>
      <c r="Q45" s="139">
        <f>$Q$38*1</f>
        <v>2.8581011301525394</v>
      </c>
      <c r="S45" s="139">
        <f>$S$38*1</f>
        <v>5.1781192566694472</v>
      </c>
      <c r="U45" s="139">
        <f>$U$38*1</f>
        <v>1.1320203857620059</v>
      </c>
    </row>
    <row r="46" spans="1:21" x14ac:dyDescent="0.35">
      <c r="A46" t="s">
        <v>185</v>
      </c>
      <c r="E46" t="s">
        <v>207</v>
      </c>
      <c r="F46" s="165">
        <f>Devices!E32</f>
        <v>1.5</v>
      </c>
      <c r="I46" s="174" t="s">
        <v>218</v>
      </c>
      <c r="K46" s="174" t="s">
        <v>220</v>
      </c>
      <c r="M46" s="174" t="s">
        <v>221</v>
      </c>
      <c r="O46" s="174" t="s">
        <v>207</v>
      </c>
      <c r="Q46" s="174" t="s">
        <v>219</v>
      </c>
      <c r="S46" s="174" t="s">
        <v>222</v>
      </c>
      <c r="U46" s="174" t="s">
        <v>223</v>
      </c>
    </row>
    <row r="47" spans="1:21" x14ac:dyDescent="0.35">
      <c r="A47" s="42">
        <v>0.5</v>
      </c>
      <c r="I47" s="157">
        <f t="shared" ref="I47:I52" si="0">I$45*(1-$A47)</f>
        <v>68.632456634706898</v>
      </c>
      <c r="K47" s="63">
        <f t="shared" ref="K47:K52" si="1">K$45*(1-$A47)</f>
        <v>7.2684130823776033E-2</v>
      </c>
      <c r="M47" s="157">
        <f t="shared" ref="M47:M52" si="2">M$45*(1-$A47)</f>
        <v>17.207102067513294</v>
      </c>
      <c r="O47" s="157">
        <f t="shared" ref="O47:O52" si="3">O$45*(1-$A47)</f>
        <v>4.1267143486867051</v>
      </c>
      <c r="Q47" s="157">
        <f t="shared" ref="Q47:Q52" si="4">Q$45*(1-$A47)</f>
        <v>1.4290505650762697</v>
      </c>
      <c r="S47" s="157">
        <f t="shared" ref="S47:S52" si="5">S$45*(1-$A47)</f>
        <v>2.5890596283347236</v>
      </c>
      <c r="U47" s="157">
        <f t="shared" ref="U47:U52" si="6">U$45*(1-$A47)</f>
        <v>0.56601019288100296</v>
      </c>
    </row>
    <row r="48" spans="1:21" s="46" customFormat="1" x14ac:dyDescent="0.35">
      <c r="A48" s="42">
        <v>0.9</v>
      </c>
      <c r="B48"/>
      <c r="C48"/>
      <c r="D48"/>
      <c r="E48"/>
      <c r="F48"/>
      <c r="G48"/>
      <c r="H48"/>
      <c r="I48" s="157">
        <f t="shared" si="0"/>
        <v>13.726491326941376</v>
      </c>
      <c r="J48"/>
      <c r="K48" s="63">
        <f t="shared" si="1"/>
        <v>1.4536826164755203E-2</v>
      </c>
      <c r="L48"/>
      <c r="M48" s="63">
        <f t="shared" si="2"/>
        <v>3.4414204135026578</v>
      </c>
      <c r="N48"/>
      <c r="O48" s="157">
        <f t="shared" si="3"/>
        <v>0.82534286973734083</v>
      </c>
      <c r="P48"/>
      <c r="Q48" s="63">
        <f t="shared" si="4"/>
        <v>0.28581011301525389</v>
      </c>
      <c r="R48"/>
      <c r="S48" s="63">
        <f t="shared" si="5"/>
        <v>0.51781192566694456</v>
      </c>
      <c r="U48" s="63">
        <f t="shared" si="6"/>
        <v>0.11320203857620056</v>
      </c>
    </row>
    <row r="49" spans="1:23" x14ac:dyDescent="0.35">
      <c r="A49" s="42">
        <v>0.95</v>
      </c>
      <c r="I49" s="157">
        <f t="shared" si="0"/>
        <v>6.8632456634706962</v>
      </c>
      <c r="K49" s="63">
        <f t="shared" si="1"/>
        <v>7.2684130823776096E-3</v>
      </c>
      <c r="M49" s="63">
        <f t="shared" si="2"/>
        <v>1.7207102067513309</v>
      </c>
      <c r="O49" s="141">
        <f t="shared" si="3"/>
        <v>0.41267143486867086</v>
      </c>
      <c r="Q49" s="63">
        <f t="shared" si="4"/>
        <v>0.14290505650762711</v>
      </c>
      <c r="S49" s="63">
        <f t="shared" si="5"/>
        <v>0.25890596283347261</v>
      </c>
      <c r="U49" s="63">
        <f t="shared" si="6"/>
        <v>5.6601019288100345E-2</v>
      </c>
    </row>
    <row r="50" spans="1:23" x14ac:dyDescent="0.35">
      <c r="A50" s="140">
        <v>0.98</v>
      </c>
      <c r="B50" s="46"/>
      <c r="C50" s="46"/>
      <c r="D50" s="46"/>
      <c r="E50" s="46"/>
      <c r="F50" s="46"/>
      <c r="G50" s="46"/>
      <c r="H50" s="46"/>
      <c r="I50" s="85">
        <f t="shared" si="0"/>
        <v>2.7452982653882785</v>
      </c>
      <c r="J50" s="46"/>
      <c r="K50" s="141">
        <f t="shared" si="1"/>
        <v>2.9073652329510437E-3</v>
      </c>
      <c r="L50" s="46"/>
      <c r="M50" s="141">
        <f t="shared" si="2"/>
        <v>0.68828408270053232</v>
      </c>
      <c r="N50" s="46"/>
      <c r="O50" s="141">
        <f t="shared" si="3"/>
        <v>0.16506857394746835</v>
      </c>
      <c r="P50" s="46"/>
      <c r="Q50" s="85">
        <f t="shared" si="4"/>
        <v>5.7162022603050838E-2</v>
      </c>
      <c r="R50" s="46"/>
      <c r="S50" s="141">
        <f t="shared" si="5"/>
        <v>0.10356238513338903</v>
      </c>
      <c r="U50" s="141">
        <f t="shared" si="6"/>
        <v>2.2640407715240139E-2</v>
      </c>
    </row>
    <row r="51" spans="1:23" x14ac:dyDescent="0.35">
      <c r="A51" s="42">
        <v>0.99</v>
      </c>
      <c r="I51" s="63">
        <f t="shared" si="0"/>
        <v>1.3726491326941392</v>
      </c>
      <c r="K51" s="63">
        <f t="shared" si="1"/>
        <v>1.4536826164755219E-3</v>
      </c>
      <c r="M51" s="63">
        <f t="shared" si="2"/>
        <v>0.34414204135026616</v>
      </c>
      <c r="O51" s="63">
        <f t="shared" si="3"/>
        <v>8.2534286973734175E-2</v>
      </c>
      <c r="Q51" s="63">
        <f t="shared" si="4"/>
        <v>2.8581011301525419E-2</v>
      </c>
      <c r="S51" s="63">
        <f t="shared" si="5"/>
        <v>5.1781192566694514E-2</v>
      </c>
      <c r="U51" s="63">
        <f t="shared" si="6"/>
        <v>1.132020385762007E-2</v>
      </c>
    </row>
    <row r="52" spans="1:23" x14ac:dyDescent="0.35">
      <c r="A52" s="154">
        <v>0.997</v>
      </c>
      <c r="I52" s="85">
        <f t="shared" si="0"/>
        <v>0.41179473980824177</v>
      </c>
      <c r="J52" s="46"/>
      <c r="K52" s="141">
        <f t="shared" si="1"/>
        <v>4.3610478494265659E-4</v>
      </c>
      <c r="L52" s="46"/>
      <c r="M52" s="141">
        <f t="shared" si="2"/>
        <v>0.10324261240507986</v>
      </c>
      <c r="N52" s="46"/>
      <c r="O52" s="141">
        <f t="shared" si="3"/>
        <v>2.4760286092120252E-2</v>
      </c>
      <c r="P52" s="46"/>
      <c r="Q52" s="85">
        <f t="shared" si="4"/>
        <v>8.5743033904576264E-3</v>
      </c>
      <c r="R52" s="46"/>
      <c r="S52" s="141">
        <f t="shared" si="5"/>
        <v>1.5534357770008356E-2</v>
      </c>
      <c r="T52" s="46"/>
      <c r="U52" s="141">
        <f t="shared" si="6"/>
        <v>3.3960611572860207E-3</v>
      </c>
    </row>
    <row r="54" spans="1:23" x14ac:dyDescent="0.35">
      <c r="A54" s="151" t="s">
        <v>217</v>
      </c>
      <c r="B54" s="152"/>
      <c r="C54" s="152"/>
      <c r="D54" s="152"/>
      <c r="E54" s="152"/>
      <c r="F54" s="249">
        <f>Devices!E33</f>
        <v>4</v>
      </c>
      <c r="G54" s="249"/>
      <c r="I54" s="139">
        <f>$I$38*F54</f>
        <v>549.05965307765518</v>
      </c>
      <c r="K54" s="139">
        <f>$K$38*F54</f>
        <v>0.58147304659020826</v>
      </c>
      <c r="M54" s="139">
        <f>$M$38*F54</f>
        <v>137.65681654010635</v>
      </c>
      <c r="O54" s="139">
        <f>$O$38*F54</f>
        <v>33.01371478949364</v>
      </c>
      <c r="Q54" s="139">
        <f>$Q$38*F54</f>
        <v>11.432404520610158</v>
      </c>
      <c r="S54" s="139">
        <f>$S$38*F54</f>
        <v>20.712477026677789</v>
      </c>
      <c r="U54" s="139">
        <f>$U$38*F54</f>
        <v>4.5280815430480237</v>
      </c>
    </row>
    <row r="55" spans="1:23" x14ac:dyDescent="0.35">
      <c r="A55" t="s">
        <v>185</v>
      </c>
      <c r="E55" s="153" t="s">
        <v>207</v>
      </c>
      <c r="F55" s="166">
        <f>F54*F46</f>
        <v>6</v>
      </c>
      <c r="G55" s="166"/>
      <c r="I55" s="174" t="s">
        <v>218</v>
      </c>
      <c r="K55" s="174" t="s">
        <v>220</v>
      </c>
      <c r="M55" s="174" t="s">
        <v>221</v>
      </c>
      <c r="O55" s="174" t="s">
        <v>207</v>
      </c>
      <c r="Q55" s="174" t="s">
        <v>219</v>
      </c>
      <c r="S55" s="174" t="s">
        <v>222</v>
      </c>
      <c r="U55" s="174" t="s">
        <v>223</v>
      </c>
    </row>
    <row r="56" spans="1:23" x14ac:dyDescent="0.35">
      <c r="A56" s="42">
        <v>0.5</v>
      </c>
      <c r="I56" s="157">
        <f t="shared" ref="I56:I61" si="7">I$54*(1-$A56)</f>
        <v>274.52982653882759</v>
      </c>
      <c r="K56" s="63">
        <f t="shared" ref="K56:K61" si="8">K$54*(1-$A56)</f>
        <v>0.29073652329510413</v>
      </c>
      <c r="M56" s="157">
        <f t="shared" ref="M56:M61" si="9">M$54*(1-$A56)</f>
        <v>68.828408270053174</v>
      </c>
      <c r="O56" s="157">
        <f t="shared" ref="O56:O61" si="10">O$54*(1-$A56)</f>
        <v>16.50685739474682</v>
      </c>
      <c r="Q56" s="157">
        <f t="shared" ref="Q56:Q61" si="11">Q$54*(1-$A56)</f>
        <v>5.7162022603050788</v>
      </c>
      <c r="S56" s="157">
        <f t="shared" ref="S56:S61" si="12">S$54*(1-$A56)</f>
        <v>10.356238513338894</v>
      </c>
      <c r="U56" s="157">
        <f t="shared" ref="U56:U61" si="13">U$54*(1-$A56)</f>
        <v>2.2640407715240118</v>
      </c>
    </row>
    <row r="57" spans="1:23" x14ac:dyDescent="0.35">
      <c r="A57" s="42">
        <v>0.9</v>
      </c>
      <c r="I57" s="157">
        <f t="shared" si="7"/>
        <v>54.905965307765506</v>
      </c>
      <c r="K57" s="63">
        <f t="shared" si="8"/>
        <v>5.8147304659020814E-2</v>
      </c>
      <c r="M57" s="157">
        <f t="shared" si="9"/>
        <v>13.765681654010631</v>
      </c>
      <c r="O57" s="157">
        <f t="shared" si="10"/>
        <v>3.3013714789493633</v>
      </c>
      <c r="Q57" s="157">
        <f t="shared" si="11"/>
        <v>1.1432404520610155</v>
      </c>
      <c r="S57" s="157">
        <f t="shared" si="12"/>
        <v>2.0712477026677782</v>
      </c>
      <c r="U57" s="157">
        <f t="shared" si="13"/>
        <v>0.45280815430480226</v>
      </c>
    </row>
    <row r="58" spans="1:23" x14ac:dyDescent="0.35">
      <c r="A58" s="42">
        <v>0.95</v>
      </c>
      <c r="I58" s="157">
        <f t="shared" si="7"/>
        <v>27.452982653882785</v>
      </c>
      <c r="K58" s="63">
        <f t="shared" si="8"/>
        <v>2.9073652329510438E-2</v>
      </c>
      <c r="M58" s="157">
        <f t="shared" si="9"/>
        <v>6.8828408270053236</v>
      </c>
      <c r="O58" s="157">
        <f t="shared" si="10"/>
        <v>1.6506857394746834</v>
      </c>
      <c r="Q58" s="157">
        <f t="shared" si="11"/>
        <v>0.57162022603050844</v>
      </c>
      <c r="S58" s="157">
        <f t="shared" si="12"/>
        <v>1.0356238513338905</v>
      </c>
      <c r="U58" s="157">
        <f t="shared" si="13"/>
        <v>0.22640407715240138</v>
      </c>
    </row>
    <row r="59" spans="1:23" x14ac:dyDescent="0.35">
      <c r="A59" s="140">
        <v>0.98</v>
      </c>
      <c r="B59" s="46"/>
      <c r="C59" s="46"/>
      <c r="D59" s="46"/>
      <c r="E59" s="46"/>
      <c r="F59" s="46"/>
      <c r="G59" s="46"/>
      <c r="H59" s="46"/>
      <c r="I59" s="155">
        <f t="shared" si="7"/>
        <v>10.981193061553114</v>
      </c>
      <c r="J59" s="46"/>
      <c r="K59" s="141">
        <f t="shared" si="8"/>
        <v>1.1629460931804175E-2</v>
      </c>
      <c r="L59" s="46"/>
      <c r="M59" s="141">
        <f t="shared" si="9"/>
        <v>2.7531363308021293</v>
      </c>
      <c r="N59" s="46"/>
      <c r="O59" s="156">
        <f t="shared" si="10"/>
        <v>0.6602742957898734</v>
      </c>
      <c r="P59" s="46"/>
      <c r="Q59" s="155">
        <f t="shared" si="11"/>
        <v>0.22864809041220335</v>
      </c>
      <c r="R59" s="46"/>
      <c r="S59" s="141">
        <f t="shared" si="12"/>
        <v>0.41424954053355612</v>
      </c>
      <c r="U59" s="156">
        <f t="shared" si="13"/>
        <v>9.0561630860960557E-2</v>
      </c>
      <c r="W59" s="138" t="s">
        <v>225</v>
      </c>
    </row>
    <row r="60" spans="1:23" x14ac:dyDescent="0.35">
      <c r="A60" s="42">
        <v>0.99</v>
      </c>
      <c r="I60" s="157">
        <f t="shared" si="7"/>
        <v>5.490596530776557</v>
      </c>
      <c r="K60" s="63">
        <f t="shared" si="8"/>
        <v>5.8147304659020875E-3</v>
      </c>
      <c r="M60" s="63">
        <f t="shared" si="9"/>
        <v>1.3765681654010646</v>
      </c>
      <c r="O60" s="63">
        <f t="shared" si="10"/>
        <v>0.3301371478949367</v>
      </c>
      <c r="Q60" s="63">
        <f t="shared" si="11"/>
        <v>0.11432404520610168</v>
      </c>
      <c r="S60" s="63">
        <f t="shared" si="12"/>
        <v>0.20712477026677806</v>
      </c>
      <c r="U60" s="63">
        <f t="shared" si="13"/>
        <v>4.5280815430480278E-2</v>
      </c>
    </row>
    <row r="61" spans="1:23" x14ac:dyDescent="0.35">
      <c r="A61" s="154">
        <v>0.997</v>
      </c>
      <c r="I61" s="85">
        <f t="shared" si="7"/>
        <v>1.6471789592329671</v>
      </c>
      <c r="J61" s="46"/>
      <c r="K61" s="141">
        <f t="shared" si="8"/>
        <v>1.7444191397706264E-3</v>
      </c>
      <c r="L61" s="46"/>
      <c r="M61" s="141">
        <f t="shared" si="9"/>
        <v>0.41297044962031942</v>
      </c>
      <c r="N61" s="46"/>
      <c r="O61" s="141">
        <f t="shared" si="10"/>
        <v>9.9041144368481007E-2</v>
      </c>
      <c r="P61" s="46"/>
      <c r="Q61" s="85">
        <f t="shared" si="11"/>
        <v>3.4297213561830506E-2</v>
      </c>
      <c r="R61" s="46"/>
      <c r="S61" s="141">
        <f t="shared" si="12"/>
        <v>6.2137431080033424E-2</v>
      </c>
      <c r="T61" s="46"/>
      <c r="U61" s="141">
        <f t="shared" si="13"/>
        <v>1.3584244629144083E-2</v>
      </c>
    </row>
    <row r="63" spans="1:23" x14ac:dyDescent="0.35">
      <c r="A63" s="151" t="s">
        <v>216</v>
      </c>
      <c r="B63" s="152"/>
      <c r="C63" s="152"/>
      <c r="D63" s="152"/>
      <c r="E63" s="152"/>
      <c r="F63" s="166">
        <v>7</v>
      </c>
      <c r="G63" s="166"/>
      <c r="I63" s="139">
        <f>$I$38*F63</f>
        <v>960.85439288589657</v>
      </c>
      <c r="K63" s="139">
        <f>$K$38*F63</f>
        <v>1.0175778315328645</v>
      </c>
      <c r="M63" s="139">
        <f>$M$38*F63</f>
        <v>240.89942894518612</v>
      </c>
      <c r="O63" s="139">
        <f>$O$38*F63</f>
        <v>57.774000881613873</v>
      </c>
      <c r="Q63" s="139">
        <f>$Q$38*F63</f>
        <v>20.006707911067775</v>
      </c>
      <c r="S63" s="139">
        <f>$S$38*F63</f>
        <v>36.24683479668613</v>
      </c>
      <c r="U63" s="139">
        <f>$U$38*F63</f>
        <v>7.9241427003340412</v>
      </c>
    </row>
    <row r="64" spans="1:23" x14ac:dyDescent="0.35">
      <c r="A64" t="s">
        <v>185</v>
      </c>
      <c r="E64" s="153" t="s">
        <v>207</v>
      </c>
      <c r="F64" s="166">
        <f>F63*F46</f>
        <v>10.5</v>
      </c>
      <c r="G64" s="166"/>
      <c r="I64" s="174" t="s">
        <v>218</v>
      </c>
      <c r="K64" s="174" t="s">
        <v>220</v>
      </c>
      <c r="M64" s="174" t="s">
        <v>221</v>
      </c>
      <c r="O64" s="174" t="s">
        <v>207</v>
      </c>
      <c r="Q64" s="174" t="s">
        <v>219</v>
      </c>
      <c r="S64" s="174" t="s">
        <v>222</v>
      </c>
      <c r="U64" s="174" t="s">
        <v>223</v>
      </c>
    </row>
    <row r="65" spans="1:21" x14ac:dyDescent="0.35">
      <c r="A65" s="42">
        <v>0.5</v>
      </c>
      <c r="I65" s="157">
        <f t="shared" ref="I65:I70" si="14">I$63*(1-$A65)</f>
        <v>480.42719644294829</v>
      </c>
      <c r="K65" s="63">
        <f t="shared" ref="K65:K70" si="15">K$63*(1-$A65)</f>
        <v>0.50878891576643226</v>
      </c>
      <c r="M65" s="157">
        <f t="shared" ref="M65:M70" si="16">M$63*(1-$A65)</f>
        <v>120.44971447259306</v>
      </c>
      <c r="O65" s="157">
        <f t="shared" ref="O65:O70" si="17">O$63*(1-$A65)</f>
        <v>28.887000440806936</v>
      </c>
      <c r="Q65" s="157">
        <f t="shared" ref="Q65:Q70" si="18">Q$63*(1-$A65)</f>
        <v>10.003353955533887</v>
      </c>
      <c r="S65" s="157">
        <f t="shared" ref="S65:S70" si="19">S$63*(1-$A65)</f>
        <v>18.123417398343065</v>
      </c>
      <c r="U65" s="157">
        <f t="shared" ref="U65:U70" si="20">U$63*(1-$A65)</f>
        <v>3.9620713501670206</v>
      </c>
    </row>
    <row r="66" spans="1:21" x14ac:dyDescent="0.35">
      <c r="A66" s="42">
        <v>0.9</v>
      </c>
      <c r="I66" s="157">
        <f t="shared" si="14"/>
        <v>96.08543928858964</v>
      </c>
      <c r="K66" s="63">
        <f t="shared" si="15"/>
        <v>0.10175778315328643</v>
      </c>
      <c r="M66" s="157">
        <f t="shared" si="16"/>
        <v>24.089942894518607</v>
      </c>
      <c r="O66" s="157">
        <f t="shared" si="17"/>
        <v>5.7774000881613858</v>
      </c>
      <c r="Q66" s="157">
        <f t="shared" si="18"/>
        <v>2.0006707911067769</v>
      </c>
      <c r="S66" s="157">
        <f t="shared" si="19"/>
        <v>3.624683479668612</v>
      </c>
      <c r="U66" s="157">
        <f t="shared" si="20"/>
        <v>0.79241427003340392</v>
      </c>
    </row>
    <row r="67" spans="1:21" x14ac:dyDescent="0.35">
      <c r="A67" s="42">
        <v>0.95</v>
      </c>
      <c r="I67" s="157">
        <f t="shared" si="14"/>
        <v>48.04271964429487</v>
      </c>
      <c r="K67" s="63">
        <f t="shared" si="15"/>
        <v>5.087889157664327E-2</v>
      </c>
      <c r="M67" s="157">
        <f t="shared" si="16"/>
        <v>12.044971447259316</v>
      </c>
      <c r="O67" s="157">
        <f t="shared" si="17"/>
        <v>2.888700044080696</v>
      </c>
      <c r="Q67" s="157">
        <f t="shared" si="18"/>
        <v>1.0003353955533896</v>
      </c>
      <c r="S67" s="157">
        <f t="shared" si="19"/>
        <v>1.812341739834308</v>
      </c>
      <c r="U67" s="157">
        <f t="shared" si="20"/>
        <v>0.39620713501670241</v>
      </c>
    </row>
    <row r="68" spans="1:21" x14ac:dyDescent="0.35">
      <c r="A68" s="140">
        <v>0.98</v>
      </c>
      <c r="B68" s="46"/>
      <c r="C68" s="46"/>
      <c r="D68" s="46"/>
      <c r="E68" s="46"/>
      <c r="F68" s="46"/>
      <c r="G68" s="46"/>
      <c r="H68" s="46"/>
      <c r="I68" s="155">
        <f t="shared" si="14"/>
        <v>19.217087857717949</v>
      </c>
      <c r="J68" s="46"/>
      <c r="K68" s="141">
        <f t="shared" si="15"/>
        <v>2.0351556630657307E-2</v>
      </c>
      <c r="L68" s="46"/>
      <c r="M68" s="141">
        <f t="shared" si="16"/>
        <v>4.8179885789037264</v>
      </c>
      <c r="N68" s="46"/>
      <c r="O68" s="156">
        <f t="shared" si="17"/>
        <v>1.1554800176322786</v>
      </c>
      <c r="P68" s="46"/>
      <c r="Q68" s="155">
        <f t="shared" si="18"/>
        <v>0.40013415822135584</v>
      </c>
      <c r="R68" s="46"/>
      <c r="S68" s="141">
        <f t="shared" si="19"/>
        <v>0.72493669593372323</v>
      </c>
      <c r="U68" s="156">
        <f t="shared" si="20"/>
        <v>0.15848285400668097</v>
      </c>
    </row>
    <row r="69" spans="1:21" x14ac:dyDescent="0.35">
      <c r="A69" s="42">
        <v>0.99</v>
      </c>
      <c r="I69" s="157">
        <f t="shared" si="14"/>
        <v>9.6085439288589747</v>
      </c>
      <c r="K69" s="63">
        <f t="shared" si="15"/>
        <v>1.0175778315328654E-2</v>
      </c>
      <c r="M69" s="63">
        <f t="shared" si="16"/>
        <v>2.4089942894518632</v>
      </c>
      <c r="O69" s="63">
        <f t="shared" si="17"/>
        <v>0.57774000881613929</v>
      </c>
      <c r="Q69" s="63">
        <f t="shared" si="18"/>
        <v>0.20006707911067792</v>
      </c>
      <c r="S69" s="63">
        <f t="shared" si="19"/>
        <v>0.36246834796686161</v>
      </c>
      <c r="U69" s="63">
        <f t="shared" si="20"/>
        <v>7.9241427003340484E-2</v>
      </c>
    </row>
    <row r="70" spans="1:21" x14ac:dyDescent="0.35">
      <c r="A70" s="154">
        <v>0.997</v>
      </c>
      <c r="I70" s="85">
        <f t="shared" si="14"/>
        <v>2.8825631786576924</v>
      </c>
      <c r="J70" s="46"/>
      <c r="K70" s="141">
        <f t="shared" si="15"/>
        <v>3.0527334945985962E-3</v>
      </c>
      <c r="L70" s="46"/>
      <c r="M70" s="141">
        <f t="shared" si="16"/>
        <v>0.72269828683555903</v>
      </c>
      <c r="N70" s="46"/>
      <c r="O70" s="141">
        <f t="shared" si="17"/>
        <v>0.17332200264484177</v>
      </c>
      <c r="P70" s="46"/>
      <c r="Q70" s="85">
        <f t="shared" si="18"/>
        <v>6.0020123733203375E-2</v>
      </c>
      <c r="R70" s="46"/>
      <c r="S70" s="141">
        <f t="shared" si="19"/>
        <v>0.10874050439005849</v>
      </c>
      <c r="T70" s="46"/>
      <c r="U70" s="141">
        <f t="shared" si="20"/>
        <v>2.3772428101002146E-2</v>
      </c>
    </row>
    <row r="72" spans="1:21" x14ac:dyDescent="0.35">
      <c r="A72" s="151" t="s">
        <v>224</v>
      </c>
      <c r="B72" s="152"/>
      <c r="C72" s="152"/>
      <c r="D72" s="152"/>
      <c r="E72" s="152"/>
      <c r="F72" s="165">
        <v>77</v>
      </c>
      <c r="G72" s="165"/>
      <c r="I72" s="139">
        <f>$I$38*F72</f>
        <v>10569.398321744862</v>
      </c>
      <c r="K72" s="139">
        <f>$K$38*F72</f>
        <v>11.193356146861509</v>
      </c>
      <c r="M72" s="139">
        <f>$M$38*F72</f>
        <v>2649.893718397047</v>
      </c>
      <c r="O72" s="139">
        <f>$O$38*F72</f>
        <v>635.51400969775261</v>
      </c>
      <c r="Q72" s="139">
        <f>$Q$38*F72</f>
        <v>220.07378702174555</v>
      </c>
      <c r="S72" s="139">
        <f>$S$38*F72</f>
        <v>398.71518276354743</v>
      </c>
      <c r="U72" s="139">
        <f>$U$38*F72</f>
        <v>87.16556970367445</v>
      </c>
    </row>
    <row r="73" spans="1:21" x14ac:dyDescent="0.35">
      <c r="A73" t="s">
        <v>185</v>
      </c>
      <c r="E73" s="153" t="s">
        <v>207</v>
      </c>
      <c r="F73" s="165">
        <f>F72*F46</f>
        <v>115.5</v>
      </c>
      <c r="G73" s="165"/>
      <c r="I73" s="174" t="s">
        <v>218</v>
      </c>
      <c r="K73" s="174" t="s">
        <v>220</v>
      </c>
      <c r="M73" s="174" t="s">
        <v>221</v>
      </c>
      <c r="O73" s="174" t="s">
        <v>207</v>
      </c>
      <c r="Q73" s="174" t="s">
        <v>219</v>
      </c>
      <c r="S73" s="174" t="s">
        <v>222</v>
      </c>
      <c r="U73" s="174" t="s">
        <v>223</v>
      </c>
    </row>
    <row r="74" spans="1:21" x14ac:dyDescent="0.35">
      <c r="A74" s="42">
        <v>0.5</v>
      </c>
      <c r="I74" s="157">
        <f t="shared" ref="I74:I79" si="21">I$72*(1-$A74)</f>
        <v>5284.6991608724311</v>
      </c>
      <c r="K74" s="157">
        <f t="shared" ref="K74:K79" si="22">K$72*(1-$A74)</f>
        <v>5.5966780734307546</v>
      </c>
      <c r="M74" s="157">
        <f t="shared" ref="M74:M79" si="23">M$72*(1-$A74)</f>
        <v>1324.9468591985235</v>
      </c>
      <c r="O74" s="157">
        <f t="shared" ref="O74:O79" si="24">O$72*(1-$A74)</f>
        <v>317.75700484887631</v>
      </c>
      <c r="Q74" s="157">
        <f t="shared" ref="Q74:Q79" si="25">Q$72*(1-$A74)</f>
        <v>110.03689351087277</v>
      </c>
      <c r="S74" s="157">
        <f t="shared" ref="S74:S79" si="26">S$72*(1-$A74)</f>
        <v>199.35759138177372</v>
      </c>
      <c r="U74" s="157">
        <f t="shared" ref="U74:U79" si="27">U$72*(1-$A74)</f>
        <v>43.582784851837225</v>
      </c>
    </row>
    <row r="75" spans="1:21" x14ac:dyDescent="0.35">
      <c r="A75" s="42">
        <v>0.9</v>
      </c>
      <c r="I75" s="157">
        <f t="shared" si="21"/>
        <v>1056.9398321744859</v>
      </c>
      <c r="K75" s="63">
        <f t="shared" si="22"/>
        <v>1.1193356146861506</v>
      </c>
      <c r="M75" s="157">
        <f t="shared" si="23"/>
        <v>264.98937183970463</v>
      </c>
      <c r="O75" s="157">
        <f t="shared" si="24"/>
        <v>63.551400969775244</v>
      </c>
      <c r="Q75" s="157">
        <f t="shared" si="25"/>
        <v>22.007378702174549</v>
      </c>
      <c r="S75" s="157">
        <f t="shared" si="26"/>
        <v>39.871518276354735</v>
      </c>
      <c r="U75" s="157">
        <f t="shared" si="27"/>
        <v>8.7165569703674439</v>
      </c>
    </row>
    <row r="76" spans="1:21" x14ac:dyDescent="0.35">
      <c r="A76" s="42">
        <v>0.95</v>
      </c>
      <c r="I76" s="157">
        <f t="shared" si="21"/>
        <v>528.46991608724363</v>
      </c>
      <c r="K76" s="63">
        <f t="shared" si="22"/>
        <v>0.55966780734307597</v>
      </c>
      <c r="M76" s="157">
        <f t="shared" si="23"/>
        <v>132.49468591985246</v>
      </c>
      <c r="O76" s="157">
        <f t="shared" si="24"/>
        <v>31.775700484887658</v>
      </c>
      <c r="Q76" s="157">
        <f t="shared" si="25"/>
        <v>11.003689351087287</v>
      </c>
      <c r="S76" s="157">
        <f t="shared" si="26"/>
        <v>19.935759138177389</v>
      </c>
      <c r="U76" s="157">
        <f t="shared" si="27"/>
        <v>4.3582784851837264</v>
      </c>
    </row>
    <row r="77" spans="1:21" x14ac:dyDescent="0.35">
      <c r="A77" s="140">
        <v>0.98</v>
      </c>
      <c r="B77" s="46"/>
      <c r="C77" s="46"/>
      <c r="D77" s="46"/>
      <c r="E77" s="46"/>
      <c r="F77" s="46"/>
      <c r="G77" s="46"/>
      <c r="H77" s="46"/>
      <c r="I77" s="155">
        <f t="shared" si="21"/>
        <v>211.38796643489744</v>
      </c>
      <c r="J77" s="46"/>
      <c r="K77" s="141">
        <f t="shared" si="22"/>
        <v>0.22386712293723038</v>
      </c>
      <c r="L77" s="46"/>
      <c r="M77" s="156">
        <f t="shared" si="23"/>
        <v>52.997874367940987</v>
      </c>
      <c r="N77" s="46"/>
      <c r="O77" s="156">
        <f t="shared" si="24"/>
        <v>12.710280193955063</v>
      </c>
      <c r="P77" s="46"/>
      <c r="Q77" s="155">
        <f t="shared" si="25"/>
        <v>4.4014757404349147</v>
      </c>
      <c r="R77" s="46"/>
      <c r="S77" s="156">
        <f t="shared" si="26"/>
        <v>7.9743036552709556</v>
      </c>
      <c r="U77" s="156">
        <f t="shared" si="27"/>
        <v>1.7433113940734906</v>
      </c>
    </row>
    <row r="78" spans="1:21" x14ac:dyDescent="0.35">
      <c r="A78" s="42">
        <v>0.99</v>
      </c>
      <c r="I78" s="157">
        <f t="shared" si="21"/>
        <v>105.69398321744872</v>
      </c>
      <c r="K78" s="63">
        <f t="shared" si="22"/>
        <v>0.11193356146861519</v>
      </c>
      <c r="M78" s="157">
        <f t="shared" si="23"/>
        <v>26.498937183970494</v>
      </c>
      <c r="O78" s="157">
        <f t="shared" si="24"/>
        <v>6.3551400969775313</v>
      </c>
      <c r="Q78" s="157">
        <f t="shared" si="25"/>
        <v>2.2007378702174574</v>
      </c>
      <c r="S78" s="157">
        <f t="shared" si="26"/>
        <v>3.9871518276354778</v>
      </c>
      <c r="U78" s="157">
        <f t="shared" si="27"/>
        <v>0.87165569703674528</v>
      </c>
    </row>
    <row r="79" spans="1:21" x14ac:dyDescent="0.35">
      <c r="A79" s="154">
        <v>0.997</v>
      </c>
      <c r="I79" s="155">
        <f t="shared" si="21"/>
        <v>31.708194965234615</v>
      </c>
      <c r="K79" s="141">
        <f t="shared" si="22"/>
        <v>3.358006844058456E-2</v>
      </c>
      <c r="M79" s="141">
        <f t="shared" si="23"/>
        <v>7.9496811551911479</v>
      </c>
      <c r="O79" s="156">
        <f t="shared" si="24"/>
        <v>1.9065420290932595</v>
      </c>
      <c r="Q79" s="85">
        <f t="shared" si="25"/>
        <v>0.66022136106523721</v>
      </c>
      <c r="S79" s="141">
        <f t="shared" si="26"/>
        <v>1.1961455482906433</v>
      </c>
      <c r="U79" s="156">
        <f t="shared" si="27"/>
        <v>0.26149670911102357</v>
      </c>
    </row>
    <row r="81" spans="1:21" x14ac:dyDescent="0.35">
      <c r="A81" s="151" t="s">
        <v>227</v>
      </c>
      <c r="B81" s="152"/>
      <c r="C81" s="152"/>
      <c r="D81" s="152"/>
      <c r="E81" s="152"/>
      <c r="F81" s="166">
        <v>2</v>
      </c>
      <c r="G81" s="166"/>
      <c r="I81" s="139">
        <f>$I$38*F81</f>
        <v>274.52982653882759</v>
      </c>
      <c r="K81" s="139">
        <f>$K$38*F81</f>
        <v>0.29073652329510413</v>
      </c>
      <c r="M81" s="139">
        <f>$M$38*F81</f>
        <v>68.828408270053174</v>
      </c>
      <c r="O81" s="139">
        <f>$O$38*F81</f>
        <v>16.50685739474682</v>
      </c>
      <c r="Q81" s="139">
        <f>$Q$38*F81</f>
        <v>5.7162022603050788</v>
      </c>
      <c r="S81" s="139">
        <f>$S$38*F81</f>
        <v>10.356238513338894</v>
      </c>
      <c r="U81" s="139">
        <f>$U$38*F81</f>
        <v>2.2640407715240118</v>
      </c>
    </row>
    <row r="82" spans="1:21" x14ac:dyDescent="0.35">
      <c r="A82" t="s">
        <v>185</v>
      </c>
      <c r="E82" s="153" t="s">
        <v>207</v>
      </c>
      <c r="F82" s="166">
        <f>F81*F46</f>
        <v>3</v>
      </c>
      <c r="G82" s="166"/>
      <c r="I82" s="174" t="s">
        <v>218</v>
      </c>
      <c r="K82" s="174" t="s">
        <v>220</v>
      </c>
      <c r="M82" s="174" t="s">
        <v>221</v>
      </c>
      <c r="O82" s="174" t="s">
        <v>207</v>
      </c>
      <c r="Q82" s="174" t="s">
        <v>219</v>
      </c>
      <c r="S82" s="174" t="s">
        <v>222</v>
      </c>
      <c r="U82" s="174" t="s">
        <v>223</v>
      </c>
    </row>
    <row r="83" spans="1:21" x14ac:dyDescent="0.35">
      <c r="A83" s="42">
        <v>0.5</v>
      </c>
      <c r="I83" s="157">
        <f t="shared" ref="I83:I88" si="28">I$81*(1-$A83)</f>
        <v>137.2649132694138</v>
      </c>
      <c r="K83" s="158">
        <f t="shared" ref="K83:K88" si="29">K$81*(1-$A83)</f>
        <v>0.14536826164755207</v>
      </c>
      <c r="M83" s="157">
        <f t="shared" ref="M83:M88" si="30">M$81*(1-$A83)</f>
        <v>34.414204135026587</v>
      </c>
      <c r="O83" s="157">
        <f t="shared" ref="O83:O88" si="31">O$81*(1-$A83)</f>
        <v>8.2534286973734101</v>
      </c>
      <c r="Q83" s="157">
        <f t="shared" ref="Q83:Q88" si="32">Q$81*(1-$A83)</f>
        <v>2.8581011301525394</v>
      </c>
      <c r="S83" s="157">
        <f t="shared" ref="S83:S88" si="33">S$81*(1-$A83)</f>
        <v>5.1781192566694472</v>
      </c>
      <c r="U83" s="157">
        <f t="shared" ref="U83:U88" si="34">U$81*(1-$A83)</f>
        <v>1.1320203857620059</v>
      </c>
    </row>
    <row r="84" spans="1:21" x14ac:dyDescent="0.35">
      <c r="A84" s="42">
        <v>0.9</v>
      </c>
      <c r="I84" s="157">
        <f t="shared" si="28"/>
        <v>27.452982653882753</v>
      </c>
      <c r="K84" s="158">
        <f t="shared" si="29"/>
        <v>2.9073652329510407E-2</v>
      </c>
      <c r="M84" s="157">
        <f t="shared" si="30"/>
        <v>6.8828408270053156</v>
      </c>
      <c r="O84" s="157">
        <f t="shared" si="31"/>
        <v>1.6506857394746817</v>
      </c>
      <c r="Q84" s="157">
        <f t="shared" si="32"/>
        <v>0.57162022603050777</v>
      </c>
      <c r="S84" s="157">
        <f t="shared" si="33"/>
        <v>1.0356238513338891</v>
      </c>
      <c r="U84" s="157">
        <f t="shared" si="34"/>
        <v>0.22640407715240113</v>
      </c>
    </row>
    <row r="85" spans="1:21" x14ac:dyDescent="0.35">
      <c r="A85" s="42">
        <v>0.95</v>
      </c>
      <c r="I85" s="157">
        <f t="shared" si="28"/>
        <v>13.726491326941392</v>
      </c>
      <c r="K85" s="158">
        <f t="shared" si="29"/>
        <v>1.4536826164755219E-2</v>
      </c>
      <c r="M85" s="158">
        <f t="shared" si="30"/>
        <v>3.4414204135026618</v>
      </c>
      <c r="O85" s="157">
        <f t="shared" si="31"/>
        <v>0.82534286973734172</v>
      </c>
      <c r="Q85" s="158">
        <f t="shared" si="32"/>
        <v>0.28581011301525422</v>
      </c>
      <c r="S85" s="158">
        <f t="shared" si="33"/>
        <v>0.51781192566694523</v>
      </c>
      <c r="U85" s="158">
        <f t="shared" si="34"/>
        <v>0.11320203857620069</v>
      </c>
    </row>
    <row r="86" spans="1:21" x14ac:dyDescent="0.35">
      <c r="A86" s="140">
        <v>0.98</v>
      </c>
      <c r="B86" s="46"/>
      <c r="C86" s="46"/>
      <c r="D86" s="46"/>
      <c r="E86" s="46"/>
      <c r="F86" s="46"/>
      <c r="G86" s="46"/>
      <c r="H86" s="46"/>
      <c r="I86" s="155">
        <f t="shared" si="28"/>
        <v>5.490596530776557</v>
      </c>
      <c r="J86" s="46"/>
      <c r="K86" s="164">
        <f t="shared" si="29"/>
        <v>5.8147304659020875E-3</v>
      </c>
      <c r="L86" s="46"/>
      <c r="M86" s="164">
        <f t="shared" si="30"/>
        <v>1.3765681654010646</v>
      </c>
      <c r="N86" s="46"/>
      <c r="O86" s="164">
        <f t="shared" si="31"/>
        <v>0.3301371478949367</v>
      </c>
      <c r="P86" s="46"/>
      <c r="Q86" s="163">
        <f t="shared" si="32"/>
        <v>0.11432404520610168</v>
      </c>
      <c r="R86" s="46"/>
      <c r="S86" s="164">
        <f t="shared" si="33"/>
        <v>0.20712477026677806</v>
      </c>
      <c r="U86" s="164">
        <f t="shared" si="34"/>
        <v>4.5280815430480278E-2</v>
      </c>
    </row>
    <row r="87" spans="1:21" x14ac:dyDescent="0.35">
      <c r="A87" s="42">
        <v>0.99</v>
      </c>
      <c r="I87" s="158">
        <f t="shared" si="28"/>
        <v>2.7452982653882785</v>
      </c>
      <c r="K87" s="158">
        <f t="shared" si="29"/>
        <v>2.9073652329510437E-3</v>
      </c>
      <c r="M87" s="158">
        <f t="shared" si="30"/>
        <v>0.68828408270053232</v>
      </c>
      <c r="O87" s="158">
        <f t="shared" si="31"/>
        <v>0.16506857394746835</v>
      </c>
      <c r="Q87" s="158">
        <f t="shared" si="32"/>
        <v>5.7162022603050838E-2</v>
      </c>
      <c r="S87" s="158">
        <f t="shared" si="33"/>
        <v>0.10356238513338903</v>
      </c>
      <c r="U87" s="158">
        <f t="shared" si="34"/>
        <v>2.2640407715240139E-2</v>
      </c>
    </row>
    <row r="88" spans="1:21" x14ac:dyDescent="0.35">
      <c r="A88" s="154">
        <v>0.997</v>
      </c>
      <c r="I88" s="85">
        <f t="shared" si="28"/>
        <v>0.82358947961648354</v>
      </c>
      <c r="J88" s="46"/>
      <c r="K88" s="164">
        <f t="shared" si="29"/>
        <v>8.7220956988531319E-4</v>
      </c>
      <c r="L88" s="46"/>
      <c r="M88" s="141">
        <f t="shared" si="30"/>
        <v>0.20648522481015971</v>
      </c>
      <c r="N88" s="46"/>
      <c r="O88" s="164">
        <f t="shared" si="31"/>
        <v>4.9520572184240504E-2</v>
      </c>
      <c r="P88" s="46"/>
      <c r="Q88" s="163">
        <f t="shared" si="32"/>
        <v>1.7148606780915253E-2</v>
      </c>
      <c r="R88" s="46"/>
      <c r="S88" s="164">
        <f t="shared" si="33"/>
        <v>3.1068715540016712E-2</v>
      </c>
      <c r="T88" s="46"/>
      <c r="U88" s="164">
        <f t="shared" si="34"/>
        <v>6.7921223145720414E-3</v>
      </c>
    </row>
    <row r="90" spans="1:21" x14ac:dyDescent="0.35">
      <c r="A90" s="151" t="s">
        <v>228</v>
      </c>
      <c r="B90" s="152"/>
      <c r="C90" s="152"/>
      <c r="D90" s="152"/>
      <c r="E90" s="152"/>
      <c r="F90" s="166">
        <v>40</v>
      </c>
      <c r="G90" s="166"/>
      <c r="I90" s="139">
        <f>$I$38*F90</f>
        <v>5490.5965307765518</v>
      </c>
      <c r="K90" s="139">
        <f>$K$38*F90</f>
        <v>5.8147304659020822</v>
      </c>
      <c r="M90" s="139">
        <f>$M$38*F90</f>
        <v>1376.5681654010634</v>
      </c>
      <c r="O90" s="139">
        <f>$O$38*F90</f>
        <v>330.13714789493639</v>
      </c>
      <c r="Q90" s="139">
        <f>$Q$38*F90</f>
        <v>114.32404520610157</v>
      </c>
      <c r="S90" s="139">
        <f>$S$38*F90</f>
        <v>207.12477026677789</v>
      </c>
      <c r="U90" s="139">
        <f>$U$38*F90</f>
        <v>45.280815430480239</v>
      </c>
    </row>
    <row r="91" spans="1:21" x14ac:dyDescent="0.35">
      <c r="A91" t="s">
        <v>185</v>
      </c>
      <c r="E91" s="153" t="s">
        <v>207</v>
      </c>
      <c r="F91" s="166">
        <f>F90*F46</f>
        <v>60</v>
      </c>
      <c r="G91" s="166"/>
      <c r="I91" s="174" t="s">
        <v>218</v>
      </c>
      <c r="K91" s="174" t="s">
        <v>220</v>
      </c>
      <c r="M91" s="174" t="s">
        <v>221</v>
      </c>
      <c r="O91" s="174" t="s">
        <v>207</v>
      </c>
      <c r="Q91" s="174" t="s">
        <v>219</v>
      </c>
      <c r="S91" s="174" t="s">
        <v>222</v>
      </c>
      <c r="U91" s="174" t="s">
        <v>223</v>
      </c>
    </row>
    <row r="92" spans="1:21" x14ac:dyDescent="0.35">
      <c r="A92" s="42">
        <v>0.5</v>
      </c>
      <c r="I92" s="157">
        <f t="shared" ref="I92:I97" si="35">I$90*(1-$A92)</f>
        <v>2745.2982653882759</v>
      </c>
      <c r="K92" s="158">
        <f t="shared" ref="K92:K97" si="36">K$90*(1-$A92)</f>
        <v>2.9073652329510411</v>
      </c>
      <c r="M92" s="157">
        <f t="shared" ref="M92:M97" si="37">M$90*(1-$A92)</f>
        <v>688.28408270053171</v>
      </c>
      <c r="O92" s="157">
        <f t="shared" ref="O92:O97" si="38">O$90*(1-$A92)</f>
        <v>165.0685739474682</v>
      </c>
      <c r="Q92" s="157">
        <f t="shared" ref="Q92:Q97" si="39">Q$90*(1-$A92)</f>
        <v>57.162022603050787</v>
      </c>
      <c r="S92" s="157">
        <f t="shared" ref="S92:S97" si="40">S$90*(1-$A92)</f>
        <v>103.56238513338894</v>
      </c>
      <c r="U92" s="157">
        <f t="shared" ref="U92:U97" si="41">U$90*(1-$A92)</f>
        <v>22.640407715240119</v>
      </c>
    </row>
    <row r="93" spans="1:21" x14ac:dyDescent="0.35">
      <c r="A93" s="42">
        <v>0.9</v>
      </c>
      <c r="I93" s="157">
        <f t="shared" si="35"/>
        <v>549.05965307765507</v>
      </c>
      <c r="K93" s="158">
        <f t="shared" si="36"/>
        <v>0.58147304659020804</v>
      </c>
      <c r="M93" s="157">
        <f t="shared" si="37"/>
        <v>137.65681654010632</v>
      </c>
      <c r="O93" s="157">
        <f t="shared" si="38"/>
        <v>33.013714789493633</v>
      </c>
      <c r="Q93" s="157">
        <f t="shared" si="39"/>
        <v>11.432404520610154</v>
      </c>
      <c r="S93" s="157">
        <f t="shared" si="40"/>
        <v>20.712477026677785</v>
      </c>
      <c r="U93" s="157">
        <f t="shared" si="41"/>
        <v>4.5280815430480228</v>
      </c>
    </row>
    <row r="94" spans="1:21" x14ac:dyDescent="0.35">
      <c r="A94" s="42">
        <v>0.95</v>
      </c>
      <c r="I94" s="157">
        <f t="shared" si="35"/>
        <v>274.52982653882782</v>
      </c>
      <c r="K94" s="158">
        <f t="shared" si="36"/>
        <v>0.29073652329510435</v>
      </c>
      <c r="M94" s="157">
        <f t="shared" si="37"/>
        <v>68.828408270053231</v>
      </c>
      <c r="O94" s="157">
        <f t="shared" si="38"/>
        <v>16.506857394746834</v>
      </c>
      <c r="Q94" s="157">
        <f t="shared" si="39"/>
        <v>5.7162022603050842</v>
      </c>
      <c r="S94" s="157">
        <f t="shared" si="40"/>
        <v>10.356238513338903</v>
      </c>
      <c r="U94" s="157">
        <f t="shared" si="41"/>
        <v>2.2640407715240141</v>
      </c>
    </row>
    <row r="95" spans="1:21" x14ac:dyDescent="0.35">
      <c r="A95" s="140">
        <v>0.98</v>
      </c>
      <c r="B95" s="46"/>
      <c r="C95" s="46"/>
      <c r="D95" s="46"/>
      <c r="E95" s="46"/>
      <c r="F95" s="46"/>
      <c r="G95" s="46"/>
      <c r="H95" s="46"/>
      <c r="I95" s="155">
        <f t="shared" si="35"/>
        <v>109.81193061553114</v>
      </c>
      <c r="J95" s="46"/>
      <c r="K95" s="163">
        <f t="shared" si="36"/>
        <v>0.11629460931804175</v>
      </c>
      <c r="L95" s="46"/>
      <c r="M95" s="155">
        <f t="shared" si="37"/>
        <v>27.531363308021295</v>
      </c>
      <c r="N95" s="46"/>
      <c r="O95" s="155">
        <f t="shared" si="38"/>
        <v>6.6027429578987338</v>
      </c>
      <c r="P95" s="46"/>
      <c r="Q95" s="155">
        <f t="shared" si="39"/>
        <v>2.2864809041220333</v>
      </c>
      <c r="R95" s="46"/>
      <c r="S95" s="155">
        <f t="shared" si="40"/>
        <v>4.1424954053355618</v>
      </c>
      <c r="U95" s="155">
        <f t="shared" si="41"/>
        <v>0.90561630860960562</v>
      </c>
    </row>
    <row r="96" spans="1:21" x14ac:dyDescent="0.35">
      <c r="A96" s="42">
        <v>0.99</v>
      </c>
      <c r="I96" s="157">
        <f t="shared" si="35"/>
        <v>54.90596530776557</v>
      </c>
      <c r="K96" s="158">
        <f t="shared" si="36"/>
        <v>5.8147304659020876E-2</v>
      </c>
      <c r="M96" s="157">
        <f t="shared" si="37"/>
        <v>13.765681654010647</v>
      </c>
      <c r="O96" s="157">
        <f t="shared" si="38"/>
        <v>3.3013714789493669</v>
      </c>
      <c r="Q96" s="157">
        <f t="shared" si="39"/>
        <v>1.1432404520610167</v>
      </c>
      <c r="S96" s="157">
        <f t="shared" si="40"/>
        <v>2.0712477026677809</v>
      </c>
      <c r="U96" s="157">
        <f t="shared" si="41"/>
        <v>0.45280815430480281</v>
      </c>
    </row>
    <row r="97" spans="1:21" x14ac:dyDescent="0.35">
      <c r="A97" s="154">
        <v>0.997</v>
      </c>
      <c r="I97" s="155">
        <f t="shared" si="35"/>
        <v>16.471789592329671</v>
      </c>
      <c r="J97" s="46"/>
      <c r="K97" s="163">
        <f t="shared" si="36"/>
        <v>1.7444191397706262E-2</v>
      </c>
      <c r="L97" s="46"/>
      <c r="M97" s="141">
        <f t="shared" si="37"/>
        <v>4.1297044962031944</v>
      </c>
      <c r="N97" s="46"/>
      <c r="O97" s="85">
        <f t="shared" si="38"/>
        <v>0.99041144368481004</v>
      </c>
      <c r="P97" s="46"/>
      <c r="Q97" s="85">
        <f t="shared" si="39"/>
        <v>0.34297213561830503</v>
      </c>
      <c r="R97" s="46"/>
      <c r="S97" s="163">
        <f t="shared" si="40"/>
        <v>0.62137431080033423</v>
      </c>
      <c r="T97" s="46"/>
      <c r="U97" s="164">
        <f t="shared" si="41"/>
        <v>0.13584244629144085</v>
      </c>
    </row>
  </sheetData>
  <mergeCells count="3">
    <mergeCell ref="C3:D3"/>
    <mergeCell ref="C4:D4"/>
    <mergeCell ref="F12:F13"/>
  </mergeCells>
  <dataValidations count="1">
    <dataValidation type="list" allowBlank="1" showInputMessage="1" showErrorMessage="1" sqref="P25" xr:uid="{DEE44D6F-29EA-4436-85F2-32CE1CA78693}">
      <formula1>"diving bird, sea mammal, fish"</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CC8E2-8A47-4C0B-BC96-7692AB8EEDB1}">
  <sheetPr codeName="Sheet17"/>
  <dimension ref="A1:W97"/>
  <sheetViews>
    <sheetView topLeftCell="A25" zoomScale="120" zoomScaleNormal="120" workbookViewId="0">
      <selection activeCell="I37" sqref="I37:U37"/>
    </sheetView>
  </sheetViews>
  <sheetFormatPr defaultRowHeight="14.5" x14ac:dyDescent="0.35"/>
  <cols>
    <col min="1" max="1" width="30.26953125" customWidth="1"/>
    <col min="2" max="2" width="7.81640625" customWidth="1"/>
    <col min="5" max="5" width="11.54296875" customWidth="1"/>
    <col min="6" max="6" width="13.7265625" customWidth="1"/>
    <col min="7" max="7" width="7.26953125" customWidth="1"/>
    <col min="8" max="8" width="6.26953125" customWidth="1"/>
    <col min="9" max="9" width="10.453125" bestFit="1" customWidth="1"/>
    <col min="10" max="10" width="2.7265625" customWidth="1"/>
    <col min="11" max="11" width="10" customWidth="1"/>
    <col min="12" max="12" width="3" customWidth="1"/>
    <col min="13" max="13" width="10.453125" customWidth="1"/>
    <col min="14" max="14" width="3" customWidth="1"/>
    <col min="15" max="15" width="10.453125" customWidth="1"/>
    <col min="16" max="16" width="3.26953125" customWidth="1"/>
    <col min="17" max="17" width="9.1796875" customWidth="1"/>
    <col min="18" max="18" width="3.81640625" customWidth="1"/>
    <col min="20" max="20" width="3.7265625" customWidth="1"/>
  </cols>
  <sheetData>
    <row r="1" spans="1:11" ht="26" x14ac:dyDescent="0.35">
      <c r="A1" s="232" t="s">
        <v>201</v>
      </c>
      <c r="B1" s="181" t="s">
        <v>238</v>
      </c>
      <c r="C1" s="182" t="s">
        <v>237</v>
      </c>
      <c r="D1" s="231" t="s">
        <v>248</v>
      </c>
      <c r="E1" s="183" t="s">
        <v>240</v>
      </c>
      <c r="F1" s="180" t="s">
        <v>241</v>
      </c>
      <c r="G1" s="237" t="s">
        <v>52</v>
      </c>
      <c r="H1" s="238" t="s">
        <v>35</v>
      </c>
    </row>
    <row r="2" spans="1:11" x14ac:dyDescent="0.35">
      <c r="A2" s="159" t="s">
        <v>192</v>
      </c>
      <c r="B2" s="159" t="str">
        <f>Devices!E2</f>
        <v>Magallanes</v>
      </c>
      <c r="C2" s="159"/>
      <c r="D2" s="145"/>
      <c r="E2" s="145"/>
      <c r="G2" s="239">
        <v>0</v>
      </c>
      <c r="H2" s="240">
        <v>0.69</v>
      </c>
    </row>
    <row r="3" spans="1:11" x14ac:dyDescent="0.35">
      <c r="F3" s="54" t="s">
        <v>53</v>
      </c>
      <c r="G3" s="241">
        <v>0.05</v>
      </c>
      <c r="H3" s="242">
        <v>0.73</v>
      </c>
      <c r="I3" s="70"/>
    </row>
    <row r="4" spans="1:11" x14ac:dyDescent="0.35">
      <c r="G4" s="241">
        <f t="shared" ref="G4:G22" si="0">G3+0.05</f>
        <v>0.1</v>
      </c>
      <c r="H4" s="242">
        <v>0.79</v>
      </c>
      <c r="K4" s="70"/>
    </row>
    <row r="5" spans="1:11" x14ac:dyDescent="0.35">
      <c r="A5" s="1" t="s">
        <v>45</v>
      </c>
      <c r="B5" s="2"/>
      <c r="C5" s="3" t="s">
        <v>46</v>
      </c>
      <c r="D5" s="3" t="s">
        <v>47</v>
      </c>
      <c r="E5" s="4"/>
      <c r="G5" s="241">
        <f t="shared" si="0"/>
        <v>0.15000000000000002</v>
      </c>
      <c r="H5" s="242">
        <v>0.88</v>
      </c>
      <c r="K5" s="83"/>
    </row>
    <row r="6" spans="1:11" x14ac:dyDescent="0.35">
      <c r="A6" s="4" t="s">
        <v>48</v>
      </c>
      <c r="B6" s="2"/>
      <c r="C6" s="15"/>
      <c r="D6" s="25" t="str">
        <f>Devices!E25</f>
        <v>years</v>
      </c>
      <c r="E6" s="26">
        <f>Devices!E26</f>
        <v>1</v>
      </c>
      <c r="G6" s="241">
        <f t="shared" si="0"/>
        <v>0.2</v>
      </c>
      <c r="H6" s="242">
        <v>0.96</v>
      </c>
      <c r="K6" s="83"/>
    </row>
    <row r="7" spans="1:11" x14ac:dyDescent="0.35">
      <c r="A7" s="4" t="s">
        <v>50</v>
      </c>
      <c r="B7" s="2"/>
      <c r="C7" s="9" t="s">
        <v>51</v>
      </c>
      <c r="D7" s="9" t="s">
        <v>6</v>
      </c>
      <c r="E7" s="27">
        <f>IF(D6="years",E6*365*24*3600,IF(D6="months",E6*30.4*24*3600,IF(D6="weeks",E6*7*24*3600)))</f>
        <v>31536000</v>
      </c>
      <c r="G7" s="241">
        <f t="shared" si="0"/>
        <v>0.25</v>
      </c>
      <c r="H7" s="242">
        <v>1</v>
      </c>
      <c r="K7" s="83"/>
    </row>
    <row r="8" spans="1:11" x14ac:dyDescent="0.35">
      <c r="A8" s="4"/>
      <c r="B8" s="2"/>
      <c r="C8" s="3"/>
      <c r="D8" s="3"/>
      <c r="E8" s="28"/>
      <c r="G8" s="241">
        <f t="shared" si="0"/>
        <v>0.3</v>
      </c>
      <c r="H8" s="242">
        <v>0.98</v>
      </c>
      <c r="K8" s="83"/>
    </row>
    <row r="9" spans="1:11" x14ac:dyDescent="0.35">
      <c r="A9" s="1" t="s">
        <v>21</v>
      </c>
      <c r="B9" s="2"/>
      <c r="C9" s="3"/>
      <c r="D9" s="5"/>
      <c r="E9" s="55"/>
      <c r="F9" s="47"/>
      <c r="G9" s="241">
        <f t="shared" si="0"/>
        <v>0.35</v>
      </c>
      <c r="H9" s="242">
        <v>0.92</v>
      </c>
      <c r="K9" s="83"/>
    </row>
    <row r="10" spans="1:11" x14ac:dyDescent="0.35">
      <c r="A10" s="4" t="s">
        <v>91</v>
      </c>
      <c r="B10" s="2"/>
      <c r="C10" s="14" t="s">
        <v>22</v>
      </c>
      <c r="D10" s="15" t="s">
        <v>23</v>
      </c>
      <c r="E10" s="16">
        <f>Devices!E4</f>
        <v>2</v>
      </c>
      <c r="F10" s="47"/>
      <c r="G10" s="241">
        <f t="shared" si="0"/>
        <v>0.39999999999999997</v>
      </c>
      <c r="H10" s="242">
        <v>0.85</v>
      </c>
      <c r="K10" s="83"/>
    </row>
    <row r="11" spans="1:11" x14ac:dyDescent="0.35">
      <c r="A11" s="4" t="s">
        <v>89</v>
      </c>
      <c r="B11" s="2"/>
      <c r="C11" s="9" t="s">
        <v>25</v>
      </c>
      <c r="D11" s="35" t="s">
        <v>23</v>
      </c>
      <c r="E11" s="245">
        <f>2*radius</f>
        <v>21</v>
      </c>
      <c r="F11" s="47"/>
      <c r="G11" s="241">
        <f t="shared" si="0"/>
        <v>0.44999999999999996</v>
      </c>
      <c r="H11" s="242">
        <v>0.8</v>
      </c>
      <c r="K11" s="83"/>
    </row>
    <row r="12" spans="1:11" x14ac:dyDescent="0.35">
      <c r="A12" s="4" t="s">
        <v>26</v>
      </c>
      <c r="B12" s="2"/>
      <c r="C12" s="14" t="s">
        <v>27</v>
      </c>
      <c r="D12" s="15" t="s">
        <v>23</v>
      </c>
      <c r="E12" s="146">
        <f>Devices!E15</f>
        <v>10.5</v>
      </c>
      <c r="F12" s="47"/>
      <c r="G12" s="241">
        <f t="shared" si="0"/>
        <v>0.49999999999999994</v>
      </c>
      <c r="H12" s="242">
        <v>0.75</v>
      </c>
      <c r="K12" s="83"/>
    </row>
    <row r="13" spans="1:11" x14ac:dyDescent="0.35">
      <c r="A13" s="4" t="s">
        <v>28</v>
      </c>
      <c r="B13" s="2"/>
      <c r="C13" s="17" t="s">
        <v>29</v>
      </c>
      <c r="D13" s="15"/>
      <c r="E13" s="18">
        <f>Devices!E6</f>
        <v>3</v>
      </c>
      <c r="F13" s="47"/>
      <c r="G13" s="241">
        <f t="shared" si="0"/>
        <v>0.54999999999999993</v>
      </c>
      <c r="H13" s="242">
        <v>0.7</v>
      </c>
      <c r="K13" s="86"/>
    </row>
    <row r="14" spans="1:11" x14ac:dyDescent="0.35">
      <c r="A14" s="13" t="s">
        <v>30</v>
      </c>
      <c r="B14" s="49"/>
      <c r="C14" s="51" t="s">
        <v>31</v>
      </c>
      <c r="D14" s="51" t="s">
        <v>23</v>
      </c>
      <c r="E14" s="72">
        <f>Devices!E17</f>
        <v>1.393</v>
      </c>
      <c r="G14" s="241">
        <f t="shared" si="0"/>
        <v>0.6</v>
      </c>
      <c r="H14" s="242">
        <v>0.64</v>
      </c>
      <c r="K14" s="83"/>
    </row>
    <row r="15" spans="1:11" x14ac:dyDescent="0.35">
      <c r="A15" s="13" t="s">
        <v>92</v>
      </c>
      <c r="B15" s="49"/>
      <c r="C15" s="57" t="s">
        <v>32</v>
      </c>
      <c r="D15" s="56" t="s">
        <v>33</v>
      </c>
      <c r="E15" s="72">
        <f>Devices!E18</f>
        <v>0.01</v>
      </c>
      <c r="G15" s="241">
        <f t="shared" si="0"/>
        <v>0.65</v>
      </c>
      <c r="H15" s="242">
        <v>0.57999999999999996</v>
      </c>
      <c r="K15" s="83"/>
    </row>
    <row r="16" spans="1:11" x14ac:dyDescent="0.35">
      <c r="A16" s="13" t="s">
        <v>34</v>
      </c>
      <c r="B16" s="49"/>
      <c r="C16" s="57" t="s">
        <v>35</v>
      </c>
      <c r="D16" s="56"/>
      <c r="E16" s="73">
        <v>0.2</v>
      </c>
      <c r="F16" s="58" t="s">
        <v>76</v>
      </c>
      <c r="G16" s="241">
        <f t="shared" si="0"/>
        <v>0.70000000000000007</v>
      </c>
      <c r="H16" s="242">
        <v>0.52</v>
      </c>
      <c r="K16" s="83"/>
    </row>
    <row r="17" spans="1:21" x14ac:dyDescent="0.35">
      <c r="A17" s="4" t="s">
        <v>36</v>
      </c>
      <c r="B17" s="2"/>
      <c r="C17" s="17" t="s">
        <v>37</v>
      </c>
      <c r="D17" s="15" t="s">
        <v>38</v>
      </c>
      <c r="E17" s="19">
        <f>Devices!E20</f>
        <v>9.98</v>
      </c>
      <c r="F17" s="59"/>
      <c r="G17" s="241">
        <f t="shared" si="0"/>
        <v>0.75000000000000011</v>
      </c>
      <c r="H17" s="242">
        <v>0.47</v>
      </c>
      <c r="K17" s="83"/>
    </row>
    <row r="18" spans="1:21" x14ac:dyDescent="0.35">
      <c r="A18" s="4" t="s">
        <v>39</v>
      </c>
      <c r="B18" s="2"/>
      <c r="C18" s="17" t="s">
        <v>40</v>
      </c>
      <c r="D18" s="15"/>
      <c r="E18" s="21">
        <f>Devices!E21</f>
        <v>0.26</v>
      </c>
      <c r="F18" s="47"/>
      <c r="G18" s="241">
        <f t="shared" si="0"/>
        <v>0.80000000000000016</v>
      </c>
      <c r="H18" s="242">
        <v>0.41</v>
      </c>
      <c r="K18" s="83"/>
    </row>
    <row r="19" spans="1:21" x14ac:dyDescent="0.35">
      <c r="A19" s="4"/>
      <c r="B19" s="2"/>
      <c r="C19" s="3"/>
      <c r="D19" s="5"/>
      <c r="E19" s="33"/>
      <c r="F19" s="47"/>
      <c r="G19" s="241">
        <f t="shared" si="0"/>
        <v>0.8500000000000002</v>
      </c>
      <c r="H19" s="242">
        <v>0.37</v>
      </c>
      <c r="K19" s="83"/>
    </row>
    <row r="20" spans="1:21" x14ac:dyDescent="0.35">
      <c r="E20" s="43"/>
      <c r="G20" s="241">
        <f t="shared" si="0"/>
        <v>0.90000000000000024</v>
      </c>
      <c r="H20" s="242">
        <v>0.3</v>
      </c>
      <c r="K20" s="83"/>
    </row>
    <row r="21" spans="1:21" x14ac:dyDescent="0.35">
      <c r="A21" s="50" t="s">
        <v>84</v>
      </c>
      <c r="E21" s="43"/>
      <c r="G21" s="241">
        <f t="shared" si="0"/>
        <v>0.95000000000000029</v>
      </c>
      <c r="H21" s="242">
        <v>0.24</v>
      </c>
      <c r="K21" s="83"/>
    </row>
    <row r="22" spans="1:21" ht="15" thickBot="1" x14ac:dyDescent="0.4">
      <c r="A22" s="4" t="s">
        <v>269</v>
      </c>
      <c r="B22" s="2"/>
      <c r="C22" s="14" t="s">
        <v>270</v>
      </c>
      <c r="D22" s="15" t="s">
        <v>262</v>
      </c>
      <c r="E22" s="18">
        <f>Devices!E11</f>
        <v>1.52</v>
      </c>
      <c r="G22" s="243">
        <f t="shared" si="0"/>
        <v>1.0000000000000002</v>
      </c>
      <c r="H22" s="244">
        <v>0</v>
      </c>
      <c r="K22" s="83"/>
    </row>
    <row r="23" spans="1:21" x14ac:dyDescent="0.35">
      <c r="A23" s="4"/>
      <c r="B23" s="2"/>
      <c r="C23" s="3"/>
      <c r="D23" s="5"/>
      <c r="E23" s="4"/>
      <c r="K23" s="83"/>
    </row>
    <row r="24" spans="1:21" x14ac:dyDescent="0.35">
      <c r="K24" s="70"/>
    </row>
    <row r="25" spans="1:21" x14ac:dyDescent="0.35">
      <c r="A25" s="1" t="s">
        <v>42</v>
      </c>
      <c r="G25" s="60"/>
      <c r="H25" s="60"/>
    </row>
    <row r="26" spans="1:21" s="23" customFormat="1" ht="24.5" thickBot="1" x14ac:dyDescent="0.4">
      <c r="A26" s="8" t="s">
        <v>90</v>
      </c>
      <c r="B26" s="22"/>
      <c r="C26" s="4"/>
      <c r="D26" s="3"/>
      <c r="E26" s="3"/>
      <c r="F26" s="3"/>
      <c r="G26" s="3"/>
      <c r="H26" s="3"/>
      <c r="I26" s="169" t="s">
        <v>77</v>
      </c>
      <c r="J26" s="52"/>
      <c r="K26" s="169" t="s">
        <v>143</v>
      </c>
      <c r="L26" s="92"/>
      <c r="M26" s="169" t="s">
        <v>107</v>
      </c>
      <c r="N26" s="52"/>
      <c r="O26" s="169" t="s">
        <v>78</v>
      </c>
      <c r="P26" s="53"/>
      <c r="Q26" s="169" t="s">
        <v>188</v>
      </c>
      <c r="R26"/>
      <c r="S26" s="169" t="s">
        <v>189</v>
      </c>
      <c r="T26"/>
      <c r="U26" s="169" t="s">
        <v>199</v>
      </c>
    </row>
    <row r="27" spans="1:21" s="6" customFormat="1" ht="15" thickBot="1" x14ac:dyDescent="0.4">
      <c r="A27" s="4" t="s">
        <v>88</v>
      </c>
      <c r="B27" s="2"/>
      <c r="C27" s="177" t="s">
        <v>16</v>
      </c>
      <c r="D27" s="177" t="s">
        <v>266</v>
      </c>
      <c r="E27" s="3"/>
      <c r="F27" s="3"/>
      <c r="G27" s="3"/>
      <c r="H27" s="3"/>
      <c r="I27" s="74">
        <f>Density_3!G21</f>
        <v>9.7925490140914921E-9</v>
      </c>
      <c r="J27" s="75"/>
      <c r="K27" s="74">
        <f>Density_3!I21</f>
        <v>9.8315236114320308E-12</v>
      </c>
      <c r="L27" s="75"/>
      <c r="M27" s="74">
        <f>Density_3!K21</f>
        <v>2.3516598485765004E-9</v>
      </c>
      <c r="N27" s="75"/>
      <c r="O27" s="74">
        <f>Density_3!M21</f>
        <v>2.452777694236664E-10</v>
      </c>
      <c r="P27" s="76"/>
      <c r="Q27" s="74">
        <f>Density_3!O21</f>
        <v>1.3888888415836153E-10</v>
      </c>
      <c r="R27" s="24"/>
      <c r="S27" s="74">
        <f>Density_3!Q21</f>
        <v>2.6611110204742072E-10</v>
      </c>
      <c r="U27" s="74">
        <f>Density_3!S21</f>
        <v>6.472222001779648E-11</v>
      </c>
    </row>
    <row r="28" spans="1:21" x14ac:dyDescent="0.35">
      <c r="A28" s="4" t="s">
        <v>103</v>
      </c>
      <c r="C28" s="3"/>
      <c r="I28" s="170" t="s">
        <v>102</v>
      </c>
      <c r="J28" s="43"/>
      <c r="K28" s="170" t="s">
        <v>102</v>
      </c>
      <c r="L28" s="43"/>
      <c r="M28" s="170" t="s">
        <v>102</v>
      </c>
      <c r="N28" s="43"/>
      <c r="O28" s="170" t="s">
        <v>102</v>
      </c>
      <c r="P28" s="43"/>
      <c r="Q28" s="170" t="s">
        <v>102</v>
      </c>
      <c r="S28" s="170" t="s">
        <v>102</v>
      </c>
      <c r="U28" s="170" t="s">
        <v>102</v>
      </c>
    </row>
    <row r="29" spans="1:21" s="6" customFormat="1" x14ac:dyDescent="0.35">
      <c r="A29" s="4" t="s">
        <v>80</v>
      </c>
      <c r="B29" s="2"/>
      <c r="C29" s="171" t="s">
        <v>43</v>
      </c>
      <c r="D29" s="171" t="s">
        <v>23</v>
      </c>
      <c r="E29" s="3"/>
      <c r="F29" s="3"/>
      <c r="G29" s="3"/>
      <c r="H29" s="3"/>
      <c r="I29" s="175">
        <f>Animals!G21</f>
        <v>1.22</v>
      </c>
      <c r="J29" s="43"/>
      <c r="K29" s="175">
        <f>Animals!I21</f>
        <v>1.41</v>
      </c>
      <c r="L29" s="45"/>
      <c r="M29" s="175">
        <f>Animals!K21</f>
        <v>1.37</v>
      </c>
      <c r="N29" s="45"/>
      <c r="O29" s="175">
        <f>Animals!M21</f>
        <v>5.2</v>
      </c>
      <c r="P29" s="45"/>
      <c r="Q29" s="175">
        <f>Animals!O21</f>
        <v>2.57</v>
      </c>
      <c r="R29" s="45"/>
      <c r="S29" s="175">
        <f>Animals!Q21</f>
        <v>2.37</v>
      </c>
      <c r="T29"/>
      <c r="U29" s="175">
        <f>Animals!S21</f>
        <v>1.77</v>
      </c>
    </row>
    <row r="30" spans="1:21" s="6" customFormat="1" x14ac:dyDescent="0.35">
      <c r="A30" s="4" t="s">
        <v>85</v>
      </c>
      <c r="B30" s="2"/>
      <c r="C30" s="171" t="s">
        <v>44</v>
      </c>
      <c r="D30" s="171" t="s">
        <v>23</v>
      </c>
      <c r="E30" s="3"/>
      <c r="F30" s="3"/>
      <c r="G30" s="3"/>
      <c r="H30" s="3"/>
      <c r="I30" s="172">
        <f>Animals!G22</f>
        <v>0.3</v>
      </c>
      <c r="J30" s="43"/>
      <c r="K30" s="172">
        <f>Animals!I22</f>
        <v>0.34</v>
      </c>
      <c r="L30" s="45"/>
      <c r="M30" s="172">
        <f>Animals!K22</f>
        <v>0.32</v>
      </c>
      <c r="N30" s="45"/>
      <c r="O30" s="172">
        <f>Animals!M22</f>
        <v>2.2000000000000002</v>
      </c>
      <c r="P30" s="45"/>
      <c r="Q30" s="172">
        <f>Animals!O22</f>
        <v>0.64</v>
      </c>
      <c r="R30" s="45"/>
      <c r="S30" s="172">
        <f>Animals!Q22</f>
        <v>0.55000000000000004</v>
      </c>
      <c r="T30"/>
      <c r="U30" s="172">
        <f>Animals!S22</f>
        <v>0.44</v>
      </c>
    </row>
    <row r="32" spans="1:21" x14ac:dyDescent="0.35">
      <c r="A32" s="1" t="s">
        <v>17</v>
      </c>
    </row>
    <row r="33" spans="1:23" x14ac:dyDescent="0.35">
      <c r="A33" s="4" t="s">
        <v>97</v>
      </c>
      <c r="C33" s="3" t="s">
        <v>100</v>
      </c>
      <c r="F33" s="40" t="s">
        <v>101</v>
      </c>
      <c r="I33" s="63">
        <f>IF(I28="diving bird",I30,I29)</f>
        <v>1.22</v>
      </c>
      <c r="K33" s="63">
        <f>IF(K28="diving bird",K30,K29)</f>
        <v>1.41</v>
      </c>
      <c r="M33" s="63">
        <f>IF(M28="diving bird",M30,M29)</f>
        <v>1.37</v>
      </c>
      <c r="O33" s="63">
        <f>IF(O28="diving bird",O30,O29)</f>
        <v>5.2</v>
      </c>
      <c r="Q33" s="63">
        <f>IF(Q28="diving bird",Q30,Q29)</f>
        <v>2.57</v>
      </c>
      <c r="S33" s="63">
        <f>IF(S28="diving bird",S30,S29)</f>
        <v>2.37</v>
      </c>
      <c r="U33" s="63">
        <f>IF(U28="diving bird",U30,U29)</f>
        <v>1.77</v>
      </c>
    </row>
    <row r="34" spans="1:23" x14ac:dyDescent="0.35">
      <c r="A34" s="4" t="s">
        <v>98</v>
      </c>
      <c r="C34" s="40" t="s">
        <v>99</v>
      </c>
      <c r="F34" s="40" t="s">
        <v>101</v>
      </c>
      <c r="I34" s="63">
        <f>IF(I28="diving bird",I29,I30)</f>
        <v>0.3</v>
      </c>
      <c r="K34" s="63">
        <v>0.34</v>
      </c>
      <c r="M34" s="63">
        <f>IF(M28="diving bird",M29,M30)</f>
        <v>0.32</v>
      </c>
      <c r="O34" s="63">
        <f>IF(O28="diving bird",O29,O30)</f>
        <v>2.2000000000000002</v>
      </c>
      <c r="Q34" s="63">
        <f>IF(Q28="diving bird",Q29,Q30)</f>
        <v>0.64</v>
      </c>
      <c r="S34" s="63">
        <f>IF(S28="diving bird",S29,S30)</f>
        <v>0.55000000000000004</v>
      </c>
      <c r="U34" s="63">
        <f>IF(U28="diving bird",U29,U30)</f>
        <v>0.44</v>
      </c>
    </row>
    <row r="35" spans="1:23" x14ac:dyDescent="0.35">
      <c r="A35" s="13" t="s">
        <v>82</v>
      </c>
      <c r="C35" s="38" t="s">
        <v>270</v>
      </c>
      <c r="D35" s="38" t="s">
        <v>262</v>
      </c>
      <c r="E35" s="62"/>
      <c r="F35" s="40" t="s">
        <v>270</v>
      </c>
      <c r="G35" s="40"/>
      <c r="I35" s="63">
        <f>$E22</f>
        <v>1.52</v>
      </c>
      <c r="K35" s="63">
        <f>$E22</f>
        <v>1.52</v>
      </c>
      <c r="M35" s="63">
        <f>$E22</f>
        <v>1.52</v>
      </c>
      <c r="O35" s="63">
        <f>$E22</f>
        <v>1.52</v>
      </c>
      <c r="Q35" s="63">
        <f>$E22</f>
        <v>1.52</v>
      </c>
      <c r="S35" s="63">
        <f>$E22</f>
        <v>1.52</v>
      </c>
      <c r="U35" s="63">
        <f>$E22</f>
        <v>1.52</v>
      </c>
    </row>
    <row r="36" spans="1:23" x14ac:dyDescent="0.35">
      <c r="A36" s="13" t="s">
        <v>18</v>
      </c>
      <c r="C36" s="38"/>
      <c r="D36" s="38" t="s">
        <v>215</v>
      </c>
      <c r="E36" s="62"/>
      <c r="F36" s="40" t="s">
        <v>282</v>
      </c>
      <c r="G36" s="40"/>
      <c r="I36" s="99">
        <f>$E10*PI()*($E12+0.5*I34)*($E12+0.5*I34)</f>
        <v>712.65458550357675</v>
      </c>
      <c r="J36" s="100"/>
      <c r="K36" s="99">
        <f>$E10*PI()*($E12+0.5*K34)*($E12+0.5*K34)</f>
        <v>715.33373571855805</v>
      </c>
      <c r="L36" s="100"/>
      <c r="M36" s="99">
        <f>$E10*PI()*($E12+0.5*M34)*($E12+0.5*M34)</f>
        <v>713.99353229253654</v>
      </c>
      <c r="N36" s="100"/>
      <c r="O36" s="99">
        <f>$E10*PI()*($E12+0.5*O34)*($E12+0.5*O34)</f>
        <v>845.46541493408506</v>
      </c>
      <c r="Q36" s="99">
        <f>$E10*PI()*($E12+0.5*Q34)*($E12+0.5*Q34)</f>
        <v>735.5875835562515</v>
      </c>
      <c r="R36" s="100"/>
      <c r="S36" s="99">
        <f>$E10*PI()*($E12+0.5*S34)*($E12+0.5*S34)</f>
        <v>729.481741154367</v>
      </c>
      <c r="U36" s="99">
        <f>$E10*PI()*($E12+0.5*U34)*($E12+0.5*U34)</f>
        <v>722.05360240458663</v>
      </c>
    </row>
    <row r="37" spans="1:23" x14ac:dyDescent="0.35">
      <c r="A37" s="13" t="s">
        <v>111</v>
      </c>
      <c r="B37" s="13"/>
      <c r="C37" s="38" t="s">
        <v>19</v>
      </c>
      <c r="D37" s="64"/>
      <c r="F37" s="12" t="s">
        <v>19</v>
      </c>
      <c r="G37" s="12"/>
      <c r="I37" s="65">
        <v>0.4804394543170929</v>
      </c>
      <c r="K37" s="65">
        <v>0.54250258207321167</v>
      </c>
      <c r="M37" s="65">
        <v>0.52943664789199829</v>
      </c>
      <c r="O37" s="65">
        <v>1</v>
      </c>
      <c r="Q37" s="65">
        <v>0.90752935409545898</v>
      </c>
      <c r="S37" s="65">
        <v>0.84865665435791016</v>
      </c>
      <c r="U37" s="65">
        <v>0.65928727388381958</v>
      </c>
      <c r="V37" t="e">
        <f ca="1">pcoll_diskav("down",I33,I34,I35)</f>
        <v>#NAME?</v>
      </c>
      <c r="W37" s="138" t="s">
        <v>249</v>
      </c>
    </row>
    <row r="38" spans="1:23" x14ac:dyDescent="0.35">
      <c r="A38" s="13" t="s">
        <v>20</v>
      </c>
      <c r="B38" s="13"/>
      <c r="C38" s="37"/>
      <c r="D38" s="66" t="s">
        <v>283</v>
      </c>
      <c r="F38" s="40" t="s">
        <v>284</v>
      </c>
      <c r="G38" s="13"/>
      <c r="I38" s="67">
        <f>I27*I36*I35</f>
        <v>1.0607631537164464E-5</v>
      </c>
      <c r="K38" s="67">
        <f>K27*K36*K35</f>
        <v>1.0689887179411743E-8</v>
      </c>
      <c r="M38" s="67">
        <f>M27*M36*M35</f>
        <v>2.5521862814942141E-6</v>
      </c>
      <c r="O38" s="67">
        <f>O27*O36*O35</f>
        <v>3.1520828407182818E-7</v>
      </c>
      <c r="Q38" s="67">
        <f>Q27*Q36*Q35</f>
        <v>1.5529070679492743E-7</v>
      </c>
      <c r="S38" s="67">
        <f>S27*S36*S35</f>
        <v>2.9506724889433109E-7</v>
      </c>
      <c r="U38" s="67">
        <f>U27*U36*U35</f>
        <v>7.1034026421597733E-8</v>
      </c>
    </row>
    <row r="39" spans="1:23" x14ac:dyDescent="0.35">
      <c r="A39" s="13" t="s">
        <v>109</v>
      </c>
      <c r="B39" s="13"/>
      <c r="C39" s="38" t="s">
        <v>285</v>
      </c>
      <c r="D39" s="39"/>
      <c r="E39" s="68"/>
      <c r="F39" s="40" t="s">
        <v>286</v>
      </c>
      <c r="G39" s="13"/>
      <c r="H39" s="13"/>
      <c r="I39" s="39">
        <f>I38*I37</f>
        <v>5.0963247073120806E-6</v>
      </c>
      <c r="K39" s="39">
        <f>K38*K37</f>
        <v>5.7992913969021927E-9</v>
      </c>
      <c r="M39" s="39">
        <f>M38*M37</f>
        <v>1.3512209496702406E-6</v>
      </c>
      <c r="O39" s="39">
        <f>O38*O37</f>
        <v>3.1520828407182818E-7</v>
      </c>
      <c r="Q39" s="39">
        <f>Q38*Q37</f>
        <v>1.4093087483462778E-7</v>
      </c>
      <c r="S39" s="39">
        <f>S38*S37</f>
        <v>2.5041078425725578E-7</v>
      </c>
      <c r="U39" s="39">
        <f>U38*U37</f>
        <v>4.6831829632486384E-8</v>
      </c>
    </row>
    <row r="40" spans="1:23" x14ac:dyDescent="0.35">
      <c r="A40" s="13" t="s">
        <v>108</v>
      </c>
      <c r="B40" s="13"/>
      <c r="C40" s="37"/>
      <c r="D40" s="66"/>
      <c r="F40" s="40" t="s">
        <v>287</v>
      </c>
      <c r="G40" s="13"/>
      <c r="I40" s="71">
        <f>I38*(1-$E18)*$E7</f>
        <v>247.54647843545371</v>
      </c>
      <c r="J40" s="84"/>
      <c r="K40" s="71">
        <f>K38*(1-$E18)*$E7</f>
        <v>0.24946604874654724</v>
      </c>
      <c r="L40" s="96"/>
      <c r="M40" s="71">
        <f>M38*(1-$E18)*$E7</f>
        <v>59.559452464169134</v>
      </c>
      <c r="N40" s="96"/>
      <c r="O40" s="71">
        <f>O38*(1-$E18)*$E7</f>
        <v>7.3559022504019884</v>
      </c>
      <c r="P40" s="96"/>
      <c r="Q40" s="71">
        <f>Q38*(1-$E18)*$E7</f>
        <v>3.6239633198187748</v>
      </c>
      <c r="R40" s="96"/>
      <c r="S40" s="71">
        <f>S38*(1-$E18)*$E7</f>
        <v>6.8858781632374022</v>
      </c>
      <c r="U40" s="71">
        <f>U38*(1-$E18)*$E7</f>
        <v>1.6576955023513145</v>
      </c>
    </row>
    <row r="41" spans="1:23" x14ac:dyDescent="0.35">
      <c r="A41" s="13" t="s">
        <v>110</v>
      </c>
      <c r="C41" s="69"/>
      <c r="D41" s="69" t="s">
        <v>59</v>
      </c>
      <c r="E41" s="68"/>
      <c r="F41" s="70" t="s">
        <v>288</v>
      </c>
      <c r="G41" s="70"/>
      <c r="I41" s="85">
        <f>I39*$E7*(1-$E18)</f>
        <v>118.93109501764738</v>
      </c>
      <c r="K41" s="85">
        <f>K39*$E7*(1-$E18)</f>
        <v>0.13533597558460359</v>
      </c>
      <c r="M41" s="71">
        <f>M39*$E7*(1-$E18)</f>
        <v>31.532956862912524</v>
      </c>
      <c r="O41" s="71">
        <f>O39*$E7*(1-$E18)</f>
        <v>7.3559022504019884</v>
      </c>
      <c r="Q41" s="71">
        <f>Q39*$E7*(1-$E18)</f>
        <v>3.2888530909007678</v>
      </c>
      <c r="S41" s="71">
        <f>S39*$E7*(1-$E18)</f>
        <v>5.8437463243292456</v>
      </c>
      <c r="U41" s="71">
        <f>U39*$E7*(1-$E18)</f>
        <v>1.092897548674667</v>
      </c>
    </row>
    <row r="42" spans="1:23" x14ac:dyDescent="0.35">
      <c r="A42" s="161" t="s">
        <v>176</v>
      </c>
      <c r="B42" s="152"/>
      <c r="C42" s="152"/>
      <c r="D42" s="152"/>
      <c r="E42" s="152"/>
      <c r="F42" s="152"/>
      <c r="G42" s="152"/>
      <c r="H42" s="152"/>
      <c r="I42" s="162" t="e">
        <f>I41/#REF!</f>
        <v>#REF!</v>
      </c>
      <c r="J42" s="162"/>
      <c r="K42" s="162" t="e">
        <f>K41/#REF!</f>
        <v>#REF!</v>
      </c>
      <c r="L42" s="162"/>
      <c r="M42" s="162" t="e">
        <f>M41/#REF!</f>
        <v>#REF!</v>
      </c>
      <c r="N42" s="162"/>
      <c r="O42" s="162" t="e">
        <f>O41/#REF!</f>
        <v>#REF!</v>
      </c>
      <c r="P42" s="162"/>
      <c r="Q42" s="162" t="e">
        <f>Q41/#REF!</f>
        <v>#REF!</v>
      </c>
      <c r="R42" s="152"/>
      <c r="S42" s="162" t="e">
        <f>S41/#REF!</f>
        <v>#REF!</v>
      </c>
      <c r="T42" s="152"/>
      <c r="U42" s="162" t="e">
        <f>U41/#REF!</f>
        <v>#REF!</v>
      </c>
    </row>
    <row r="44" spans="1:23" ht="24" x14ac:dyDescent="0.35">
      <c r="I44" s="169" t="s">
        <v>77</v>
      </c>
      <c r="J44" s="52"/>
      <c r="K44" s="169" t="s">
        <v>143</v>
      </c>
      <c r="L44" s="92"/>
      <c r="M44" s="169" t="s">
        <v>107</v>
      </c>
      <c r="N44" s="52"/>
      <c r="O44" s="169" t="s">
        <v>78</v>
      </c>
      <c r="P44" s="53"/>
      <c r="Q44" s="169" t="s">
        <v>188</v>
      </c>
      <c r="S44" s="169" t="s">
        <v>189</v>
      </c>
      <c r="U44" s="169" t="s">
        <v>199</v>
      </c>
    </row>
    <row r="45" spans="1:23" x14ac:dyDescent="0.35">
      <c r="A45" s="46" t="s">
        <v>187</v>
      </c>
      <c r="E45" t="s">
        <v>226</v>
      </c>
      <c r="F45" s="165">
        <v>1</v>
      </c>
      <c r="I45" s="139">
        <f>$I$41*1</f>
        <v>118.93109501764738</v>
      </c>
      <c r="K45" s="139">
        <f>$K$41*1</f>
        <v>0.13533597558460359</v>
      </c>
      <c r="M45" s="139">
        <f>$M$41*1</f>
        <v>31.532956862912524</v>
      </c>
      <c r="O45" s="139">
        <f>$O$41*1</f>
        <v>7.3559022504019884</v>
      </c>
      <c r="Q45" s="139">
        <f>$Q$41*1</f>
        <v>3.2888530909007678</v>
      </c>
      <c r="S45" s="139">
        <f>$S$41*1</f>
        <v>5.8437463243292456</v>
      </c>
      <c r="U45" s="139">
        <f>$U$41*1</f>
        <v>1.092897548674667</v>
      </c>
    </row>
    <row r="46" spans="1:23" x14ac:dyDescent="0.35">
      <c r="A46" t="s">
        <v>185</v>
      </c>
      <c r="E46" t="s">
        <v>207</v>
      </c>
      <c r="F46" s="165">
        <f>Devices!E32</f>
        <v>1.5</v>
      </c>
      <c r="I46" s="174" t="s">
        <v>218</v>
      </c>
      <c r="K46" s="174" t="s">
        <v>220</v>
      </c>
      <c r="M46" s="174" t="s">
        <v>221</v>
      </c>
      <c r="O46" s="174" t="s">
        <v>207</v>
      </c>
      <c r="Q46" s="174" t="s">
        <v>219</v>
      </c>
      <c r="S46" s="174" t="s">
        <v>222</v>
      </c>
      <c r="U46" s="174" t="s">
        <v>223</v>
      </c>
    </row>
    <row r="47" spans="1:23" x14ac:dyDescent="0.35">
      <c r="A47" s="42">
        <v>0.5</v>
      </c>
      <c r="I47" s="157">
        <f t="shared" ref="I47:I52" si="1">I$45*(1-$A47)</f>
        <v>59.46554750882369</v>
      </c>
      <c r="K47" s="63">
        <f t="shared" ref="K47:K52" si="2">K$45*(1-$A47)</f>
        <v>6.7667987792301793E-2</v>
      </c>
      <c r="M47" s="157">
        <f t="shared" ref="M47:M52" si="3">M$45*(1-$A47)</f>
        <v>15.766478431456262</v>
      </c>
      <c r="O47" s="157">
        <f t="shared" ref="O47:O52" si="4">O$45*(1-$A47)</f>
        <v>3.6779511252009942</v>
      </c>
      <c r="Q47" s="157">
        <f t="shared" ref="Q47:Q52" si="5">Q$45*(1-$A47)</f>
        <v>1.6444265454503839</v>
      </c>
      <c r="S47" s="157">
        <f t="shared" ref="S47:S52" si="6">S$45*(1-$A47)</f>
        <v>2.9218731621646228</v>
      </c>
      <c r="U47" s="157">
        <f t="shared" ref="U47:U52" si="7">U$45*(1-$A47)</f>
        <v>0.54644877433733352</v>
      </c>
      <c r="W47" s="138" t="s">
        <v>225</v>
      </c>
    </row>
    <row r="48" spans="1:23" x14ac:dyDescent="0.35">
      <c r="A48" s="42">
        <v>0.9</v>
      </c>
      <c r="I48" s="157">
        <f t="shared" si="1"/>
        <v>11.893109501764735</v>
      </c>
      <c r="K48" s="63">
        <f t="shared" si="2"/>
        <v>1.3533597558460356E-2</v>
      </c>
      <c r="M48" s="63">
        <f t="shared" si="3"/>
        <v>3.1532956862912518</v>
      </c>
      <c r="O48" s="157">
        <f t="shared" si="4"/>
        <v>0.73559022504019866</v>
      </c>
      <c r="Q48" s="63">
        <f t="shared" si="5"/>
        <v>0.32888530909007668</v>
      </c>
      <c r="S48" s="63">
        <f t="shared" si="6"/>
        <v>0.58437463243292442</v>
      </c>
      <c r="U48" s="63">
        <f t="shared" si="7"/>
        <v>0.10928975486746668</v>
      </c>
    </row>
    <row r="49" spans="1:21" x14ac:dyDescent="0.35">
      <c r="A49" s="42">
        <v>0.95</v>
      </c>
      <c r="I49" s="157">
        <f t="shared" si="1"/>
        <v>5.946554750882374</v>
      </c>
      <c r="K49" s="63">
        <f t="shared" si="2"/>
        <v>6.7667987792301857E-3</v>
      </c>
      <c r="M49" s="63">
        <f t="shared" si="3"/>
        <v>1.5766478431456277</v>
      </c>
      <c r="O49" s="141">
        <f t="shared" si="4"/>
        <v>0.36779511252009972</v>
      </c>
      <c r="Q49" s="63">
        <f t="shared" si="5"/>
        <v>0.16444265454503854</v>
      </c>
      <c r="S49" s="63">
        <f t="shared" si="6"/>
        <v>0.29218731621646254</v>
      </c>
      <c r="U49" s="63">
        <f t="shared" si="7"/>
        <v>5.4644877433733398E-2</v>
      </c>
    </row>
    <row r="50" spans="1:21" s="46" customFormat="1" x14ac:dyDescent="0.35">
      <c r="A50" s="140">
        <v>0.98</v>
      </c>
      <c r="I50" s="155">
        <f t="shared" si="1"/>
        <v>2.3786219003529498</v>
      </c>
      <c r="K50" s="141">
        <f t="shared" si="2"/>
        <v>2.7067195116920739E-3</v>
      </c>
      <c r="M50" s="141">
        <f t="shared" si="3"/>
        <v>0.63065913725825107</v>
      </c>
      <c r="O50" s="141">
        <f t="shared" si="4"/>
        <v>0.1471180450080399</v>
      </c>
      <c r="Q50" s="85">
        <f t="shared" si="5"/>
        <v>6.5777061818015417E-2</v>
      </c>
      <c r="S50" s="141">
        <f t="shared" si="6"/>
        <v>0.11687492648658501</v>
      </c>
      <c r="U50" s="141">
        <f t="shared" si="7"/>
        <v>2.185795097349336E-2</v>
      </c>
    </row>
    <row r="51" spans="1:21" x14ac:dyDescent="0.35">
      <c r="A51" s="42">
        <v>0.99</v>
      </c>
      <c r="I51" s="158">
        <f t="shared" si="1"/>
        <v>1.1893109501764749</v>
      </c>
      <c r="K51" s="63">
        <f t="shared" si="2"/>
        <v>1.353359755846037E-3</v>
      </c>
      <c r="M51" s="63">
        <f t="shared" si="3"/>
        <v>0.31532956862912553</v>
      </c>
      <c r="O51" s="63">
        <f t="shared" si="4"/>
        <v>7.3559022504019952E-2</v>
      </c>
      <c r="Q51" s="63">
        <f t="shared" si="5"/>
        <v>3.2888530909007709E-2</v>
      </c>
      <c r="S51" s="63">
        <f t="shared" si="6"/>
        <v>5.8437463243292506E-2</v>
      </c>
      <c r="U51" s="63">
        <f t="shared" si="7"/>
        <v>1.092897548674668E-2</v>
      </c>
    </row>
    <row r="52" spans="1:21" x14ac:dyDescent="0.35">
      <c r="A52" s="154">
        <v>0.997</v>
      </c>
      <c r="I52" s="85">
        <f t="shared" si="1"/>
        <v>0.35679328505294244</v>
      </c>
      <c r="J52" s="46"/>
      <c r="K52" s="141">
        <f t="shared" si="2"/>
        <v>4.0600792675381112E-4</v>
      </c>
      <c r="L52" s="46"/>
      <c r="M52" s="141">
        <f t="shared" si="3"/>
        <v>9.4598870588737657E-2</v>
      </c>
      <c r="N52" s="46"/>
      <c r="O52" s="141">
        <f t="shared" si="4"/>
        <v>2.2067706751205986E-2</v>
      </c>
      <c r="P52" s="46"/>
      <c r="Q52" s="85">
        <f t="shared" si="5"/>
        <v>9.8665592727023126E-3</v>
      </c>
      <c r="R52" s="46"/>
      <c r="S52" s="141">
        <f t="shared" si="6"/>
        <v>1.7531238972987754E-2</v>
      </c>
      <c r="T52" s="46"/>
      <c r="U52" s="141">
        <f t="shared" si="7"/>
        <v>3.278692646024004E-3</v>
      </c>
    </row>
    <row r="54" spans="1:21" x14ac:dyDescent="0.35">
      <c r="A54" s="151" t="s">
        <v>217</v>
      </c>
      <c r="F54" s="249">
        <f>Devices!E33</f>
        <v>4</v>
      </c>
      <c r="I54" s="139">
        <f>$I$41*F54</f>
        <v>475.72438007058952</v>
      </c>
      <c r="K54" s="139">
        <f>$K$41*F54</f>
        <v>0.54134390233841434</v>
      </c>
      <c r="M54" s="139">
        <f>$M$41*F54</f>
        <v>126.1318274516501</v>
      </c>
      <c r="O54" s="139">
        <f>$O$41*F54</f>
        <v>29.423609001607954</v>
      </c>
      <c r="Q54" s="139">
        <f>$Q$41*F54</f>
        <v>13.155412363603071</v>
      </c>
      <c r="S54" s="139">
        <f>$S$41*F54</f>
        <v>23.374985297316982</v>
      </c>
      <c r="U54" s="139">
        <f>$U$41*F54</f>
        <v>4.3715901946986682</v>
      </c>
    </row>
    <row r="55" spans="1:21" x14ac:dyDescent="0.35">
      <c r="A55" t="s">
        <v>185</v>
      </c>
      <c r="E55" s="153" t="s">
        <v>207</v>
      </c>
      <c r="F55" s="166">
        <f>F54*F46</f>
        <v>6</v>
      </c>
      <c r="I55" s="174" t="s">
        <v>218</v>
      </c>
      <c r="K55" s="174" t="s">
        <v>220</v>
      </c>
      <c r="M55" s="174" t="s">
        <v>221</v>
      </c>
      <c r="O55" s="174" t="s">
        <v>207</v>
      </c>
      <c r="Q55" s="174" t="s">
        <v>219</v>
      </c>
      <c r="S55" s="174" t="s">
        <v>222</v>
      </c>
      <c r="U55" s="174" t="s">
        <v>223</v>
      </c>
    </row>
    <row r="56" spans="1:21" x14ac:dyDescent="0.35">
      <c r="A56" s="42">
        <v>0.5</v>
      </c>
      <c r="I56" s="157">
        <f t="shared" ref="I56:I61" si="8">I$54*(1-$A56)</f>
        <v>237.86219003529476</v>
      </c>
      <c r="K56" s="63">
        <f t="shared" ref="K56:K61" si="9">K$54*(1-$A56)</f>
        <v>0.27067195116920717</v>
      </c>
      <c r="M56" s="157">
        <f t="shared" ref="M56:M61" si="10">M$54*(1-$A56)</f>
        <v>63.065913725825048</v>
      </c>
      <c r="O56" s="157">
        <f t="shared" ref="O56:O61" si="11">O$54*(1-$A56)</f>
        <v>14.711804500803977</v>
      </c>
      <c r="Q56" s="157">
        <f t="shared" ref="Q56:Q61" si="12">Q$54*(1-$A56)</f>
        <v>6.5777061818015357</v>
      </c>
      <c r="S56" s="157">
        <f t="shared" ref="S56:S61" si="13">S$54*(1-$A56)</f>
        <v>11.687492648658491</v>
      </c>
      <c r="U56" s="157">
        <f t="shared" ref="U56:U61" si="14">U$54*(1-$A56)</f>
        <v>2.1857950973493341</v>
      </c>
    </row>
    <row r="57" spans="1:21" x14ac:dyDescent="0.35">
      <c r="A57" s="42">
        <v>0.9</v>
      </c>
      <c r="I57" s="157">
        <f t="shared" si="8"/>
        <v>47.572438007058942</v>
      </c>
      <c r="K57" s="63">
        <f t="shared" si="9"/>
        <v>5.4134390233841423E-2</v>
      </c>
      <c r="M57" s="157">
        <f t="shared" si="10"/>
        <v>12.613182745165007</v>
      </c>
      <c r="O57" s="157">
        <f t="shared" si="11"/>
        <v>2.9423609001607947</v>
      </c>
      <c r="Q57" s="157">
        <f t="shared" si="12"/>
        <v>1.3155412363603067</v>
      </c>
      <c r="S57" s="157">
        <f t="shared" si="13"/>
        <v>2.3374985297316977</v>
      </c>
      <c r="U57" s="157">
        <f t="shared" si="14"/>
        <v>0.43715901946986674</v>
      </c>
    </row>
    <row r="58" spans="1:21" x14ac:dyDescent="0.35">
      <c r="A58" s="42">
        <v>0.95</v>
      </c>
      <c r="I58" s="157">
        <f t="shared" si="8"/>
        <v>23.786219003529496</v>
      </c>
      <c r="K58" s="63">
        <f t="shared" si="9"/>
        <v>2.7067195116920743E-2</v>
      </c>
      <c r="M58" s="157">
        <f t="shared" si="10"/>
        <v>6.3065913725825107</v>
      </c>
      <c r="O58" s="157">
        <f t="shared" si="11"/>
        <v>1.4711804500803989</v>
      </c>
      <c r="Q58" s="157">
        <f t="shared" si="12"/>
        <v>0.65777061818015414</v>
      </c>
      <c r="S58" s="157">
        <f t="shared" si="13"/>
        <v>1.1687492648658502</v>
      </c>
      <c r="U58" s="157">
        <f t="shared" si="14"/>
        <v>0.21857950973493359</v>
      </c>
    </row>
    <row r="59" spans="1:21" x14ac:dyDescent="0.35">
      <c r="A59" s="140">
        <v>0.98</v>
      </c>
      <c r="B59" s="46"/>
      <c r="C59" s="46"/>
      <c r="D59" s="46"/>
      <c r="E59" s="46"/>
      <c r="F59" s="46"/>
      <c r="G59" s="46"/>
      <c r="H59" s="46"/>
      <c r="I59" s="155">
        <f t="shared" si="8"/>
        <v>9.5144876014117994</v>
      </c>
      <c r="J59" s="46"/>
      <c r="K59" s="141">
        <f t="shared" si="9"/>
        <v>1.0826878046768296E-2</v>
      </c>
      <c r="L59" s="46"/>
      <c r="M59" s="141">
        <f t="shared" si="10"/>
        <v>2.5226365490330043</v>
      </c>
      <c r="N59" s="46"/>
      <c r="O59" s="156">
        <f t="shared" si="11"/>
        <v>0.58847218003215962</v>
      </c>
      <c r="P59" s="46"/>
      <c r="Q59" s="155">
        <f t="shared" si="12"/>
        <v>0.26310824727206167</v>
      </c>
      <c r="R59" s="46"/>
      <c r="S59" s="156">
        <f t="shared" si="13"/>
        <v>0.46749970594634005</v>
      </c>
      <c r="T59" s="46"/>
      <c r="U59" s="156">
        <f t="shared" si="14"/>
        <v>8.7431803893973439E-2</v>
      </c>
    </row>
    <row r="60" spans="1:21" x14ac:dyDescent="0.35">
      <c r="A60" s="42">
        <v>0.99</v>
      </c>
      <c r="I60" s="157">
        <f t="shared" si="8"/>
        <v>4.7572438007058997</v>
      </c>
      <c r="K60" s="63">
        <f t="shared" si="9"/>
        <v>5.4134390233841478E-3</v>
      </c>
      <c r="M60" s="63">
        <f t="shared" si="10"/>
        <v>1.2613182745165021</v>
      </c>
      <c r="O60" s="63">
        <f t="shared" si="11"/>
        <v>0.29423609001607981</v>
      </c>
      <c r="Q60" s="63">
        <f t="shared" si="12"/>
        <v>0.13155412363603083</v>
      </c>
      <c r="S60" s="63">
        <f t="shared" si="13"/>
        <v>0.23374985297317002</v>
      </c>
      <c r="U60" s="63">
        <f t="shared" si="14"/>
        <v>4.371590194698672E-2</v>
      </c>
    </row>
    <row r="61" spans="1:21" x14ac:dyDescent="0.35">
      <c r="A61" s="154">
        <v>0.997</v>
      </c>
      <c r="I61" s="155">
        <f t="shared" si="8"/>
        <v>1.4271731402117698</v>
      </c>
      <c r="J61" s="46"/>
      <c r="K61" s="141">
        <f t="shared" si="9"/>
        <v>1.6240317070152445E-3</v>
      </c>
      <c r="L61" s="46"/>
      <c r="M61" s="141">
        <f t="shared" si="10"/>
        <v>0.37839548235495063</v>
      </c>
      <c r="N61" s="46"/>
      <c r="O61" s="141">
        <f t="shared" si="11"/>
        <v>8.8270827004823943E-2</v>
      </c>
      <c r="P61" s="46"/>
      <c r="Q61" s="85">
        <f t="shared" si="12"/>
        <v>3.946623709080925E-2</v>
      </c>
      <c r="R61" s="46"/>
      <c r="S61" s="141">
        <f t="shared" si="13"/>
        <v>7.0124955891951016E-2</v>
      </c>
      <c r="T61" s="46"/>
      <c r="U61" s="141">
        <f t="shared" si="14"/>
        <v>1.3114770584096016E-2</v>
      </c>
    </row>
    <row r="63" spans="1:21" x14ac:dyDescent="0.35">
      <c r="A63" s="151" t="s">
        <v>216</v>
      </c>
      <c r="B63" s="152"/>
      <c r="C63" s="152"/>
      <c r="D63" s="152"/>
      <c r="E63" s="152"/>
      <c r="F63" s="166">
        <v>8</v>
      </c>
      <c r="I63" s="139">
        <f>$I$41*F63</f>
        <v>951.44876014117904</v>
      </c>
      <c r="K63" s="139">
        <f>$K$41*F63</f>
        <v>1.0826878046768287</v>
      </c>
      <c r="M63" s="139">
        <f>$M$41*F63</f>
        <v>252.26365490330019</v>
      </c>
      <c r="O63" s="139">
        <f>$O$41*F63</f>
        <v>58.847218003215907</v>
      </c>
      <c r="Q63" s="139">
        <f>$Q$41*F63</f>
        <v>26.310824727206143</v>
      </c>
      <c r="S63" s="139">
        <f>$S$41*F63</f>
        <v>46.749970594633965</v>
      </c>
      <c r="U63" s="139">
        <f>$U$41*F63</f>
        <v>8.7431803893973363</v>
      </c>
    </row>
    <row r="64" spans="1:21" x14ac:dyDescent="0.35">
      <c r="A64" t="s">
        <v>185</v>
      </c>
      <c r="E64" s="153" t="s">
        <v>207</v>
      </c>
      <c r="F64" s="166">
        <f>F63*F46</f>
        <v>12</v>
      </c>
      <c r="I64" s="174" t="s">
        <v>218</v>
      </c>
      <c r="K64" s="174" t="s">
        <v>220</v>
      </c>
      <c r="M64" s="174" t="s">
        <v>221</v>
      </c>
      <c r="O64" s="174" t="s">
        <v>207</v>
      </c>
      <c r="Q64" s="174" t="s">
        <v>219</v>
      </c>
      <c r="S64" s="174" t="s">
        <v>222</v>
      </c>
      <c r="U64" s="174" t="s">
        <v>223</v>
      </c>
    </row>
    <row r="65" spans="1:21" x14ac:dyDescent="0.35">
      <c r="A65" s="42">
        <v>0.5</v>
      </c>
      <c r="I65" s="157">
        <f t="shared" ref="I65:I70" si="15">I$63*(1-$A65)</f>
        <v>475.72438007058952</v>
      </c>
      <c r="K65" s="63">
        <f t="shared" ref="K65:K70" si="16">K$63*(1-$A65)</f>
        <v>0.54134390233841434</v>
      </c>
      <c r="M65" s="157">
        <f t="shared" ref="M65:M70" si="17">M$63*(1-$A65)</f>
        <v>126.1318274516501</v>
      </c>
      <c r="O65" s="157">
        <f t="shared" ref="O65:O70" si="18">O$63*(1-$A65)</f>
        <v>29.423609001607954</v>
      </c>
      <c r="Q65" s="157">
        <f t="shared" ref="Q65:Q70" si="19">Q$63*(1-$A65)</f>
        <v>13.155412363603071</v>
      </c>
      <c r="S65" s="157">
        <f t="shared" ref="S65:S70" si="20">S$63*(1-$A65)</f>
        <v>23.374985297316982</v>
      </c>
      <c r="U65" s="157">
        <f t="shared" ref="U65:U70" si="21">U$63*(1-$A65)</f>
        <v>4.3715901946986682</v>
      </c>
    </row>
    <row r="66" spans="1:21" x14ac:dyDescent="0.35">
      <c r="A66" s="42">
        <v>0.9</v>
      </c>
      <c r="I66" s="157">
        <f t="shared" si="15"/>
        <v>95.144876014117884</v>
      </c>
      <c r="K66" s="63">
        <f t="shared" si="16"/>
        <v>0.10826878046768285</v>
      </c>
      <c r="M66" s="157">
        <f t="shared" si="17"/>
        <v>25.226365490330014</v>
      </c>
      <c r="O66" s="157">
        <f t="shared" si="18"/>
        <v>5.8847218003215893</v>
      </c>
      <c r="Q66" s="157">
        <f t="shared" si="19"/>
        <v>2.6310824727206135</v>
      </c>
      <c r="S66" s="157">
        <f t="shared" si="20"/>
        <v>4.6749970594633954</v>
      </c>
      <c r="U66" s="157">
        <f t="shared" si="21"/>
        <v>0.87431803893973348</v>
      </c>
    </row>
    <row r="67" spans="1:21" x14ac:dyDescent="0.35">
      <c r="A67" s="42">
        <v>0.95</v>
      </c>
      <c r="I67" s="157">
        <f t="shared" si="15"/>
        <v>47.572438007058992</v>
      </c>
      <c r="K67" s="63">
        <f t="shared" si="16"/>
        <v>5.4134390233841485E-2</v>
      </c>
      <c r="M67" s="157">
        <f t="shared" si="17"/>
        <v>12.613182745165021</v>
      </c>
      <c r="O67" s="157">
        <f t="shared" si="18"/>
        <v>2.9423609001607978</v>
      </c>
      <c r="Q67" s="157">
        <f t="shared" si="19"/>
        <v>1.3155412363603083</v>
      </c>
      <c r="S67" s="157">
        <f t="shared" si="20"/>
        <v>2.3374985297317004</v>
      </c>
      <c r="U67" s="157">
        <f t="shared" si="21"/>
        <v>0.43715901946986718</v>
      </c>
    </row>
    <row r="68" spans="1:21" x14ac:dyDescent="0.35">
      <c r="A68" s="140">
        <v>0.98</v>
      </c>
      <c r="B68" s="46"/>
      <c r="C68" s="46"/>
      <c r="D68" s="46"/>
      <c r="E68" s="46"/>
      <c r="F68" s="46"/>
      <c r="G68" s="46"/>
      <c r="H68" s="46"/>
      <c r="I68" s="155">
        <f t="shared" si="15"/>
        <v>19.028975202823599</v>
      </c>
      <c r="J68" s="46"/>
      <c r="K68" s="141">
        <f t="shared" si="16"/>
        <v>2.1653756093536591E-2</v>
      </c>
      <c r="L68" s="46"/>
      <c r="M68" s="141">
        <f t="shared" si="17"/>
        <v>5.0452730980660085</v>
      </c>
      <c r="N68" s="46"/>
      <c r="O68" s="156">
        <f t="shared" si="18"/>
        <v>1.1769443600643192</v>
      </c>
      <c r="P68" s="46"/>
      <c r="Q68" s="85">
        <f t="shared" si="19"/>
        <v>0.52621649454412334</v>
      </c>
      <c r="R68" s="46"/>
      <c r="S68" s="156">
        <f t="shared" si="20"/>
        <v>0.9349994118926801</v>
      </c>
      <c r="T68" s="46"/>
      <c r="U68" s="156">
        <f t="shared" si="21"/>
        <v>0.17486360778794688</v>
      </c>
    </row>
    <row r="69" spans="1:21" x14ac:dyDescent="0.35">
      <c r="A69" s="42">
        <v>0.99</v>
      </c>
      <c r="I69" s="157">
        <f t="shared" si="15"/>
        <v>9.5144876014117994</v>
      </c>
      <c r="K69" s="63">
        <f t="shared" si="16"/>
        <v>1.0826878046768296E-2</v>
      </c>
      <c r="M69" s="63">
        <f t="shared" si="17"/>
        <v>2.5226365490330043</v>
      </c>
      <c r="O69" s="63">
        <f t="shared" si="18"/>
        <v>0.58847218003215962</v>
      </c>
      <c r="Q69" s="63">
        <f t="shared" si="19"/>
        <v>0.26310824727206167</v>
      </c>
      <c r="S69" s="63">
        <f t="shared" si="20"/>
        <v>0.46749970594634005</v>
      </c>
      <c r="U69" s="63">
        <f t="shared" si="21"/>
        <v>8.7431803893973439E-2</v>
      </c>
    </row>
    <row r="70" spans="1:21" x14ac:dyDescent="0.35">
      <c r="A70" s="154">
        <v>0.997</v>
      </c>
      <c r="I70" s="85">
        <f t="shared" si="15"/>
        <v>2.8543462804235396</v>
      </c>
      <c r="J70" s="46"/>
      <c r="K70" s="141">
        <f t="shared" si="16"/>
        <v>3.248063414030489E-3</v>
      </c>
      <c r="L70" s="46"/>
      <c r="M70" s="141">
        <f t="shared" si="17"/>
        <v>0.75679096470990126</v>
      </c>
      <c r="N70" s="46"/>
      <c r="O70" s="141">
        <f t="shared" si="18"/>
        <v>0.17654165400964789</v>
      </c>
      <c r="P70" s="46"/>
      <c r="Q70" s="85">
        <f t="shared" si="19"/>
        <v>7.89324741816185E-2</v>
      </c>
      <c r="R70" s="46"/>
      <c r="S70" s="141">
        <f t="shared" si="20"/>
        <v>0.14024991178390203</v>
      </c>
      <c r="T70" s="46"/>
      <c r="U70" s="141">
        <f t="shared" si="21"/>
        <v>2.6229541168192032E-2</v>
      </c>
    </row>
    <row r="72" spans="1:21" x14ac:dyDescent="0.35">
      <c r="A72" s="151" t="s">
        <v>224</v>
      </c>
      <c r="B72" s="152"/>
      <c r="C72" s="152"/>
      <c r="D72" s="152"/>
      <c r="E72" s="152"/>
      <c r="F72" s="165">
        <v>67</v>
      </c>
      <c r="I72" s="139">
        <f>$I$41*F72</f>
        <v>7968.3833661823746</v>
      </c>
      <c r="K72" s="139">
        <f>$K$41*F72</f>
        <v>9.0675103641684398</v>
      </c>
      <c r="M72" s="139">
        <f>$M$41*F72</f>
        <v>2112.7081098151393</v>
      </c>
      <c r="O72" s="139">
        <f>$O$41*F72</f>
        <v>492.84545077693321</v>
      </c>
      <c r="Q72" s="139">
        <f>$Q$41*F72</f>
        <v>220.35315709035143</v>
      </c>
      <c r="S72" s="139">
        <f>$S$41*F72</f>
        <v>391.53100373005947</v>
      </c>
      <c r="U72" s="139">
        <f>$U$41*F72</f>
        <v>73.224135761202689</v>
      </c>
    </row>
    <row r="73" spans="1:21" x14ac:dyDescent="0.35">
      <c r="A73" t="s">
        <v>185</v>
      </c>
      <c r="E73" s="153" t="s">
        <v>207</v>
      </c>
      <c r="F73" s="165">
        <f>F72*F46</f>
        <v>100.5</v>
      </c>
      <c r="I73" s="174" t="s">
        <v>218</v>
      </c>
      <c r="K73" s="174" t="s">
        <v>220</v>
      </c>
      <c r="M73" s="174" t="s">
        <v>221</v>
      </c>
      <c r="O73" s="174" t="s">
        <v>207</v>
      </c>
      <c r="Q73" s="174" t="s">
        <v>219</v>
      </c>
      <c r="S73" s="174" t="s">
        <v>222</v>
      </c>
      <c r="U73" s="174" t="s">
        <v>223</v>
      </c>
    </row>
    <row r="74" spans="1:21" x14ac:dyDescent="0.35">
      <c r="A74" s="42">
        <v>0.5</v>
      </c>
      <c r="I74" s="157">
        <f t="shared" ref="I74:I79" si="22">I$72*(1-$A74)</f>
        <v>3984.1916830911873</v>
      </c>
      <c r="K74" s="157">
        <f t="shared" ref="K74:K79" si="23">K$72*(1-$A74)</f>
        <v>4.5337551820842199</v>
      </c>
      <c r="M74" s="157">
        <f t="shared" ref="M74:M79" si="24">M$72*(1-$A74)</f>
        <v>1056.3540549075697</v>
      </c>
      <c r="O74" s="157">
        <f t="shared" ref="O74:O79" si="25">O$72*(1-$A74)</f>
        <v>246.4227253884666</v>
      </c>
      <c r="Q74" s="157">
        <f t="shared" ref="Q74:Q79" si="26">Q$72*(1-$A74)</f>
        <v>110.17657854517572</v>
      </c>
      <c r="S74" s="157">
        <f t="shared" ref="S74:S79" si="27">S$72*(1-$A74)</f>
        <v>195.76550186502973</v>
      </c>
      <c r="U74" s="157">
        <f t="shared" ref="U74:U79" si="28">U$72*(1-$A74)</f>
        <v>36.612067880601344</v>
      </c>
    </row>
    <row r="75" spans="1:21" x14ac:dyDescent="0.35">
      <c r="A75" s="42">
        <v>0.9</v>
      </c>
      <c r="I75" s="157">
        <f t="shared" si="22"/>
        <v>796.83833661823724</v>
      </c>
      <c r="K75" s="63">
        <f t="shared" si="23"/>
        <v>0.90675103641684374</v>
      </c>
      <c r="M75" s="157">
        <f t="shared" si="24"/>
        <v>211.27081098151388</v>
      </c>
      <c r="O75" s="157">
        <f t="shared" si="25"/>
        <v>49.284545077693309</v>
      </c>
      <c r="Q75" s="157">
        <f t="shared" si="26"/>
        <v>22.035315709035139</v>
      </c>
      <c r="S75" s="157">
        <f t="shared" si="27"/>
        <v>39.153100373005941</v>
      </c>
      <c r="U75" s="157">
        <f t="shared" si="28"/>
        <v>7.3224135761202671</v>
      </c>
    </row>
    <row r="76" spans="1:21" x14ac:dyDescent="0.35">
      <c r="A76" s="42">
        <v>0.95</v>
      </c>
      <c r="I76" s="157">
        <f t="shared" si="22"/>
        <v>398.41916830911907</v>
      </c>
      <c r="K76" s="63">
        <f t="shared" si="23"/>
        <v>0.45337551820842237</v>
      </c>
      <c r="M76" s="157">
        <f t="shared" si="24"/>
        <v>105.63540549075707</v>
      </c>
      <c r="O76" s="157">
        <f t="shared" si="25"/>
        <v>24.642272538846683</v>
      </c>
      <c r="Q76" s="157">
        <f t="shared" si="26"/>
        <v>11.017657854517582</v>
      </c>
      <c r="S76" s="157">
        <f t="shared" si="27"/>
        <v>19.576550186502992</v>
      </c>
      <c r="U76" s="157">
        <f t="shared" si="28"/>
        <v>3.6612067880601376</v>
      </c>
    </row>
    <row r="77" spans="1:21" x14ac:dyDescent="0.35">
      <c r="A77" s="140">
        <v>0.98</v>
      </c>
      <c r="B77" s="46"/>
      <c r="C77" s="46"/>
      <c r="D77" s="46"/>
      <c r="E77" s="46"/>
      <c r="F77" s="46"/>
      <c r="G77" s="46"/>
      <c r="H77" s="46"/>
      <c r="I77" s="155">
        <f t="shared" si="22"/>
        <v>159.36766732364762</v>
      </c>
      <c r="J77" s="46"/>
      <c r="K77" s="141">
        <f t="shared" si="23"/>
        <v>0.18135020728336895</v>
      </c>
      <c r="L77" s="46"/>
      <c r="M77" s="156">
        <f t="shared" si="24"/>
        <v>42.254162196302822</v>
      </c>
      <c r="N77" s="46"/>
      <c r="O77" s="156">
        <f t="shared" si="25"/>
        <v>9.8569090155386725</v>
      </c>
      <c r="P77" s="46"/>
      <c r="Q77" s="155">
        <f t="shared" si="26"/>
        <v>4.4070631418070327</v>
      </c>
      <c r="R77" s="46"/>
      <c r="S77" s="156">
        <f t="shared" si="27"/>
        <v>7.830620074601196</v>
      </c>
      <c r="T77" s="46"/>
      <c r="U77" s="156">
        <f t="shared" si="28"/>
        <v>1.4644827152240552</v>
      </c>
    </row>
    <row r="78" spans="1:21" x14ac:dyDescent="0.35">
      <c r="A78" s="42">
        <v>0.99</v>
      </c>
      <c r="I78" s="157">
        <f t="shared" si="22"/>
        <v>79.683833661823812</v>
      </c>
      <c r="K78" s="63">
        <f t="shared" si="23"/>
        <v>9.0675103641684476E-2</v>
      </c>
      <c r="M78" s="157">
        <f t="shared" si="24"/>
        <v>21.127081098151411</v>
      </c>
      <c r="O78" s="157">
        <f t="shared" si="25"/>
        <v>4.9284545077693362</v>
      </c>
      <c r="Q78" s="157">
        <f t="shared" si="26"/>
        <v>2.2035315709035164</v>
      </c>
      <c r="S78" s="157">
        <f t="shared" si="27"/>
        <v>3.915310037300598</v>
      </c>
      <c r="U78" s="157">
        <f t="shared" si="28"/>
        <v>0.73224135761202758</v>
      </c>
    </row>
    <row r="79" spans="1:21" x14ac:dyDescent="0.35">
      <c r="A79" s="154">
        <v>0.997</v>
      </c>
      <c r="I79" s="155">
        <f t="shared" si="22"/>
        <v>23.905150098547146</v>
      </c>
      <c r="J79" s="46"/>
      <c r="K79" s="141">
        <f t="shared" si="23"/>
        <v>2.7202531092505342E-2</v>
      </c>
      <c r="L79" s="46"/>
      <c r="M79" s="141">
        <f t="shared" si="24"/>
        <v>6.3381243294454235</v>
      </c>
      <c r="N79" s="46"/>
      <c r="O79" s="156">
        <f t="shared" si="25"/>
        <v>1.4785363523308008</v>
      </c>
      <c r="P79" s="46"/>
      <c r="Q79" s="85">
        <f t="shared" si="26"/>
        <v>0.66105947127105491</v>
      </c>
      <c r="R79" s="46"/>
      <c r="S79" s="141">
        <f t="shared" si="27"/>
        <v>1.1745930111901794</v>
      </c>
      <c r="T79" s="46"/>
      <c r="U79" s="156">
        <f t="shared" si="28"/>
        <v>0.21967240728360826</v>
      </c>
    </row>
    <row r="81" spans="1:21" x14ac:dyDescent="0.35">
      <c r="A81" s="151" t="s">
        <v>227</v>
      </c>
      <c r="B81" s="152"/>
      <c r="C81" s="152"/>
      <c r="D81" s="152"/>
      <c r="E81" s="152"/>
      <c r="F81" s="166">
        <v>2</v>
      </c>
      <c r="I81" s="139">
        <f>$I$41*F81</f>
        <v>237.86219003529476</v>
      </c>
      <c r="K81" s="139">
        <f>$K$41*F81</f>
        <v>0.27067195116920717</v>
      </c>
      <c r="M81" s="139">
        <f>$M$41*F81</f>
        <v>63.065913725825048</v>
      </c>
      <c r="O81" s="139">
        <f>$O$41*F81</f>
        <v>14.711804500803977</v>
      </c>
      <c r="Q81" s="139">
        <f>$Q$41*F81</f>
        <v>6.5777061818015357</v>
      </c>
      <c r="S81" s="139">
        <f>$S$41*F81</f>
        <v>11.687492648658491</v>
      </c>
      <c r="U81" s="139">
        <f>$U$41*F81</f>
        <v>2.1857950973493341</v>
      </c>
    </row>
    <row r="82" spans="1:21" x14ac:dyDescent="0.35">
      <c r="A82" t="s">
        <v>185</v>
      </c>
      <c r="E82" s="153" t="s">
        <v>207</v>
      </c>
      <c r="F82" s="166">
        <f>F81*F46</f>
        <v>3</v>
      </c>
      <c r="I82" s="174" t="s">
        <v>218</v>
      </c>
      <c r="K82" s="174" t="s">
        <v>220</v>
      </c>
      <c r="M82" s="174" t="s">
        <v>221</v>
      </c>
      <c r="O82" s="174" t="s">
        <v>207</v>
      </c>
      <c r="Q82" s="174" t="s">
        <v>219</v>
      </c>
      <c r="S82" s="174" t="s">
        <v>222</v>
      </c>
      <c r="U82" s="174" t="s">
        <v>223</v>
      </c>
    </row>
    <row r="83" spans="1:21" x14ac:dyDescent="0.35">
      <c r="A83" s="42">
        <v>0.5</v>
      </c>
      <c r="I83" s="157">
        <f t="shared" ref="I83:I88" si="29">I$81*(1-$A83)</f>
        <v>118.93109501764738</v>
      </c>
      <c r="K83" s="158">
        <f t="shared" ref="K83:K88" si="30">K$81*(1-$A83)</f>
        <v>0.13533597558460359</v>
      </c>
      <c r="M83" s="157">
        <f t="shared" ref="M83:M88" si="31">M$81*(1-$A83)</f>
        <v>31.532956862912524</v>
      </c>
      <c r="O83" s="157">
        <f t="shared" ref="O83:O88" si="32">O$81*(1-$A83)</f>
        <v>7.3559022504019884</v>
      </c>
      <c r="Q83" s="157">
        <f t="shared" ref="Q83:Q88" si="33">Q$81*(1-$A83)</f>
        <v>3.2888530909007678</v>
      </c>
      <c r="S83" s="157">
        <f t="shared" ref="S83:S88" si="34">S$81*(1-$A83)</f>
        <v>5.8437463243292456</v>
      </c>
      <c r="U83" s="157">
        <f t="shared" ref="U83:U88" si="35">U$81*(1-$A83)</f>
        <v>1.092897548674667</v>
      </c>
    </row>
    <row r="84" spans="1:21" x14ac:dyDescent="0.35">
      <c r="A84" s="42">
        <v>0.9</v>
      </c>
      <c r="I84" s="157">
        <f t="shared" si="29"/>
        <v>23.786219003529471</v>
      </c>
      <c r="K84" s="158">
        <f t="shared" si="30"/>
        <v>2.7067195116920711E-2</v>
      </c>
      <c r="M84" s="157">
        <f t="shared" si="31"/>
        <v>6.3065913725825036</v>
      </c>
      <c r="O84" s="157">
        <f t="shared" si="32"/>
        <v>1.4711804500803973</v>
      </c>
      <c r="Q84" s="157">
        <f t="shared" si="33"/>
        <v>0.65777061818015337</v>
      </c>
      <c r="S84" s="157">
        <f t="shared" si="34"/>
        <v>1.1687492648658488</v>
      </c>
      <c r="U84" s="157">
        <f t="shared" si="35"/>
        <v>0.21857950973493337</v>
      </c>
    </row>
    <row r="85" spans="1:21" x14ac:dyDescent="0.35">
      <c r="A85" s="42">
        <v>0.95</v>
      </c>
      <c r="I85" s="157">
        <f t="shared" si="29"/>
        <v>11.893109501764748</v>
      </c>
      <c r="K85" s="158">
        <f t="shared" si="30"/>
        <v>1.3533597558460371E-2</v>
      </c>
      <c r="M85" s="158">
        <f t="shared" si="31"/>
        <v>3.1532956862912553</v>
      </c>
      <c r="O85" s="157">
        <f t="shared" si="32"/>
        <v>0.73559022504019944</v>
      </c>
      <c r="Q85" s="158">
        <f t="shared" si="33"/>
        <v>0.32888530909007707</v>
      </c>
      <c r="S85" s="158">
        <f t="shared" si="34"/>
        <v>0.58437463243292509</v>
      </c>
      <c r="U85" s="158">
        <f t="shared" si="35"/>
        <v>0.1092897548674668</v>
      </c>
    </row>
    <row r="86" spans="1:21" x14ac:dyDescent="0.35">
      <c r="A86" s="140">
        <v>0.98</v>
      </c>
      <c r="B86" s="46"/>
      <c r="C86" s="46"/>
      <c r="D86" s="46"/>
      <c r="E86" s="46"/>
      <c r="F86" s="46"/>
      <c r="G86" s="46"/>
      <c r="H86" s="46"/>
      <c r="I86" s="155">
        <f t="shared" si="29"/>
        <v>4.7572438007058997</v>
      </c>
      <c r="J86" s="46"/>
      <c r="K86" s="164">
        <f t="shared" si="30"/>
        <v>5.4134390233841478E-3</v>
      </c>
      <c r="L86" s="46"/>
      <c r="M86" s="164">
        <f t="shared" si="31"/>
        <v>1.2613182745165021</v>
      </c>
      <c r="N86" s="46"/>
      <c r="O86" s="164">
        <f t="shared" si="32"/>
        <v>0.29423609001607981</v>
      </c>
      <c r="P86" s="46"/>
      <c r="Q86" s="163">
        <f t="shared" si="33"/>
        <v>0.13155412363603083</v>
      </c>
      <c r="R86" s="46"/>
      <c r="S86" s="164">
        <f t="shared" si="34"/>
        <v>0.23374985297317002</v>
      </c>
      <c r="T86" s="46"/>
      <c r="U86" s="164">
        <f t="shared" si="35"/>
        <v>4.371590194698672E-2</v>
      </c>
    </row>
    <row r="87" spans="1:21" x14ac:dyDescent="0.35">
      <c r="A87" s="42">
        <v>0.99</v>
      </c>
      <c r="I87" s="157">
        <f t="shared" si="29"/>
        <v>2.3786219003529498</v>
      </c>
      <c r="K87" s="158">
        <f t="shared" si="30"/>
        <v>2.7067195116920739E-3</v>
      </c>
      <c r="M87" s="158">
        <f t="shared" si="31"/>
        <v>0.63065913725825107</v>
      </c>
      <c r="O87" s="158">
        <f t="shared" si="32"/>
        <v>0.1471180450080399</v>
      </c>
      <c r="Q87" s="158">
        <f t="shared" si="33"/>
        <v>6.5777061818015417E-2</v>
      </c>
      <c r="S87" s="158">
        <f t="shared" si="34"/>
        <v>0.11687492648658501</v>
      </c>
      <c r="U87" s="158">
        <f t="shared" si="35"/>
        <v>2.185795097349336E-2</v>
      </c>
    </row>
    <row r="88" spans="1:21" x14ac:dyDescent="0.35">
      <c r="A88" s="154">
        <v>0.997</v>
      </c>
      <c r="I88" s="85">
        <f t="shared" si="29"/>
        <v>0.71358657010588489</v>
      </c>
      <c r="J88" s="46"/>
      <c r="K88" s="164">
        <f t="shared" si="30"/>
        <v>8.1201585350762224E-4</v>
      </c>
      <c r="L88" s="46"/>
      <c r="M88" s="164">
        <f t="shared" si="31"/>
        <v>0.18919774117747531</v>
      </c>
      <c r="N88" s="46"/>
      <c r="O88" s="164">
        <f t="shared" si="32"/>
        <v>4.4135413502411971E-2</v>
      </c>
      <c r="P88" s="46"/>
      <c r="Q88" s="163">
        <f t="shared" si="33"/>
        <v>1.9733118545404625E-2</v>
      </c>
      <c r="R88" s="46"/>
      <c r="S88" s="164">
        <f t="shared" si="34"/>
        <v>3.5062477945975508E-2</v>
      </c>
      <c r="T88" s="46"/>
      <c r="U88" s="164">
        <f t="shared" si="35"/>
        <v>6.5573852920480079E-3</v>
      </c>
    </row>
    <row r="90" spans="1:21" x14ac:dyDescent="0.35">
      <c r="A90" s="151" t="s">
        <v>229</v>
      </c>
      <c r="B90" s="152"/>
      <c r="C90" s="152"/>
      <c r="D90" s="152"/>
      <c r="E90" s="152"/>
      <c r="F90" s="166">
        <v>45</v>
      </c>
      <c r="I90" s="139">
        <f>$I$41*F90</f>
        <v>5351.8992757941323</v>
      </c>
      <c r="K90" s="139">
        <f>$K$41*F90</f>
        <v>6.0901189013071617</v>
      </c>
      <c r="M90" s="139">
        <f>$M$41*F90</f>
        <v>1418.9830588310635</v>
      </c>
      <c r="O90" s="139">
        <f>$O$41*F90</f>
        <v>331.01560126808948</v>
      </c>
      <c r="Q90" s="139">
        <f>$Q$41*F90</f>
        <v>147.99838909053454</v>
      </c>
      <c r="S90" s="139">
        <f>$S$41*F90</f>
        <v>262.96858459481604</v>
      </c>
      <c r="U90" s="139">
        <f>$U$41*F90</f>
        <v>49.180389690360016</v>
      </c>
    </row>
    <row r="91" spans="1:21" x14ac:dyDescent="0.35">
      <c r="A91" t="s">
        <v>185</v>
      </c>
      <c r="E91" s="153" t="s">
        <v>207</v>
      </c>
      <c r="F91" s="166">
        <f>F90*F46</f>
        <v>67.5</v>
      </c>
      <c r="I91" s="174" t="s">
        <v>218</v>
      </c>
      <c r="K91" s="174" t="s">
        <v>220</v>
      </c>
      <c r="M91" s="174" t="s">
        <v>221</v>
      </c>
      <c r="O91" s="174" t="s">
        <v>207</v>
      </c>
      <c r="Q91" s="174" t="s">
        <v>219</v>
      </c>
      <c r="S91" s="174" t="s">
        <v>222</v>
      </c>
      <c r="U91" s="174" t="s">
        <v>223</v>
      </c>
    </row>
    <row r="92" spans="1:21" x14ac:dyDescent="0.35">
      <c r="A92" s="42">
        <v>0.5</v>
      </c>
      <c r="I92" s="157">
        <f t="shared" ref="I92:I97" si="36">I$90*(1-$A92)</f>
        <v>2675.9496378970662</v>
      </c>
      <c r="K92" s="158">
        <f t="shared" ref="K92:K97" si="37">K$90*(1-$A92)</f>
        <v>3.0450594506535809</v>
      </c>
      <c r="M92" s="157">
        <f t="shared" ref="M92:M97" si="38">M$90*(1-$A92)</f>
        <v>709.49152941553177</v>
      </c>
      <c r="O92" s="157">
        <f t="shared" ref="O92:O97" si="39">O$90*(1-$A92)</f>
        <v>165.50780063404474</v>
      </c>
      <c r="Q92" s="157">
        <f t="shared" ref="Q92:Q97" si="40">Q$90*(1-$A92)</f>
        <v>73.999194545267272</v>
      </c>
      <c r="S92" s="157">
        <f t="shared" ref="S92:S97" si="41">S$90*(1-$A92)</f>
        <v>131.48429229740802</v>
      </c>
      <c r="U92" s="157">
        <f t="shared" ref="U92:U97" si="42">U$90*(1-$A92)</f>
        <v>24.590194845180008</v>
      </c>
    </row>
    <row r="93" spans="1:21" x14ac:dyDescent="0.35">
      <c r="A93" s="42">
        <v>0.9</v>
      </c>
      <c r="I93" s="157">
        <f t="shared" si="36"/>
        <v>535.18992757941317</v>
      </c>
      <c r="K93" s="158">
        <f t="shared" si="37"/>
        <v>0.60901189013071599</v>
      </c>
      <c r="M93" s="157">
        <f t="shared" si="38"/>
        <v>141.89830588310633</v>
      </c>
      <c r="O93" s="157">
        <f t="shared" si="39"/>
        <v>33.101560126808941</v>
      </c>
      <c r="Q93" s="157">
        <f t="shared" si="40"/>
        <v>14.799838909053451</v>
      </c>
      <c r="S93" s="157">
        <f t="shared" si="41"/>
        <v>26.296858459481598</v>
      </c>
      <c r="U93" s="157">
        <f t="shared" si="42"/>
        <v>4.9180389690360009</v>
      </c>
    </row>
    <row r="94" spans="1:21" x14ac:dyDescent="0.35">
      <c r="A94" s="42">
        <v>0.95</v>
      </c>
      <c r="I94" s="157">
        <f t="shared" si="36"/>
        <v>267.59496378970687</v>
      </c>
      <c r="K94" s="158">
        <f t="shared" si="37"/>
        <v>0.30450594506535833</v>
      </c>
      <c r="M94" s="157">
        <f t="shared" si="38"/>
        <v>70.949152941553237</v>
      </c>
      <c r="O94" s="157">
        <f t="shared" si="39"/>
        <v>16.550780063404488</v>
      </c>
      <c r="Q94" s="157">
        <f t="shared" si="40"/>
        <v>7.3999194545267342</v>
      </c>
      <c r="S94" s="157">
        <f t="shared" si="41"/>
        <v>13.148429229740813</v>
      </c>
      <c r="U94" s="157">
        <f t="shared" si="42"/>
        <v>2.4590194845180031</v>
      </c>
    </row>
    <row r="95" spans="1:21" x14ac:dyDescent="0.35">
      <c r="A95" s="140">
        <v>0.98</v>
      </c>
      <c r="B95" s="46"/>
      <c r="C95" s="46"/>
      <c r="D95" s="46"/>
      <c r="E95" s="46"/>
      <c r="F95" s="46"/>
      <c r="G95" s="46"/>
      <c r="H95" s="46"/>
      <c r="I95" s="155">
        <f t="shared" si="36"/>
        <v>107.03798551588274</v>
      </c>
      <c r="J95" s="46"/>
      <c r="K95" s="163">
        <f t="shared" si="37"/>
        <v>0.12180237802614334</v>
      </c>
      <c r="L95" s="46"/>
      <c r="M95" s="155">
        <f t="shared" si="38"/>
        <v>28.379661176621298</v>
      </c>
      <c r="N95" s="46"/>
      <c r="O95" s="155">
        <f t="shared" si="39"/>
        <v>6.6203120253617955</v>
      </c>
      <c r="P95" s="46"/>
      <c r="Q95" s="155">
        <f t="shared" si="40"/>
        <v>2.9599677818106933</v>
      </c>
      <c r="R95" s="46"/>
      <c r="S95" s="155">
        <f t="shared" si="41"/>
        <v>5.2593716918963258</v>
      </c>
      <c r="T95" s="46"/>
      <c r="U95" s="155">
        <f t="shared" si="42"/>
        <v>0.9836077938072012</v>
      </c>
    </row>
    <row r="96" spans="1:21" x14ac:dyDescent="0.35">
      <c r="A96" s="42">
        <v>0.99</v>
      </c>
      <c r="I96" s="157">
        <f t="shared" si="36"/>
        <v>53.518992757941369</v>
      </c>
      <c r="K96" s="158">
        <f t="shared" si="37"/>
        <v>6.090118901307167E-2</v>
      </c>
      <c r="M96" s="157">
        <f t="shared" si="38"/>
        <v>14.189830588310649</v>
      </c>
      <c r="O96" s="157">
        <f t="shared" si="39"/>
        <v>3.3101560126808978</v>
      </c>
      <c r="Q96" s="157">
        <f t="shared" si="40"/>
        <v>1.4799838909053467</v>
      </c>
      <c r="S96" s="157">
        <f t="shared" si="41"/>
        <v>2.6296858459481629</v>
      </c>
      <c r="U96" s="157">
        <f t="shared" si="42"/>
        <v>0.4918038969036006</v>
      </c>
    </row>
    <row r="97" spans="1:21" x14ac:dyDescent="0.35">
      <c r="A97" s="154">
        <v>0.997</v>
      </c>
      <c r="I97" s="155">
        <f t="shared" si="36"/>
        <v>16.05569782738241</v>
      </c>
      <c r="J97" s="46"/>
      <c r="K97" s="163">
        <f t="shared" si="37"/>
        <v>1.8270356703921502E-2</v>
      </c>
      <c r="L97" s="46"/>
      <c r="M97" s="85">
        <f t="shared" si="38"/>
        <v>4.2569491764931948</v>
      </c>
      <c r="N97" s="46"/>
      <c r="O97" s="85">
        <f t="shared" si="39"/>
        <v>0.99304680380426935</v>
      </c>
      <c r="P97" s="46"/>
      <c r="Q97" s="85">
        <f t="shared" si="40"/>
        <v>0.44399516727160404</v>
      </c>
      <c r="R97" s="46"/>
      <c r="S97" s="85">
        <f t="shared" si="41"/>
        <v>0.78890575378444883</v>
      </c>
      <c r="T97" s="46"/>
      <c r="U97" s="85">
        <f t="shared" si="42"/>
        <v>0.14754116907108017</v>
      </c>
    </row>
  </sheetData>
  <printOptions gridLines="1"/>
  <pageMargins left="0.70866141732283472" right="0.70866141732283472" top="0.74803149606299213" bottom="0.74803149606299213" header="0.31496062992125984" footer="0.31496062992125984"/>
  <pageSetup paperSize="9" scale="66" orientation="landscape" horizontalDpi="4294967293" verticalDpi="1200"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D43F5-0D25-413F-B761-9AB130DF1837}">
  <sheetPr codeName="Sheet18"/>
  <dimension ref="A1:S21"/>
  <sheetViews>
    <sheetView defaultGridColor="0" colorId="22" zoomScale="115" zoomScaleNormal="115" workbookViewId="0">
      <selection activeCell="K21" sqref="K21"/>
    </sheetView>
  </sheetViews>
  <sheetFormatPr defaultRowHeight="14.5" x14ac:dyDescent="0.35"/>
  <cols>
    <col min="1" max="1" width="10" customWidth="1"/>
    <col min="2" max="2" width="19.81640625" customWidth="1"/>
    <col min="3" max="3" width="11.7265625" style="13" customWidth="1"/>
    <col min="4" max="4" width="9.1796875" style="13"/>
    <col min="5" max="5" width="10.453125" style="13" customWidth="1"/>
    <col min="6" max="6" width="12.54296875" style="13" customWidth="1"/>
    <col min="7" max="7" width="10.81640625" style="13" customWidth="1"/>
    <col min="8" max="8" width="2.54296875" style="13" customWidth="1"/>
    <col min="9" max="9" width="10.81640625" style="13" customWidth="1"/>
    <col min="10" max="10" width="2.81640625" style="13" customWidth="1"/>
    <col min="11" max="11" width="10.81640625" style="13" customWidth="1"/>
    <col min="12" max="12" width="2.81640625" style="13" customWidth="1"/>
    <col min="13" max="13" width="10.81640625" style="13" customWidth="1"/>
    <col min="14" max="14" width="1.81640625" customWidth="1"/>
    <col min="15" max="15" width="9.1796875" customWidth="1"/>
    <col min="16" max="16" width="2.26953125" customWidth="1"/>
    <col min="18" max="18" width="2.7265625" customWidth="1"/>
  </cols>
  <sheetData>
    <row r="1" spans="1:19" ht="27.75" customHeight="1" x14ac:dyDescent="0.35">
      <c r="A1" s="321" t="s">
        <v>239</v>
      </c>
      <c r="B1" s="322"/>
      <c r="C1" s="181" t="s">
        <v>238</v>
      </c>
      <c r="D1" s="182" t="s">
        <v>237</v>
      </c>
      <c r="E1" s="183" t="s">
        <v>240</v>
      </c>
      <c r="F1" s="180" t="s">
        <v>241</v>
      </c>
    </row>
    <row r="2" spans="1:19" ht="15" customHeight="1" x14ac:dyDescent="0.35">
      <c r="A2" s="178"/>
      <c r="B2" s="179"/>
      <c r="C2" s="136"/>
      <c r="D2" s="136"/>
    </row>
    <row r="3" spans="1:19" ht="15" customHeight="1" x14ac:dyDescent="0.35">
      <c r="A3" s="203" t="s">
        <v>200</v>
      </c>
      <c r="B3" s="153"/>
      <c r="C3" s="136"/>
      <c r="D3" s="136"/>
    </row>
    <row r="4" spans="1:19" x14ac:dyDescent="0.35">
      <c r="A4" s="235" t="s">
        <v>191</v>
      </c>
      <c r="C4" s="323">
        <f>Devices!F1</f>
        <v>4</v>
      </c>
      <c r="D4" s="323"/>
      <c r="E4" s="216"/>
      <c r="F4" s="217"/>
      <c r="G4" s="225"/>
      <c r="H4" s="225"/>
      <c r="I4" s="225"/>
      <c r="J4" s="225"/>
      <c r="K4" s="225"/>
      <c r="L4" s="225"/>
      <c r="M4" s="225"/>
      <c r="N4" s="43"/>
      <c r="O4" s="225"/>
      <c r="Q4" s="225"/>
      <c r="S4" s="225"/>
    </row>
    <row r="5" spans="1:19" x14ac:dyDescent="0.35">
      <c r="A5" s="236" t="s">
        <v>242</v>
      </c>
      <c r="C5" s="324">
        <f>Devices!F2</f>
        <v>0</v>
      </c>
      <c r="D5" s="324"/>
      <c r="E5" s="216"/>
      <c r="F5" s="217"/>
      <c r="G5" s="225"/>
      <c r="H5" s="225"/>
      <c r="I5" s="225"/>
      <c r="J5" s="225"/>
      <c r="K5" s="225"/>
      <c r="L5" s="225"/>
      <c r="M5" s="225"/>
      <c r="N5" s="43"/>
      <c r="O5" s="225"/>
      <c r="Q5" s="225"/>
      <c r="S5" s="225"/>
    </row>
    <row r="6" spans="1:19" x14ac:dyDescent="0.35">
      <c r="A6" s="226"/>
      <c r="B6" s="184"/>
      <c r="C6" s="8"/>
      <c r="D6" s="5"/>
      <c r="E6" s="216"/>
      <c r="F6" s="217"/>
      <c r="G6" s="225"/>
      <c r="H6" s="225"/>
      <c r="I6" s="225"/>
      <c r="J6" s="225"/>
      <c r="K6" s="225"/>
      <c r="L6" s="225"/>
      <c r="M6" s="225"/>
      <c r="N6" s="43"/>
      <c r="O6" s="225"/>
      <c r="Q6" s="225"/>
      <c r="S6" s="225"/>
    </row>
    <row r="7" spans="1:19" x14ac:dyDescent="0.35">
      <c r="A7" s="1" t="s">
        <v>54</v>
      </c>
      <c r="B7" s="185"/>
      <c r="C7" s="3"/>
      <c r="D7" s="12"/>
      <c r="F7" s="217"/>
      <c r="G7" s="225"/>
      <c r="H7" s="225"/>
      <c r="I7" s="225"/>
      <c r="J7" s="225"/>
      <c r="K7" s="225"/>
      <c r="L7" s="225"/>
      <c r="M7" s="225"/>
      <c r="N7" s="43"/>
      <c r="O7" s="225"/>
      <c r="Q7" s="225"/>
      <c r="S7" s="225"/>
    </row>
    <row r="8" spans="1:19" x14ac:dyDescent="0.35">
      <c r="A8" s="1" t="s">
        <v>26</v>
      </c>
      <c r="B8" s="185"/>
      <c r="C8" s="14" t="s">
        <v>27</v>
      </c>
      <c r="D8" s="186" t="s">
        <v>23</v>
      </c>
      <c r="E8" s="248">
        <f>Devices!F5</f>
        <v>0</v>
      </c>
      <c r="F8" s="217"/>
      <c r="G8" s="225"/>
      <c r="H8" s="225"/>
      <c r="I8" s="225"/>
      <c r="J8" s="225"/>
      <c r="K8" s="225"/>
      <c r="L8" s="225"/>
      <c r="M8" s="225"/>
      <c r="N8" s="43"/>
      <c r="O8" s="225"/>
      <c r="Q8" s="225"/>
      <c r="S8" s="225"/>
    </row>
    <row r="9" spans="1:19" x14ac:dyDescent="0.35">
      <c r="A9" s="4" t="s">
        <v>24</v>
      </c>
      <c r="B9" s="2"/>
      <c r="C9" s="9" t="s">
        <v>25</v>
      </c>
      <c r="D9" s="7" t="s">
        <v>23</v>
      </c>
      <c r="E9" s="247">
        <f>2*E8</f>
        <v>0</v>
      </c>
      <c r="F9" s="217"/>
      <c r="G9" s="225"/>
      <c r="H9" s="225"/>
      <c r="I9" s="225"/>
      <c r="J9" s="225"/>
      <c r="K9" s="225"/>
      <c r="L9" s="225"/>
      <c r="M9" s="225"/>
      <c r="N9" s="43"/>
      <c r="O9" s="225"/>
      <c r="Q9" s="225"/>
      <c r="S9" s="225"/>
    </row>
    <row r="10" spans="1:19" x14ac:dyDescent="0.35">
      <c r="A10" s="4" t="s">
        <v>55</v>
      </c>
      <c r="B10" s="2"/>
      <c r="C10" s="14"/>
      <c r="D10" s="186" t="s">
        <v>23</v>
      </c>
      <c r="E10" s="44">
        <f>Devices!F3</f>
        <v>0</v>
      </c>
      <c r="F10" s="217"/>
      <c r="G10" s="225"/>
      <c r="H10" s="225"/>
      <c r="I10" s="225"/>
      <c r="J10" s="225"/>
      <c r="K10" s="225"/>
      <c r="L10" s="225"/>
      <c r="M10" s="225"/>
      <c r="N10" s="43"/>
      <c r="O10" s="225"/>
      <c r="Q10" s="225"/>
      <c r="S10" s="225"/>
    </row>
    <row r="11" spans="1:19" x14ac:dyDescent="0.35">
      <c r="A11" s="4" t="s">
        <v>186</v>
      </c>
      <c r="B11" s="2"/>
      <c r="C11" s="14"/>
      <c r="D11" s="14" t="s">
        <v>23</v>
      </c>
      <c r="E11" s="227">
        <f>Devices!F22</f>
        <v>0</v>
      </c>
      <c r="F11" s="217"/>
      <c r="G11" s="225"/>
      <c r="H11" s="225"/>
      <c r="I11" s="225"/>
      <c r="J11" s="225"/>
      <c r="K11" s="225"/>
      <c r="L11" s="225"/>
      <c r="M11" s="225"/>
      <c r="N11" s="43"/>
      <c r="O11" s="225"/>
      <c r="Q11" s="225"/>
      <c r="S11" s="225"/>
    </row>
    <row r="12" spans="1:19" x14ac:dyDescent="0.35">
      <c r="A12" s="4"/>
      <c r="B12" s="2"/>
      <c r="C12" s="3"/>
      <c r="D12" s="3"/>
      <c r="E12" s="24"/>
      <c r="F12" s="217"/>
      <c r="G12" s="225"/>
      <c r="H12" s="225"/>
      <c r="I12" s="225"/>
      <c r="J12" s="225"/>
      <c r="K12" s="225"/>
      <c r="L12" s="225"/>
      <c r="M12" s="225"/>
      <c r="N12" s="43"/>
      <c r="O12" s="225"/>
      <c r="Q12" s="225"/>
      <c r="S12" s="225"/>
    </row>
    <row r="13" spans="1:19" ht="24" x14ac:dyDescent="0.35">
      <c r="A13" s="228" t="s">
        <v>243</v>
      </c>
      <c r="B13" s="229"/>
      <c r="C13" s="8"/>
      <c r="D13" s="5"/>
      <c r="E13" s="216"/>
      <c r="F13" s="217"/>
      <c r="G13" s="187" t="s">
        <v>77</v>
      </c>
      <c r="H13" s="52"/>
      <c r="I13" s="187" t="s">
        <v>143</v>
      </c>
      <c r="J13" s="92"/>
      <c r="K13" s="187" t="s">
        <v>107</v>
      </c>
      <c r="L13" s="52"/>
      <c r="M13" s="187" t="s">
        <v>78</v>
      </c>
      <c r="N13" s="53"/>
      <c r="O13" s="187" t="s">
        <v>188</v>
      </c>
      <c r="Q13" s="187" t="s">
        <v>189</v>
      </c>
      <c r="S13" s="187" t="s">
        <v>199</v>
      </c>
    </row>
    <row r="14" spans="1:19" x14ac:dyDescent="0.35">
      <c r="A14" s="4" t="s">
        <v>4</v>
      </c>
      <c r="B14" s="2"/>
      <c r="C14" s="171" t="s">
        <v>259</v>
      </c>
      <c r="D14" s="171" t="s">
        <v>6</v>
      </c>
      <c r="G14" s="172">
        <f>Animals!G12</f>
        <v>26.2</v>
      </c>
      <c r="H14" s="45"/>
      <c r="I14" s="172">
        <f>Animals!I12</f>
        <v>180</v>
      </c>
      <c r="J14" s="45"/>
      <c r="K14" s="172">
        <f>Animals!K12</f>
        <v>297</v>
      </c>
      <c r="L14" s="45"/>
      <c r="M14" s="172">
        <f>Animals!M12</f>
        <v>104</v>
      </c>
      <c r="N14" s="43"/>
      <c r="O14" s="172">
        <f>Animals!O12</f>
        <v>25.8</v>
      </c>
      <c r="Q14" s="188">
        <f>Animals!Q12</f>
        <v>25.8</v>
      </c>
      <c r="S14" s="188">
        <f>Animals!S12</f>
        <v>25.8</v>
      </c>
    </row>
    <row r="15" spans="1:19" x14ac:dyDescent="0.35">
      <c r="A15" s="4" t="s">
        <v>2</v>
      </c>
      <c r="B15" s="2"/>
      <c r="C15" s="189" t="s">
        <v>3</v>
      </c>
      <c r="D15" s="189" t="s">
        <v>260</v>
      </c>
      <c r="E15" s="5"/>
      <c r="F15" s="28" t="s">
        <v>261</v>
      </c>
      <c r="G15" s="190">
        <f>Animals!G16</f>
        <v>0</v>
      </c>
      <c r="I15" s="190">
        <f>Animals!I16</f>
        <v>0</v>
      </c>
      <c r="J15" s="191"/>
      <c r="K15" s="190">
        <f>Animals!K16</f>
        <v>0</v>
      </c>
      <c r="M15" s="190">
        <f>Animals!M16</f>
        <v>0</v>
      </c>
      <c r="O15" s="190">
        <f>Animals!O16</f>
        <v>0</v>
      </c>
      <c r="Q15" s="190">
        <f>Animals!Q16</f>
        <v>0</v>
      </c>
      <c r="S15" s="190">
        <f>Animals!S16</f>
        <v>0</v>
      </c>
    </row>
    <row r="16" spans="1:19" ht="24" x14ac:dyDescent="0.35">
      <c r="A16" s="4" t="s">
        <v>86</v>
      </c>
      <c r="B16" s="2"/>
      <c r="C16" s="192"/>
      <c r="D16" s="171"/>
      <c r="E16" s="3"/>
      <c r="F16" s="41"/>
      <c r="G16" s="193" t="str">
        <f>Animals!G10</f>
        <v>harbour porpoise</v>
      </c>
      <c r="H16" s="194"/>
      <c r="I16" s="193" t="str">
        <f>Animals!I10</f>
        <v>harbour seal</v>
      </c>
      <c r="J16" s="195"/>
      <c r="K16" s="193" t="str">
        <f>Animals!K10</f>
        <v>grey seal</v>
      </c>
      <c r="L16" s="45"/>
      <c r="M16" s="193" t="str">
        <f>Animals!M10</f>
        <v>uniform</v>
      </c>
      <c r="N16" s="43"/>
      <c r="O16" s="193" t="str">
        <f>Animals!O10</f>
        <v>uniform</v>
      </c>
      <c r="Q16" s="193" t="str">
        <f>Animals!Q10</f>
        <v>uniform</v>
      </c>
      <c r="S16" s="193" t="str">
        <f>Animals!S10</f>
        <v>uniform</v>
      </c>
    </row>
    <row r="17" spans="1:19" x14ac:dyDescent="0.35">
      <c r="A17" s="4" t="s">
        <v>56</v>
      </c>
      <c r="B17" s="2"/>
      <c r="C17" s="192" t="s">
        <v>57</v>
      </c>
      <c r="D17" s="171" t="s">
        <v>262</v>
      </c>
      <c r="E17" s="3"/>
      <c r="F17" s="41"/>
      <c r="G17" s="196">
        <f>Animals!G11</f>
        <v>0</v>
      </c>
      <c r="H17" s="197"/>
      <c r="I17" s="196">
        <f>Animals!I11</f>
        <v>0.85</v>
      </c>
      <c r="J17" s="198"/>
      <c r="K17" s="196">
        <f>Animals!K11</f>
        <v>0.61</v>
      </c>
      <c r="L17" s="197"/>
      <c r="M17" s="196">
        <f>Animals!M11</f>
        <v>0</v>
      </c>
      <c r="N17" s="199"/>
      <c r="O17" s="196">
        <f>Animals!O11</f>
        <v>0</v>
      </c>
      <c r="Q17" s="196">
        <f>Animals!Q11</f>
        <v>0</v>
      </c>
      <c r="S17" s="196">
        <f>Animals!S11</f>
        <v>0</v>
      </c>
    </row>
    <row r="18" spans="1:19" x14ac:dyDescent="0.35">
      <c r="A18" s="4" t="s">
        <v>15</v>
      </c>
      <c r="B18" s="2"/>
      <c r="C18" s="171" t="s">
        <v>263</v>
      </c>
      <c r="D18" s="189" t="s">
        <v>264</v>
      </c>
      <c r="G18" s="190">
        <f>Animals!G18</f>
        <v>3.3000000000000002E-7</v>
      </c>
      <c r="I18" s="190">
        <f>Animals!I18</f>
        <v>5.0000000000000003E-10</v>
      </c>
      <c r="K18" s="190">
        <f>Animals!K18</f>
        <v>1.55E-7</v>
      </c>
      <c r="M18" s="190">
        <f>Animals!M18</f>
        <v>8.8299999999999987E-9</v>
      </c>
      <c r="O18" s="190">
        <f>Animals!O18</f>
        <v>5.0000000000000001E-9</v>
      </c>
      <c r="Q18" s="190">
        <f>Animals!Q18</f>
        <v>9.5800000000000004E-9</v>
      </c>
      <c r="S18" s="190">
        <f>Animals!S18</f>
        <v>2.33E-9</v>
      </c>
    </row>
    <row r="19" spans="1:19" x14ac:dyDescent="0.35">
      <c r="A19" s="4" t="s">
        <v>11</v>
      </c>
      <c r="B19" s="2"/>
      <c r="C19" s="7" t="s">
        <v>12</v>
      </c>
      <c r="D19" s="7" t="s">
        <v>6</v>
      </c>
      <c r="E19" s="3"/>
      <c r="F19" s="28"/>
      <c r="G19" s="20" t="str">
        <f>IF(G16="shallow-diving",MAX(0,G14-2*$E10/G17),IF(G16="deep-diving",2*$E9/G17,""))</f>
        <v/>
      </c>
      <c r="I19" s="20" t="str">
        <f>IF(I16="shallow-diving",MAX(0,I14-2*$E10/I17),IF(I16="deep-diving",2*$E9/I17,""))</f>
        <v/>
      </c>
      <c r="J19" s="200"/>
      <c r="K19" s="20" t="str">
        <f>IF(K16="shallow-diving",MAX(0,K14-2*$E10/K17),IF(K16="deep-diving",2*$E9/K17,""))</f>
        <v/>
      </c>
      <c r="M19" s="20" t="str">
        <f>IF(M16="shallow-diving",MAX(0,M14-2*$E10/M17),IF(M16="deep-diving",2*$E9/M17,""))</f>
        <v/>
      </c>
      <c r="O19" s="20" t="str">
        <f>IF(O16="shallow-diving",MAX(0,O14-2*$E10/O17),IF(O16="deep-diving",2*$E9/O17,""))</f>
        <v/>
      </c>
      <c r="Q19" s="20" t="str">
        <f>IF(Q16="shallow-diving",MAX(0,Q14-2*$E10/Q17),IF(Q16="deep-diving",2*$E9/Q17,""))</f>
        <v/>
      </c>
      <c r="S19" s="20" t="str">
        <f>IF(S16="shallow-diving",MAX(0,S14-2*$E10/S17),IF(S16="deep-diving",2*$E9/S17,""))</f>
        <v/>
      </c>
    </row>
    <row r="20" spans="1:19" x14ac:dyDescent="0.35">
      <c r="A20" s="4" t="s">
        <v>13</v>
      </c>
      <c r="B20" s="2"/>
      <c r="C20" s="7" t="s">
        <v>177</v>
      </c>
      <c r="D20" s="7"/>
      <c r="E20" s="3"/>
      <c r="F20" s="28" t="s">
        <v>14</v>
      </c>
      <c r="G20" s="201" t="e">
        <f ca="1">Q2R(G16,G17,G14,G15,E10,E9,E11)</f>
        <v>#NAME?</v>
      </c>
      <c r="I20" s="201" t="e">
        <f ca="1">Q2R($I$16,$I$17,$I$14,$I$15,$E10,$E9,$E11)</f>
        <v>#NAME?</v>
      </c>
      <c r="J20" s="202"/>
      <c r="K20" s="201" t="e">
        <f ca="1">Q2R($K$16,$K$17,$K$14,$K$15,$E10,$E9,$E11)</f>
        <v>#NAME?</v>
      </c>
      <c r="M20" s="201" t="e">
        <f ca="1">Q2R($M$16,$M$17,$M$14,$M$15,$E10,$E9,$E11)</f>
        <v>#NAME?</v>
      </c>
      <c r="O20" s="201" t="e">
        <f ca="1">Q2R($O$16,$O$17,$O$14,$O$15,$E10,$E9,$E11)</f>
        <v>#NAME?</v>
      </c>
      <c r="Q20" s="201" t="e">
        <f ca="1">Q2R($Q$16,$Q$17,$Q$14,$Q$15,$E10,$E9,$E11)</f>
        <v>#NAME?</v>
      </c>
      <c r="S20" s="201" t="e">
        <f ca="1">Q2R($S$16,$S$17,$S$14,$S$15,$E10,$E9,$E11)</f>
        <v>#NAME?</v>
      </c>
    </row>
    <row r="21" spans="1:19" x14ac:dyDescent="0.35">
      <c r="A21" s="4" t="s">
        <v>265</v>
      </c>
      <c r="B21" s="2"/>
      <c r="C21" s="9" t="s">
        <v>16</v>
      </c>
      <c r="D21" s="7" t="s">
        <v>266</v>
      </c>
      <c r="E21" s="3"/>
      <c r="F21" s="28" t="s">
        <v>267</v>
      </c>
      <c r="G21" s="230" t="e">
        <f ca="1">G18*G20/$E9</f>
        <v>#NAME?</v>
      </c>
      <c r="I21" s="230" t="e">
        <f ca="1">I18*I20/$E9</f>
        <v>#NAME?</v>
      </c>
      <c r="J21" s="95"/>
      <c r="K21" s="230" t="e">
        <f ca="1">K18*K20/$E9</f>
        <v>#NAME?</v>
      </c>
      <c r="M21" s="230" t="e">
        <f ca="1">M18*M20/$E9</f>
        <v>#NAME?</v>
      </c>
      <c r="O21" s="230" t="e">
        <f ca="1">O18*O20/$E9</f>
        <v>#NAME?</v>
      </c>
      <c r="Q21" s="230" t="e">
        <f ca="1">Q18*Q20/$E9</f>
        <v>#NAME?</v>
      </c>
      <c r="S21" s="230" t="e">
        <f ca="1">S18*S20/$E9</f>
        <v>#NAME?</v>
      </c>
    </row>
  </sheetData>
  <dataConsolidate/>
  <mergeCells count="3">
    <mergeCell ref="A1:B1"/>
    <mergeCell ref="C4:D4"/>
    <mergeCell ref="C5:D5"/>
  </mergeCells>
  <conditionalFormatting sqref="G14 I14:K14 M14 O14">
    <cfRule type="expression" dxfId="2" priority="3">
      <formula>(#REF!="non-diving")</formula>
    </cfRule>
  </conditionalFormatting>
  <conditionalFormatting sqref="Q14">
    <cfRule type="expression" dxfId="1" priority="2">
      <formula>(#REF!="non-diving")</formula>
    </cfRule>
  </conditionalFormatting>
  <conditionalFormatting sqref="S14">
    <cfRule type="expression" dxfId="0" priority="1">
      <formula>(#REF!="non-diving")</formula>
    </cfRule>
  </conditionalFormatting>
  <dataValidations count="2">
    <dataValidation type="list" allowBlank="1" showInputMessage="1" showErrorMessage="1" sqref="G4:G12 S4:S12 Q4:Q12 O4:O12 M4:M12 I4:K12" xr:uid="{D5C136EE-6A19-48D6-8D6F-C4D21BE08D33}">
      <formula1>"yes, no"</formula1>
    </dataValidation>
    <dataValidation type="list" allowBlank="1" showInputMessage="1" showErrorMessage="1" sqref="J16" xr:uid="{CC6C76A7-1086-43B2-96DF-6D01A7DE479A}">
      <formula1>#REF!</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0E2C9-6145-4904-B0C9-320D46D76159}">
  <sheetPr codeName="Sheet19"/>
  <dimension ref="A1:W97"/>
  <sheetViews>
    <sheetView defaultGridColor="0" colorId="22" zoomScale="120" zoomScaleNormal="120" workbookViewId="0">
      <selection activeCell="V45" sqref="V45"/>
    </sheetView>
  </sheetViews>
  <sheetFormatPr defaultRowHeight="14.5" x14ac:dyDescent="0.35"/>
  <cols>
    <col min="1" max="1" width="26" customWidth="1"/>
    <col min="4" max="4" width="10.26953125" customWidth="1"/>
    <col min="5" max="5" width="14.81640625" customWidth="1"/>
    <col min="6" max="6" width="13.453125" customWidth="1"/>
    <col min="7" max="7" width="5.81640625" customWidth="1"/>
    <col min="8" max="8" width="3.54296875" customWidth="1"/>
    <col min="9" max="9" width="10.1796875" customWidth="1"/>
    <col min="10" max="10" width="2.81640625" customWidth="1"/>
    <col min="11" max="11" width="10.453125" customWidth="1"/>
    <col min="12" max="12" width="2.26953125" customWidth="1"/>
    <col min="13" max="13" width="9.54296875" customWidth="1"/>
    <col min="14" max="14" width="2.26953125" customWidth="1"/>
    <col min="15" max="15" width="10.453125" customWidth="1"/>
    <col min="16" max="16" width="3" customWidth="1"/>
    <col min="17" max="17" width="10.453125" customWidth="1"/>
    <col min="18" max="18" width="2.453125" customWidth="1"/>
    <col min="19" max="19" width="10.453125" customWidth="1"/>
    <col min="20" max="20" width="2.54296875" customWidth="1"/>
  </cols>
  <sheetData>
    <row r="1" spans="1:20" ht="34.5" customHeight="1" x14ac:dyDescent="0.35">
      <c r="A1" s="232" t="s">
        <v>202</v>
      </c>
      <c r="B1" s="181" t="s">
        <v>238</v>
      </c>
      <c r="C1" s="182" t="s">
        <v>237</v>
      </c>
      <c r="D1" s="231" t="s">
        <v>248</v>
      </c>
      <c r="E1" s="183" t="s">
        <v>240</v>
      </c>
      <c r="F1" s="180" t="s">
        <v>241</v>
      </c>
      <c r="G1" s="250"/>
    </row>
    <row r="2" spans="1:20" x14ac:dyDescent="0.35">
      <c r="A2" s="233" t="s">
        <v>200</v>
      </c>
      <c r="C2" s="152"/>
      <c r="D2" s="138"/>
      <c r="E2" s="138"/>
      <c r="F2" s="138"/>
      <c r="G2" s="138"/>
      <c r="H2" s="138"/>
      <c r="I2" s="138"/>
      <c r="J2" s="138"/>
      <c r="K2" s="138"/>
      <c r="L2" s="138"/>
      <c r="M2" s="138"/>
      <c r="N2" s="138"/>
      <c r="O2" s="138"/>
      <c r="P2" s="138"/>
      <c r="Q2" s="138"/>
      <c r="R2" s="138"/>
      <c r="S2" s="138"/>
      <c r="T2" s="138"/>
    </row>
    <row r="3" spans="1:20" x14ac:dyDescent="0.35">
      <c r="A3" s="235" t="s">
        <v>191</v>
      </c>
      <c r="C3" s="325">
        <f>Devices!F1</f>
        <v>4</v>
      </c>
      <c r="D3" s="325"/>
      <c r="E3" s="138"/>
      <c r="F3" s="138"/>
      <c r="G3" s="138"/>
      <c r="H3" s="138"/>
      <c r="I3" s="138"/>
      <c r="J3" s="138"/>
      <c r="K3" s="138"/>
      <c r="L3" s="138"/>
      <c r="M3" s="138"/>
      <c r="N3" s="138"/>
      <c r="O3" s="138"/>
      <c r="P3" s="138"/>
      <c r="Q3" s="138"/>
      <c r="R3" s="138"/>
      <c r="S3" s="138"/>
      <c r="T3" s="138"/>
    </row>
    <row r="4" spans="1:20" x14ac:dyDescent="0.35">
      <c r="A4" s="236" t="s">
        <v>242</v>
      </c>
      <c r="C4" s="325">
        <f>Devices!F2</f>
        <v>0</v>
      </c>
      <c r="D4" s="325"/>
      <c r="E4" s="138"/>
      <c r="F4" s="138"/>
      <c r="G4" s="138"/>
      <c r="H4" s="138"/>
      <c r="I4" s="138"/>
      <c r="J4" s="138"/>
      <c r="K4" s="138"/>
      <c r="L4" s="138"/>
      <c r="M4" s="138"/>
      <c r="N4" s="138"/>
      <c r="O4" s="138"/>
      <c r="P4" s="138"/>
      <c r="Q4" s="138"/>
      <c r="R4" s="138"/>
      <c r="S4" s="138"/>
      <c r="T4" s="138"/>
    </row>
    <row r="5" spans="1:20" x14ac:dyDescent="0.35">
      <c r="A5" s="152"/>
      <c r="B5" s="152"/>
      <c r="C5" s="152"/>
      <c r="D5" s="138"/>
      <c r="E5" s="138"/>
      <c r="F5" s="138"/>
      <c r="G5" s="138"/>
      <c r="H5" s="138"/>
      <c r="I5" s="138"/>
      <c r="J5" s="138"/>
      <c r="K5" s="138"/>
      <c r="L5" s="138"/>
      <c r="M5" s="138"/>
      <c r="N5" s="138"/>
      <c r="O5" s="138"/>
      <c r="P5" s="138"/>
      <c r="Q5" s="138"/>
      <c r="R5" s="138"/>
      <c r="S5" s="138"/>
      <c r="T5" s="138"/>
    </row>
    <row r="6" spans="1:20" x14ac:dyDescent="0.35">
      <c r="A6" s="1" t="s">
        <v>45</v>
      </c>
      <c r="B6" s="2"/>
      <c r="C6" s="3" t="s">
        <v>46</v>
      </c>
      <c r="D6" s="3" t="s">
        <v>47</v>
      </c>
      <c r="E6" s="4"/>
    </row>
    <row r="7" spans="1:20" x14ac:dyDescent="0.35">
      <c r="A7" s="4" t="s">
        <v>48</v>
      </c>
      <c r="B7" s="2"/>
      <c r="C7" s="15"/>
      <c r="D7" s="25">
        <f>Devices!F25</f>
        <v>0</v>
      </c>
      <c r="E7" s="26">
        <f>Devices!F26</f>
        <v>0</v>
      </c>
    </row>
    <row r="8" spans="1:20" x14ac:dyDescent="0.35">
      <c r="A8" s="4" t="s">
        <v>50</v>
      </c>
      <c r="B8" s="2"/>
      <c r="C8" s="9" t="s">
        <v>51</v>
      </c>
      <c r="D8" s="9" t="s">
        <v>6</v>
      </c>
      <c r="E8" s="36" t="b">
        <f>IF(D7="years",E7*365*24*3600,IF(D7="months",E7*30.4*24*3600,IF(D7="weeks",E7*7*24*3600)))</f>
        <v>0</v>
      </c>
    </row>
    <row r="9" spans="1:20" x14ac:dyDescent="0.35">
      <c r="A9" s="4"/>
      <c r="B9" s="2"/>
      <c r="C9" s="3"/>
      <c r="D9" s="3"/>
      <c r="E9" s="28"/>
    </row>
    <row r="10" spans="1:20" x14ac:dyDescent="0.35">
      <c r="A10" s="1" t="s">
        <v>21</v>
      </c>
      <c r="B10" s="2"/>
      <c r="C10" s="3"/>
      <c r="D10" s="5"/>
      <c r="E10" s="55"/>
    </row>
    <row r="11" spans="1:20" x14ac:dyDescent="0.35">
      <c r="A11" s="4" t="s">
        <v>91</v>
      </c>
      <c r="B11" s="2"/>
      <c r="C11" s="14" t="s">
        <v>22</v>
      </c>
      <c r="D11" s="15" t="s">
        <v>23</v>
      </c>
      <c r="E11" s="16">
        <f>Devices!F4</f>
        <v>0</v>
      </c>
    </row>
    <row r="12" spans="1:20" x14ac:dyDescent="0.35">
      <c r="A12" s="4" t="s">
        <v>24</v>
      </c>
      <c r="B12" s="2"/>
      <c r="C12" s="9" t="s">
        <v>25</v>
      </c>
      <c r="D12" s="35" t="s">
        <v>23</v>
      </c>
      <c r="E12" s="245">
        <f>E13*2</f>
        <v>0</v>
      </c>
      <c r="F12" s="326"/>
      <c r="G12" s="246"/>
    </row>
    <row r="13" spans="1:20" x14ac:dyDescent="0.35">
      <c r="A13" s="4" t="s">
        <v>26</v>
      </c>
      <c r="B13" s="2"/>
      <c r="C13" s="14" t="s">
        <v>27</v>
      </c>
      <c r="D13" s="15" t="s">
        <v>23</v>
      </c>
      <c r="E13" s="146">
        <f>Devices!F5</f>
        <v>0</v>
      </c>
      <c r="F13" s="326"/>
      <c r="G13" s="246"/>
    </row>
    <row r="14" spans="1:20" x14ac:dyDescent="0.35">
      <c r="A14" s="4" t="s">
        <v>28</v>
      </c>
      <c r="B14" s="2"/>
      <c r="C14" s="17" t="s">
        <v>29</v>
      </c>
      <c r="D14" s="15"/>
      <c r="E14" s="18">
        <f>Devices!F6</f>
        <v>0</v>
      </c>
    </row>
    <row r="15" spans="1:20" x14ac:dyDescent="0.35">
      <c r="A15" s="13" t="s">
        <v>73</v>
      </c>
      <c r="B15" s="49"/>
      <c r="C15" s="51" t="s">
        <v>60</v>
      </c>
      <c r="D15" s="51" t="s">
        <v>23</v>
      </c>
      <c r="E15" s="148">
        <f>Devices!F7</f>
        <v>0</v>
      </c>
    </row>
    <row r="16" spans="1:20" x14ac:dyDescent="0.35">
      <c r="A16" s="4" t="s">
        <v>36</v>
      </c>
      <c r="B16" s="2"/>
      <c r="C16" s="17" t="s">
        <v>37</v>
      </c>
      <c r="D16" s="15" t="s">
        <v>38</v>
      </c>
      <c r="E16" s="19">
        <f>Devices!F8</f>
        <v>0</v>
      </c>
    </row>
    <row r="17" spans="1:21" x14ac:dyDescent="0.35">
      <c r="A17" s="4" t="s">
        <v>112</v>
      </c>
      <c r="B17" s="2"/>
      <c r="C17" s="34" t="s">
        <v>268</v>
      </c>
      <c r="D17" s="35" t="s">
        <v>262</v>
      </c>
      <c r="E17" s="20">
        <f>(1/2)*$E13*$E16*2*PI()/60</f>
        <v>0</v>
      </c>
    </row>
    <row r="18" spans="1:21" x14ac:dyDescent="0.35">
      <c r="A18" s="4" t="s">
        <v>39</v>
      </c>
      <c r="B18" s="2"/>
      <c r="C18" s="17" t="s">
        <v>40</v>
      </c>
      <c r="D18" s="15"/>
      <c r="E18" s="21">
        <f>Devices!F21</f>
        <v>0</v>
      </c>
    </row>
    <row r="19" spans="1:21" x14ac:dyDescent="0.35">
      <c r="A19" s="4" t="s">
        <v>269</v>
      </c>
      <c r="B19" s="2"/>
      <c r="C19" s="14" t="s">
        <v>270</v>
      </c>
      <c r="D19" s="15" t="s">
        <v>262</v>
      </c>
      <c r="E19" s="19">
        <f>Devices!F11</f>
        <v>0</v>
      </c>
    </row>
    <row r="20" spans="1:21" x14ac:dyDescent="0.35">
      <c r="A20" s="4" t="s">
        <v>113</v>
      </c>
      <c r="B20" s="2"/>
      <c r="C20" s="35" t="s">
        <v>61</v>
      </c>
      <c r="D20" s="35" t="s">
        <v>262</v>
      </c>
      <c r="E20" s="101">
        <f>SQRT(E17*E17+E19*E19)</f>
        <v>0</v>
      </c>
      <c r="F20" s="70" t="s">
        <v>271</v>
      </c>
      <c r="G20" s="70"/>
    </row>
    <row r="21" spans="1:21" x14ac:dyDescent="0.35">
      <c r="A21" s="4"/>
      <c r="B21" s="2"/>
      <c r="C21" s="5"/>
      <c r="D21" s="5"/>
      <c r="E21" s="102"/>
    </row>
    <row r="22" spans="1:21" x14ac:dyDescent="0.35">
      <c r="A22" s="50" t="s">
        <v>42</v>
      </c>
      <c r="I22" s="77"/>
    </row>
    <row r="23" spans="1:21" ht="24" x14ac:dyDescent="0.35">
      <c r="A23" s="13" t="s">
        <v>87</v>
      </c>
      <c r="I23" s="169" t="s">
        <v>77</v>
      </c>
      <c r="J23" s="52"/>
      <c r="K23" s="169" t="s">
        <v>143</v>
      </c>
      <c r="L23" s="92"/>
      <c r="M23" s="169" t="s">
        <v>107</v>
      </c>
      <c r="N23" s="52"/>
      <c r="O23" s="169" t="s">
        <v>78</v>
      </c>
      <c r="P23" s="53"/>
      <c r="Q23" s="169" t="s">
        <v>188</v>
      </c>
      <c r="S23" s="169" t="s">
        <v>189</v>
      </c>
      <c r="U23" s="169" t="s">
        <v>199</v>
      </c>
    </row>
    <row r="24" spans="1:21" x14ac:dyDescent="0.35">
      <c r="A24" s="4" t="s">
        <v>106</v>
      </c>
      <c r="C24" s="177" t="s">
        <v>16</v>
      </c>
      <c r="D24" s="177" t="s">
        <v>272</v>
      </c>
      <c r="I24" s="78" t="e">
        <f ca="1">Density_4!G21</f>
        <v>#NAME?</v>
      </c>
      <c r="J24" s="75"/>
      <c r="K24" s="78" t="e">
        <f ca="1">Density_4!I21</f>
        <v>#NAME?</v>
      </c>
      <c r="L24" s="75"/>
      <c r="M24" s="78" t="e">
        <f ca="1">Density_4!K21</f>
        <v>#NAME?</v>
      </c>
      <c r="N24" s="75"/>
      <c r="O24" s="79" t="e">
        <f ca="1">Density_4!M21</f>
        <v>#NAME?</v>
      </c>
      <c r="P24" s="88"/>
      <c r="Q24" s="79" t="e">
        <f ca="1">Density_4!O21</f>
        <v>#NAME?</v>
      </c>
      <c r="R24" s="75"/>
      <c r="S24" s="79" t="e">
        <f ca="1">Density_4!Q21</f>
        <v>#NAME?</v>
      </c>
      <c r="U24" s="79" t="e">
        <f ca="1">Density_4!S21</f>
        <v>#NAME?</v>
      </c>
    </row>
    <row r="25" spans="1:21" x14ac:dyDescent="0.35">
      <c r="A25" s="4" t="s">
        <v>103</v>
      </c>
      <c r="I25" s="170" t="s">
        <v>102</v>
      </c>
      <c r="J25" s="43"/>
      <c r="K25" s="170" t="s">
        <v>102</v>
      </c>
      <c r="L25" s="43"/>
      <c r="M25" s="170" t="s">
        <v>102</v>
      </c>
      <c r="N25" s="43"/>
      <c r="O25" s="170" t="s">
        <v>102</v>
      </c>
      <c r="P25" s="24"/>
      <c r="Q25" s="170" t="s">
        <v>102</v>
      </c>
      <c r="R25" s="43"/>
      <c r="S25" s="170" t="s">
        <v>102</v>
      </c>
      <c r="U25" s="170" t="s">
        <v>102</v>
      </c>
    </row>
    <row r="26" spans="1:21" x14ac:dyDescent="0.35">
      <c r="A26" s="4" t="s">
        <v>80</v>
      </c>
      <c r="C26" s="173" t="s">
        <v>43</v>
      </c>
      <c r="D26" s="173" t="s">
        <v>23</v>
      </c>
      <c r="I26" s="175">
        <f>Animals!G21</f>
        <v>1.22</v>
      </c>
      <c r="J26" s="43"/>
      <c r="K26" s="175">
        <f>Animals!I21</f>
        <v>1.41</v>
      </c>
      <c r="L26" s="45"/>
      <c r="M26" s="175">
        <f>Animals!K21</f>
        <v>1.37</v>
      </c>
      <c r="N26" s="45"/>
      <c r="O26" s="175">
        <f>Animals!M21</f>
        <v>5.2</v>
      </c>
      <c r="P26" s="45"/>
      <c r="Q26" s="175">
        <f>Animals!O21</f>
        <v>2.57</v>
      </c>
      <c r="R26" s="45"/>
      <c r="S26" s="175">
        <f>Animals!Q21</f>
        <v>2.37</v>
      </c>
      <c r="U26" s="175">
        <f>Animals!S21</f>
        <v>1.77</v>
      </c>
    </row>
    <row r="27" spans="1:21" x14ac:dyDescent="0.35">
      <c r="A27" s="4" t="s">
        <v>72</v>
      </c>
      <c r="C27" s="171" t="s">
        <v>44</v>
      </c>
      <c r="D27" s="171" t="s">
        <v>23</v>
      </c>
      <c r="E27" s="3"/>
      <c r="I27" s="172">
        <f>Animals!G22</f>
        <v>0.3</v>
      </c>
      <c r="J27" s="43"/>
      <c r="K27" s="172">
        <f>Animals!I22</f>
        <v>0.34</v>
      </c>
      <c r="L27" s="45"/>
      <c r="M27" s="172">
        <f>Animals!K22</f>
        <v>0.32</v>
      </c>
      <c r="N27" s="45"/>
      <c r="O27" s="172">
        <f>Animals!M22</f>
        <v>2.2000000000000002</v>
      </c>
      <c r="P27" s="45"/>
      <c r="Q27" s="172">
        <f>Animals!O22</f>
        <v>0.64</v>
      </c>
      <c r="R27" s="45"/>
      <c r="S27" s="172">
        <f>Animals!Q22</f>
        <v>0.55000000000000004</v>
      </c>
      <c r="U27" s="172">
        <f>Animals!S22</f>
        <v>0.44</v>
      </c>
    </row>
    <row r="28" spans="1:21" x14ac:dyDescent="0.35">
      <c r="A28" s="4" t="s">
        <v>95</v>
      </c>
      <c r="C28" s="171" t="s">
        <v>273</v>
      </c>
      <c r="D28" s="171" t="s">
        <v>262</v>
      </c>
      <c r="E28" s="3"/>
      <c r="I28" s="172">
        <f>Animals!G23</f>
        <v>2</v>
      </c>
      <c r="J28" s="43"/>
      <c r="K28" s="172">
        <f>Animals!I23</f>
        <v>1.8</v>
      </c>
      <c r="L28" s="45"/>
      <c r="M28" s="172">
        <f>Animals!K23</f>
        <v>1.86</v>
      </c>
      <c r="N28" s="45"/>
      <c r="O28" s="172">
        <f>Animals!M23</f>
        <v>1.62</v>
      </c>
      <c r="P28" s="45"/>
      <c r="Q28" s="172">
        <f>Animals!O23</f>
        <v>2.1</v>
      </c>
      <c r="R28" s="45"/>
      <c r="S28" s="172">
        <f>Animals!Q23</f>
        <v>1.94</v>
      </c>
      <c r="U28" s="172">
        <f>Animals!S23</f>
        <v>3</v>
      </c>
    </row>
    <row r="29" spans="1:21" x14ac:dyDescent="0.35">
      <c r="A29" s="4" t="s">
        <v>56</v>
      </c>
      <c r="C29" s="171" t="s">
        <v>57</v>
      </c>
      <c r="D29" s="171" t="s">
        <v>262</v>
      </c>
      <c r="E29" s="3"/>
      <c r="I29" s="234">
        <f>Animals!G11</f>
        <v>0</v>
      </c>
      <c r="J29" s="43"/>
      <c r="K29" s="234">
        <f>Animals!I11</f>
        <v>0.85</v>
      </c>
      <c r="L29" s="45"/>
      <c r="M29" s="234">
        <f>Animals!K11</f>
        <v>0.61</v>
      </c>
      <c r="N29" s="45"/>
      <c r="O29" s="234">
        <f>Animals!M11</f>
        <v>0</v>
      </c>
      <c r="P29" s="45"/>
      <c r="Q29" s="234">
        <f>Animals!O11</f>
        <v>0</v>
      </c>
      <c r="R29" s="45"/>
      <c r="S29" s="234">
        <f>Animals!Q11</f>
        <v>0</v>
      </c>
      <c r="U29" s="234">
        <f>Animals!S11</f>
        <v>0</v>
      </c>
    </row>
    <row r="30" spans="1:21" x14ac:dyDescent="0.35">
      <c r="A30" s="4" t="s">
        <v>68</v>
      </c>
      <c r="B30" s="2"/>
      <c r="C30" s="171" t="s">
        <v>69</v>
      </c>
      <c r="D30" s="171"/>
      <c r="E30" s="3"/>
      <c r="F30" s="12" t="s">
        <v>93</v>
      </c>
      <c r="G30" s="12"/>
      <c r="I30" s="172">
        <f>Animals!G24</f>
        <v>0.5</v>
      </c>
      <c r="J30" s="84"/>
      <c r="K30" s="172">
        <f>Animals!I24</f>
        <v>0.5</v>
      </c>
      <c r="L30" s="62"/>
      <c r="M30" s="172">
        <f>Animals!K24</f>
        <v>0.5</v>
      </c>
      <c r="N30" s="62"/>
      <c r="O30" s="172">
        <f>Animals!M24</f>
        <v>0.5</v>
      </c>
      <c r="P30" s="45"/>
      <c r="Q30" s="172">
        <f>Animals!O24</f>
        <v>0.5</v>
      </c>
      <c r="R30" s="62"/>
      <c r="S30" s="172">
        <f>Animals!Q24</f>
        <v>0.5</v>
      </c>
      <c r="U30" s="172">
        <f>Animals!S24</f>
        <v>0.5</v>
      </c>
    </row>
    <row r="32" spans="1:21" x14ac:dyDescent="0.35">
      <c r="A32" s="1" t="s">
        <v>62</v>
      </c>
      <c r="B32" s="2"/>
      <c r="C32" s="5"/>
      <c r="D32" s="5"/>
      <c r="E32" s="5"/>
      <c r="F32" s="41"/>
      <c r="G32" s="41"/>
    </row>
    <row r="33" spans="1:21" x14ac:dyDescent="0.35">
      <c r="A33" s="4" t="s">
        <v>104</v>
      </c>
      <c r="B33" s="2"/>
      <c r="C33" s="7" t="s">
        <v>70</v>
      </c>
      <c r="D33" s="7" t="s">
        <v>23</v>
      </c>
      <c r="E33" s="3"/>
      <c r="F33" s="12" t="s">
        <v>71</v>
      </c>
      <c r="G33" s="12"/>
      <c r="I33" s="87">
        <f>MAX(I26,I27)*I30/2</f>
        <v>0.30499999999999999</v>
      </c>
      <c r="J33" s="89"/>
      <c r="K33" s="87">
        <f>MAX(K26,K27)*K30/2</f>
        <v>0.35249999999999998</v>
      </c>
      <c r="L33" s="90"/>
      <c r="M33" s="87">
        <f>MAX(M26,M27)*M30/2</f>
        <v>0.34250000000000003</v>
      </c>
      <c r="N33" s="90"/>
      <c r="O33" s="87">
        <f>MAX(O26,O27)*O30/2</f>
        <v>1.3</v>
      </c>
      <c r="P33" s="91"/>
      <c r="Q33" s="87">
        <f>MAX(Q26,Q27)*Q30/2</f>
        <v>0.64249999999999996</v>
      </c>
      <c r="R33" s="90"/>
      <c r="S33" s="87">
        <f>MAX(S26,S27)*S30/2</f>
        <v>0.59250000000000003</v>
      </c>
      <c r="T33" s="89"/>
      <c r="U33" s="87">
        <f>MAX(U26,U27)*U30/2</f>
        <v>0.4425</v>
      </c>
    </row>
    <row r="34" spans="1:21" x14ac:dyDescent="0.35">
      <c r="A34" s="4" t="s">
        <v>63</v>
      </c>
      <c r="B34" s="2"/>
      <c r="C34" s="7" t="s">
        <v>64</v>
      </c>
      <c r="D34" s="7" t="s">
        <v>215</v>
      </c>
      <c r="E34" s="3"/>
      <c r="F34" s="29" t="s">
        <v>274</v>
      </c>
      <c r="G34" s="29"/>
      <c r="I34" s="63">
        <f>$E11*$E14*($E15+2*I33)*($E13+I33)</f>
        <v>0</v>
      </c>
      <c r="K34" s="63">
        <f>$E11*$E14*($E15+2*K33)*($E13+K33)</f>
        <v>0</v>
      </c>
      <c r="M34" s="63">
        <f>$E11*$E14*($E15+2*M33)*($E13+M33)</f>
        <v>0</v>
      </c>
      <c r="O34" s="63">
        <f>$E11*$E14*($E15+2*O33)*($E13+O33)</f>
        <v>0</v>
      </c>
      <c r="P34" s="81"/>
      <c r="Q34" s="63">
        <f>$E11*$E14*($E15+2*Q33)*($E13+Q33)</f>
        <v>0</v>
      </c>
      <c r="S34" s="63">
        <f>$E11*$E14*($E15+2*S33)*($E13+S33)</f>
        <v>0</v>
      </c>
      <c r="U34" s="63">
        <f>$E11*$E14*($E15+2*U33)*($E13+U33)</f>
        <v>0</v>
      </c>
    </row>
    <row r="35" spans="1:21" x14ac:dyDescent="0.35">
      <c r="A35" s="4" t="s">
        <v>81</v>
      </c>
      <c r="B35" s="2"/>
      <c r="C35" s="7" t="s">
        <v>275</v>
      </c>
      <c r="D35" s="7"/>
      <c r="E35" s="3"/>
      <c r="F35" s="29" t="s">
        <v>276</v>
      </c>
      <c r="G35" s="29"/>
      <c r="I35" s="63">
        <f>IF(I25="diving bird",I29,I28)</f>
        <v>2</v>
      </c>
      <c r="K35" s="63">
        <f>IF(K25="diving bird",K29,K28)</f>
        <v>1.8</v>
      </c>
      <c r="M35" s="63">
        <f>IF(M25="diving bird",M29,M28)</f>
        <v>1.86</v>
      </c>
      <c r="O35" s="63">
        <f>IF(O25="diving bird",O29,O28)</f>
        <v>1.62</v>
      </c>
      <c r="P35" s="81"/>
      <c r="Q35" s="63">
        <f>IF(Q25="diving bird",Q29,Q28)</f>
        <v>2.1</v>
      </c>
      <c r="S35" s="63">
        <f>IF(S25="diving bird",S29,S28)</f>
        <v>1.94</v>
      </c>
      <c r="U35" s="63">
        <f>IF(U25="diving bird",U29,U28)</f>
        <v>3</v>
      </c>
    </row>
    <row r="36" spans="1:21" x14ac:dyDescent="0.35">
      <c r="A36" s="4" t="s">
        <v>65</v>
      </c>
      <c r="B36" s="2"/>
      <c r="C36" s="20"/>
      <c r="D36" s="7" t="s">
        <v>277</v>
      </c>
      <c r="E36" s="3"/>
      <c r="F36" s="30" t="s">
        <v>278</v>
      </c>
      <c r="G36" s="30"/>
      <c r="I36" s="63" t="e">
        <f>I34*(I35*I35+3*$E17*$E17)/(3*$E17)</f>
        <v>#DIV/0!</v>
      </c>
      <c r="K36" s="61" t="e">
        <f>K34*(K35*K35+3*$E17*$E17)/(3*$E17)</f>
        <v>#DIV/0!</v>
      </c>
      <c r="M36" s="61" t="e">
        <f>M34*(M35*M35+3*$E17*$E17)/(3*$E17)</f>
        <v>#DIV/0!</v>
      </c>
      <c r="O36" s="61" t="e">
        <f>O34*(O35*O35+3*$E17*$E17)/(3*$E17)</f>
        <v>#DIV/0!</v>
      </c>
      <c r="P36" s="62"/>
      <c r="Q36" s="61" t="e">
        <f>Q34*(Q35*Q35+3*$E17*$E17)/(3*$E17)</f>
        <v>#DIV/0!</v>
      </c>
      <c r="S36" s="61" t="e">
        <f>S34*(S35*S35+3*$E17*$E17)/(3*$E17)</f>
        <v>#DIV/0!</v>
      </c>
      <c r="U36" s="61" t="e">
        <f>U34*(U35*U35+3*$E17*$E17)/(3*$E17)</f>
        <v>#DIV/0!</v>
      </c>
    </row>
    <row r="37" spans="1:21" x14ac:dyDescent="0.35">
      <c r="A37" s="4" t="s">
        <v>66</v>
      </c>
      <c r="B37" s="2"/>
      <c r="C37" s="7" t="s">
        <v>279</v>
      </c>
      <c r="D37" s="7" t="s">
        <v>277</v>
      </c>
      <c r="E37" s="3"/>
      <c r="F37" s="30" t="s">
        <v>280</v>
      </c>
      <c r="G37" s="30"/>
      <c r="I37" s="39" t="e">
        <f ca="1">I36*I24</f>
        <v>#DIV/0!</v>
      </c>
      <c r="K37" s="39" t="e">
        <f ca="1">K36*K24</f>
        <v>#DIV/0!</v>
      </c>
      <c r="M37" s="39" t="e">
        <f ca="1">M36*M24</f>
        <v>#DIV/0!</v>
      </c>
      <c r="O37" s="39" t="e">
        <f ca="1">O36*O24</f>
        <v>#DIV/0!</v>
      </c>
      <c r="P37" s="68"/>
      <c r="Q37" s="39" t="e">
        <f ca="1">Q36*Q24</f>
        <v>#DIV/0!</v>
      </c>
      <c r="S37" s="39" t="e">
        <f ca="1">S36*S24</f>
        <v>#DIV/0!</v>
      </c>
      <c r="U37" s="39" t="e">
        <f ca="1">U36*U24</f>
        <v>#DIV/0!</v>
      </c>
    </row>
    <row r="38" spans="1:21" x14ac:dyDescent="0.35">
      <c r="A38" s="4" t="s">
        <v>67</v>
      </c>
      <c r="B38" s="2"/>
      <c r="C38" s="31"/>
      <c r="D38" s="32" t="s">
        <v>59</v>
      </c>
      <c r="E38" s="3"/>
      <c r="F38" s="12" t="s">
        <v>281</v>
      </c>
      <c r="G38" s="12"/>
      <c r="I38" s="85" t="e">
        <f ca="1">I37*$E8*(1-$E18)</f>
        <v>#DIV/0!</v>
      </c>
      <c r="J38" s="46"/>
      <c r="K38" s="85" t="e">
        <f ca="1">K37*$E8*(1-$E18)</f>
        <v>#DIV/0!</v>
      </c>
      <c r="L38" s="46"/>
      <c r="M38" s="85" t="e">
        <f ca="1">M37*$E8*(1-$E18)</f>
        <v>#DIV/0!</v>
      </c>
      <c r="N38" s="46"/>
      <c r="O38" s="85" t="e">
        <f ca="1">O37*$E8*(1-$E18)</f>
        <v>#DIV/0!</v>
      </c>
      <c r="P38" s="98"/>
      <c r="Q38" s="97" t="e">
        <f ca="1">Q37*$E8*(1-$E18)</f>
        <v>#DIV/0!</v>
      </c>
      <c r="R38" s="46"/>
      <c r="S38" s="97" t="e">
        <f ca="1">S37*$E8*(1-$E18)</f>
        <v>#DIV/0!</v>
      </c>
      <c r="T38" s="46"/>
      <c r="U38" s="97" t="e">
        <f ca="1">U37*$E8*(1-$E18)</f>
        <v>#DIV/0!</v>
      </c>
    </row>
    <row r="44" spans="1:21" ht="24" x14ac:dyDescent="0.35">
      <c r="G44" s="165"/>
      <c r="I44" s="169" t="s">
        <v>77</v>
      </c>
      <c r="J44" s="52"/>
      <c r="K44" s="169" t="s">
        <v>143</v>
      </c>
      <c r="L44" s="92"/>
      <c r="M44" s="169" t="s">
        <v>107</v>
      </c>
      <c r="N44" s="52"/>
      <c r="O44" s="169" t="s">
        <v>78</v>
      </c>
      <c r="P44" s="53"/>
      <c r="Q44" s="169" t="s">
        <v>188</v>
      </c>
      <c r="S44" s="169" t="s">
        <v>189</v>
      </c>
      <c r="U44" s="169" t="s">
        <v>199</v>
      </c>
    </row>
    <row r="45" spans="1:21" x14ac:dyDescent="0.35">
      <c r="A45" s="46" t="s">
        <v>187</v>
      </c>
      <c r="E45" t="s">
        <v>226</v>
      </c>
      <c r="F45" s="165">
        <v>1</v>
      </c>
      <c r="G45" s="165"/>
      <c r="I45" s="139" t="e">
        <f ca="1">$I$38*1</f>
        <v>#DIV/0!</v>
      </c>
      <c r="K45" s="139" t="e">
        <f ca="1">$K$38*1</f>
        <v>#DIV/0!</v>
      </c>
      <c r="M45" s="139" t="e">
        <f ca="1">$M$38*1</f>
        <v>#DIV/0!</v>
      </c>
      <c r="O45" s="139" t="e">
        <f ca="1">$O$38*1</f>
        <v>#DIV/0!</v>
      </c>
      <c r="Q45" s="139" t="e">
        <f ca="1">$Q$38*1</f>
        <v>#DIV/0!</v>
      </c>
      <c r="S45" s="139" t="e">
        <f ca="1">$S$38*1</f>
        <v>#DIV/0!</v>
      </c>
      <c r="U45" s="139" t="e">
        <f ca="1">$U$38*1</f>
        <v>#DIV/0!</v>
      </c>
    </row>
    <row r="46" spans="1:21" x14ac:dyDescent="0.35">
      <c r="A46" t="s">
        <v>185</v>
      </c>
      <c r="E46" t="s">
        <v>207</v>
      </c>
      <c r="F46" s="165">
        <f>Devices!F32</f>
        <v>0</v>
      </c>
      <c r="I46" s="174" t="s">
        <v>218</v>
      </c>
      <c r="K46" s="174" t="s">
        <v>220</v>
      </c>
      <c r="M46" s="174" t="s">
        <v>221</v>
      </c>
      <c r="O46" s="174" t="s">
        <v>207</v>
      </c>
      <c r="Q46" s="174" t="s">
        <v>219</v>
      </c>
      <c r="S46" s="174" t="s">
        <v>222</v>
      </c>
      <c r="U46" s="174" t="s">
        <v>223</v>
      </c>
    </row>
    <row r="47" spans="1:21" x14ac:dyDescent="0.35">
      <c r="A47" s="42">
        <v>0.5</v>
      </c>
      <c r="I47" s="157" t="e">
        <f t="shared" ref="I47:I52" ca="1" si="0">I$45*(1-$A47)</f>
        <v>#DIV/0!</v>
      </c>
      <c r="K47" s="63" t="e">
        <f t="shared" ref="K47:K52" ca="1" si="1">K$45*(1-$A47)</f>
        <v>#DIV/0!</v>
      </c>
      <c r="M47" s="157" t="e">
        <f t="shared" ref="M47:M52" ca="1" si="2">M$45*(1-$A47)</f>
        <v>#DIV/0!</v>
      </c>
      <c r="O47" s="157" t="e">
        <f t="shared" ref="O47:O52" ca="1" si="3">O$45*(1-$A47)</f>
        <v>#DIV/0!</v>
      </c>
      <c r="Q47" s="157" t="e">
        <f t="shared" ref="Q47:Q52" ca="1" si="4">Q$45*(1-$A47)</f>
        <v>#DIV/0!</v>
      </c>
      <c r="S47" s="157" t="e">
        <f t="shared" ref="S47:S52" ca="1" si="5">S$45*(1-$A47)</f>
        <v>#DIV/0!</v>
      </c>
      <c r="U47" s="157" t="e">
        <f t="shared" ref="U47:U52" ca="1" si="6">U$45*(1-$A47)</f>
        <v>#DIV/0!</v>
      </c>
    </row>
    <row r="48" spans="1:21" s="46" customFormat="1" x14ac:dyDescent="0.35">
      <c r="A48" s="42">
        <v>0.9</v>
      </c>
      <c r="B48"/>
      <c r="C48"/>
      <c r="D48"/>
      <c r="E48"/>
      <c r="F48"/>
      <c r="G48"/>
      <c r="H48"/>
      <c r="I48" s="157" t="e">
        <f t="shared" ca="1" si="0"/>
        <v>#DIV/0!</v>
      </c>
      <c r="J48"/>
      <c r="K48" s="63" t="e">
        <f t="shared" ca="1" si="1"/>
        <v>#DIV/0!</v>
      </c>
      <c r="L48"/>
      <c r="M48" s="63" t="e">
        <f t="shared" ca="1" si="2"/>
        <v>#DIV/0!</v>
      </c>
      <c r="N48"/>
      <c r="O48" s="157" t="e">
        <f t="shared" ca="1" si="3"/>
        <v>#DIV/0!</v>
      </c>
      <c r="P48"/>
      <c r="Q48" s="63" t="e">
        <f t="shared" ca="1" si="4"/>
        <v>#DIV/0!</v>
      </c>
      <c r="R48"/>
      <c r="S48" s="63" t="e">
        <f t="shared" ca="1" si="5"/>
        <v>#DIV/0!</v>
      </c>
      <c r="U48" s="63" t="e">
        <f t="shared" ca="1" si="6"/>
        <v>#DIV/0!</v>
      </c>
    </row>
    <row r="49" spans="1:23" x14ac:dyDescent="0.35">
      <c r="A49" s="42">
        <v>0.95</v>
      </c>
      <c r="I49" s="157" t="e">
        <f t="shared" ca="1" si="0"/>
        <v>#DIV/0!</v>
      </c>
      <c r="K49" s="63" t="e">
        <f t="shared" ca="1" si="1"/>
        <v>#DIV/0!</v>
      </c>
      <c r="M49" s="63" t="e">
        <f t="shared" ca="1" si="2"/>
        <v>#DIV/0!</v>
      </c>
      <c r="O49" s="141" t="e">
        <f t="shared" ca="1" si="3"/>
        <v>#DIV/0!</v>
      </c>
      <c r="Q49" s="63" t="e">
        <f t="shared" ca="1" si="4"/>
        <v>#DIV/0!</v>
      </c>
      <c r="S49" s="63" t="e">
        <f t="shared" ca="1" si="5"/>
        <v>#DIV/0!</v>
      </c>
      <c r="U49" s="63" t="e">
        <f t="shared" ca="1" si="6"/>
        <v>#DIV/0!</v>
      </c>
    </row>
    <row r="50" spans="1:23" x14ac:dyDescent="0.35">
      <c r="A50" s="140">
        <v>0.98</v>
      </c>
      <c r="B50" s="46"/>
      <c r="C50" s="46"/>
      <c r="D50" s="46"/>
      <c r="E50" s="46"/>
      <c r="F50" s="46"/>
      <c r="G50" s="46"/>
      <c r="H50" s="46"/>
      <c r="I50" s="85" t="e">
        <f t="shared" ca="1" si="0"/>
        <v>#DIV/0!</v>
      </c>
      <c r="J50" s="46"/>
      <c r="K50" s="141" t="e">
        <f t="shared" ca="1" si="1"/>
        <v>#DIV/0!</v>
      </c>
      <c r="L50" s="46"/>
      <c r="M50" s="141" t="e">
        <f t="shared" ca="1" si="2"/>
        <v>#DIV/0!</v>
      </c>
      <c r="N50" s="46"/>
      <c r="O50" s="141" t="e">
        <f t="shared" ca="1" si="3"/>
        <v>#DIV/0!</v>
      </c>
      <c r="P50" s="46"/>
      <c r="Q50" s="85" t="e">
        <f t="shared" ca="1" si="4"/>
        <v>#DIV/0!</v>
      </c>
      <c r="R50" s="46"/>
      <c r="S50" s="141" t="e">
        <f t="shared" ca="1" si="5"/>
        <v>#DIV/0!</v>
      </c>
      <c r="U50" s="141" t="e">
        <f t="shared" ca="1" si="6"/>
        <v>#DIV/0!</v>
      </c>
    </row>
    <row r="51" spans="1:23" x14ac:dyDescent="0.35">
      <c r="A51" s="42">
        <v>0.99</v>
      </c>
      <c r="I51" s="63" t="e">
        <f t="shared" ca="1" si="0"/>
        <v>#DIV/0!</v>
      </c>
      <c r="K51" s="63" t="e">
        <f t="shared" ca="1" si="1"/>
        <v>#DIV/0!</v>
      </c>
      <c r="M51" s="63" t="e">
        <f t="shared" ca="1" si="2"/>
        <v>#DIV/0!</v>
      </c>
      <c r="O51" s="63" t="e">
        <f t="shared" ca="1" si="3"/>
        <v>#DIV/0!</v>
      </c>
      <c r="Q51" s="63" t="e">
        <f t="shared" ca="1" si="4"/>
        <v>#DIV/0!</v>
      </c>
      <c r="S51" s="63" t="e">
        <f t="shared" ca="1" si="5"/>
        <v>#DIV/0!</v>
      </c>
      <c r="U51" s="63" t="e">
        <f t="shared" ca="1" si="6"/>
        <v>#DIV/0!</v>
      </c>
    </row>
    <row r="52" spans="1:23" x14ac:dyDescent="0.35">
      <c r="A52" s="154">
        <v>0.997</v>
      </c>
      <c r="I52" s="85" t="e">
        <f t="shared" ca="1" si="0"/>
        <v>#DIV/0!</v>
      </c>
      <c r="J52" s="46"/>
      <c r="K52" s="141" t="e">
        <f t="shared" ca="1" si="1"/>
        <v>#DIV/0!</v>
      </c>
      <c r="L52" s="46"/>
      <c r="M52" s="141" t="e">
        <f t="shared" ca="1" si="2"/>
        <v>#DIV/0!</v>
      </c>
      <c r="N52" s="46"/>
      <c r="O52" s="141" t="e">
        <f t="shared" ca="1" si="3"/>
        <v>#DIV/0!</v>
      </c>
      <c r="P52" s="46"/>
      <c r="Q52" s="85" t="e">
        <f t="shared" ca="1" si="4"/>
        <v>#DIV/0!</v>
      </c>
      <c r="R52" s="46"/>
      <c r="S52" s="141" t="e">
        <f t="shared" ca="1" si="5"/>
        <v>#DIV/0!</v>
      </c>
      <c r="T52" s="46"/>
      <c r="U52" s="141" t="e">
        <f t="shared" ca="1" si="6"/>
        <v>#DIV/0!</v>
      </c>
    </row>
    <row r="54" spans="1:23" x14ac:dyDescent="0.35">
      <c r="A54" s="151" t="s">
        <v>217</v>
      </c>
      <c r="B54" s="152"/>
      <c r="C54" s="152"/>
      <c r="D54" s="152"/>
      <c r="E54" s="152"/>
      <c r="F54" s="249">
        <f>Devices!F33</f>
        <v>0</v>
      </c>
      <c r="G54" s="249"/>
      <c r="I54" s="139" t="e">
        <f ca="1">$I$38*F54</f>
        <v>#DIV/0!</v>
      </c>
      <c r="K54" s="139" t="e">
        <f ca="1">$K$38*F54</f>
        <v>#DIV/0!</v>
      </c>
      <c r="M54" s="139" t="e">
        <f ca="1">$M$38*F54</f>
        <v>#DIV/0!</v>
      </c>
      <c r="O54" s="139" t="e">
        <f ca="1">$O$38*F54</f>
        <v>#DIV/0!</v>
      </c>
      <c r="Q54" s="139" t="e">
        <f ca="1">$Q$38*F54</f>
        <v>#DIV/0!</v>
      </c>
      <c r="S54" s="139" t="e">
        <f ca="1">$S$38*F54</f>
        <v>#DIV/0!</v>
      </c>
      <c r="U54" s="139" t="e">
        <f ca="1">$U$38*F54</f>
        <v>#DIV/0!</v>
      </c>
    </row>
    <row r="55" spans="1:23" x14ac:dyDescent="0.35">
      <c r="A55" t="s">
        <v>185</v>
      </c>
      <c r="E55" s="153" t="s">
        <v>207</v>
      </c>
      <c r="F55" s="166">
        <f>F54*F46</f>
        <v>0</v>
      </c>
      <c r="G55" s="166"/>
      <c r="I55" s="174" t="s">
        <v>218</v>
      </c>
      <c r="K55" s="174" t="s">
        <v>220</v>
      </c>
      <c r="M55" s="174" t="s">
        <v>221</v>
      </c>
      <c r="O55" s="174" t="s">
        <v>207</v>
      </c>
      <c r="Q55" s="174" t="s">
        <v>219</v>
      </c>
      <c r="S55" s="174" t="s">
        <v>222</v>
      </c>
      <c r="U55" s="174" t="s">
        <v>223</v>
      </c>
    </row>
    <row r="56" spans="1:23" x14ac:dyDescent="0.35">
      <c r="A56" s="42">
        <v>0.5</v>
      </c>
      <c r="I56" s="157" t="e">
        <f t="shared" ref="I56:I61" ca="1" si="7">I$54*(1-$A56)</f>
        <v>#DIV/0!</v>
      </c>
      <c r="K56" s="63" t="e">
        <f t="shared" ref="K56:K61" ca="1" si="8">K$54*(1-$A56)</f>
        <v>#DIV/0!</v>
      </c>
      <c r="M56" s="157" t="e">
        <f t="shared" ref="M56:M61" ca="1" si="9">M$54*(1-$A56)</f>
        <v>#DIV/0!</v>
      </c>
      <c r="O56" s="157" t="e">
        <f t="shared" ref="O56:O61" ca="1" si="10">O$54*(1-$A56)</f>
        <v>#DIV/0!</v>
      </c>
      <c r="Q56" s="157" t="e">
        <f t="shared" ref="Q56:Q61" ca="1" si="11">Q$54*(1-$A56)</f>
        <v>#DIV/0!</v>
      </c>
      <c r="S56" s="157" t="e">
        <f t="shared" ref="S56:S61" ca="1" si="12">S$54*(1-$A56)</f>
        <v>#DIV/0!</v>
      </c>
      <c r="U56" s="157" t="e">
        <f t="shared" ref="U56:U61" ca="1" si="13">U$54*(1-$A56)</f>
        <v>#DIV/0!</v>
      </c>
    </row>
    <row r="57" spans="1:23" x14ac:dyDescent="0.35">
      <c r="A57" s="42">
        <v>0.9</v>
      </c>
      <c r="I57" s="157" t="e">
        <f t="shared" ca="1" si="7"/>
        <v>#DIV/0!</v>
      </c>
      <c r="K57" s="63" t="e">
        <f t="shared" ca="1" si="8"/>
        <v>#DIV/0!</v>
      </c>
      <c r="M57" s="157" t="e">
        <f t="shared" ca="1" si="9"/>
        <v>#DIV/0!</v>
      </c>
      <c r="O57" s="157" t="e">
        <f t="shared" ca="1" si="10"/>
        <v>#DIV/0!</v>
      </c>
      <c r="Q57" s="157" t="e">
        <f t="shared" ca="1" si="11"/>
        <v>#DIV/0!</v>
      </c>
      <c r="S57" s="157" t="e">
        <f t="shared" ca="1" si="12"/>
        <v>#DIV/0!</v>
      </c>
      <c r="U57" s="157" t="e">
        <f t="shared" ca="1" si="13"/>
        <v>#DIV/0!</v>
      </c>
    </row>
    <row r="58" spans="1:23" x14ac:dyDescent="0.35">
      <c r="A58" s="42">
        <v>0.95</v>
      </c>
      <c r="I58" s="157" t="e">
        <f t="shared" ca="1" si="7"/>
        <v>#DIV/0!</v>
      </c>
      <c r="K58" s="63" t="e">
        <f t="shared" ca="1" si="8"/>
        <v>#DIV/0!</v>
      </c>
      <c r="M58" s="157" t="e">
        <f t="shared" ca="1" si="9"/>
        <v>#DIV/0!</v>
      </c>
      <c r="O58" s="157" t="e">
        <f t="shared" ca="1" si="10"/>
        <v>#DIV/0!</v>
      </c>
      <c r="Q58" s="157" t="e">
        <f t="shared" ca="1" si="11"/>
        <v>#DIV/0!</v>
      </c>
      <c r="S58" s="157" t="e">
        <f t="shared" ca="1" si="12"/>
        <v>#DIV/0!</v>
      </c>
      <c r="U58" s="157" t="e">
        <f t="shared" ca="1" si="13"/>
        <v>#DIV/0!</v>
      </c>
    </row>
    <row r="59" spans="1:23" x14ac:dyDescent="0.35">
      <c r="A59" s="140">
        <v>0.98</v>
      </c>
      <c r="B59" s="46"/>
      <c r="C59" s="46"/>
      <c r="D59" s="46"/>
      <c r="E59" s="46"/>
      <c r="F59" s="46"/>
      <c r="G59" s="46"/>
      <c r="H59" s="46"/>
      <c r="I59" s="155" t="e">
        <f t="shared" ca="1" si="7"/>
        <v>#DIV/0!</v>
      </c>
      <c r="J59" s="46"/>
      <c r="K59" s="141" t="e">
        <f t="shared" ca="1" si="8"/>
        <v>#DIV/0!</v>
      </c>
      <c r="L59" s="46"/>
      <c r="M59" s="141" t="e">
        <f t="shared" ca="1" si="9"/>
        <v>#DIV/0!</v>
      </c>
      <c r="N59" s="46"/>
      <c r="O59" s="156" t="e">
        <f t="shared" ca="1" si="10"/>
        <v>#DIV/0!</v>
      </c>
      <c r="P59" s="46"/>
      <c r="Q59" s="155" t="e">
        <f t="shared" ca="1" si="11"/>
        <v>#DIV/0!</v>
      </c>
      <c r="R59" s="46"/>
      <c r="S59" s="141" t="e">
        <f t="shared" ca="1" si="12"/>
        <v>#DIV/0!</v>
      </c>
      <c r="U59" s="156" t="e">
        <f t="shared" ca="1" si="13"/>
        <v>#DIV/0!</v>
      </c>
      <c r="W59" s="138" t="s">
        <v>225</v>
      </c>
    </row>
    <row r="60" spans="1:23" x14ac:dyDescent="0.35">
      <c r="A60" s="42">
        <v>0.99</v>
      </c>
      <c r="I60" s="157" t="e">
        <f t="shared" ca="1" si="7"/>
        <v>#DIV/0!</v>
      </c>
      <c r="K60" s="63" t="e">
        <f t="shared" ca="1" si="8"/>
        <v>#DIV/0!</v>
      </c>
      <c r="M60" s="63" t="e">
        <f t="shared" ca="1" si="9"/>
        <v>#DIV/0!</v>
      </c>
      <c r="O60" s="63" t="e">
        <f t="shared" ca="1" si="10"/>
        <v>#DIV/0!</v>
      </c>
      <c r="Q60" s="63" t="e">
        <f t="shared" ca="1" si="11"/>
        <v>#DIV/0!</v>
      </c>
      <c r="S60" s="63" t="e">
        <f t="shared" ca="1" si="12"/>
        <v>#DIV/0!</v>
      </c>
      <c r="U60" s="63" t="e">
        <f t="shared" ca="1" si="13"/>
        <v>#DIV/0!</v>
      </c>
    </row>
    <row r="61" spans="1:23" x14ac:dyDescent="0.35">
      <c r="A61" s="154">
        <v>0.997</v>
      </c>
      <c r="I61" s="85" t="e">
        <f t="shared" ca="1" si="7"/>
        <v>#DIV/0!</v>
      </c>
      <c r="J61" s="46"/>
      <c r="K61" s="141" t="e">
        <f t="shared" ca="1" si="8"/>
        <v>#DIV/0!</v>
      </c>
      <c r="L61" s="46"/>
      <c r="M61" s="141" t="e">
        <f t="shared" ca="1" si="9"/>
        <v>#DIV/0!</v>
      </c>
      <c r="N61" s="46"/>
      <c r="O61" s="141" t="e">
        <f t="shared" ca="1" si="10"/>
        <v>#DIV/0!</v>
      </c>
      <c r="P61" s="46"/>
      <c r="Q61" s="85" t="e">
        <f t="shared" ca="1" si="11"/>
        <v>#DIV/0!</v>
      </c>
      <c r="R61" s="46"/>
      <c r="S61" s="141" t="e">
        <f t="shared" ca="1" si="12"/>
        <v>#DIV/0!</v>
      </c>
      <c r="T61" s="46"/>
      <c r="U61" s="141" t="e">
        <f t="shared" ca="1" si="13"/>
        <v>#DIV/0!</v>
      </c>
    </row>
    <row r="63" spans="1:23" x14ac:dyDescent="0.35">
      <c r="A63" s="151" t="s">
        <v>216</v>
      </c>
      <c r="B63" s="152"/>
      <c r="C63" s="152"/>
      <c r="D63" s="152"/>
      <c r="E63" s="152"/>
      <c r="F63" s="166">
        <v>10</v>
      </c>
      <c r="G63" s="166"/>
      <c r="I63" s="139" t="e">
        <f ca="1">$I$38*F63</f>
        <v>#DIV/0!</v>
      </c>
      <c r="K63" s="139" t="e">
        <f ca="1">$K$38*F63</f>
        <v>#DIV/0!</v>
      </c>
      <c r="M63" s="139" t="e">
        <f ca="1">$M$38*F63</f>
        <v>#DIV/0!</v>
      </c>
      <c r="O63" s="139" t="e">
        <f ca="1">$O$38*F63</f>
        <v>#DIV/0!</v>
      </c>
      <c r="Q63" s="139" t="e">
        <f ca="1">$Q$38*F63</f>
        <v>#DIV/0!</v>
      </c>
      <c r="S63" s="139" t="e">
        <f ca="1">$S$38*F63</f>
        <v>#DIV/0!</v>
      </c>
      <c r="U63" s="139" t="e">
        <f ca="1">$U$38*F63</f>
        <v>#DIV/0!</v>
      </c>
    </row>
    <row r="64" spans="1:23" x14ac:dyDescent="0.35">
      <c r="A64" t="s">
        <v>185</v>
      </c>
      <c r="E64" s="153" t="s">
        <v>207</v>
      </c>
      <c r="F64" s="166">
        <f>F63*F46</f>
        <v>0</v>
      </c>
      <c r="G64" s="166"/>
      <c r="I64" s="174" t="s">
        <v>218</v>
      </c>
      <c r="K64" s="174" t="s">
        <v>220</v>
      </c>
      <c r="M64" s="174" t="s">
        <v>221</v>
      </c>
      <c r="O64" s="174" t="s">
        <v>207</v>
      </c>
      <c r="Q64" s="174" t="s">
        <v>219</v>
      </c>
      <c r="S64" s="174" t="s">
        <v>222</v>
      </c>
      <c r="U64" s="174" t="s">
        <v>223</v>
      </c>
    </row>
    <row r="65" spans="1:21" x14ac:dyDescent="0.35">
      <c r="A65" s="42">
        <v>0.5</v>
      </c>
      <c r="I65" s="157" t="e">
        <f t="shared" ref="I65:I70" ca="1" si="14">I$63*(1-$A65)</f>
        <v>#DIV/0!</v>
      </c>
      <c r="K65" s="63" t="e">
        <f t="shared" ref="K65:K70" ca="1" si="15">K$63*(1-$A65)</f>
        <v>#DIV/0!</v>
      </c>
      <c r="M65" s="157" t="e">
        <f t="shared" ref="M65:M70" ca="1" si="16">M$63*(1-$A65)</f>
        <v>#DIV/0!</v>
      </c>
      <c r="O65" s="157" t="e">
        <f t="shared" ref="O65:O70" ca="1" si="17">O$63*(1-$A65)</f>
        <v>#DIV/0!</v>
      </c>
      <c r="Q65" s="157" t="e">
        <f t="shared" ref="Q65:Q70" ca="1" si="18">Q$63*(1-$A65)</f>
        <v>#DIV/0!</v>
      </c>
      <c r="S65" s="157" t="e">
        <f t="shared" ref="S65:S70" ca="1" si="19">S$63*(1-$A65)</f>
        <v>#DIV/0!</v>
      </c>
      <c r="U65" s="157" t="e">
        <f t="shared" ref="U65:U70" ca="1" si="20">U$63*(1-$A65)</f>
        <v>#DIV/0!</v>
      </c>
    </row>
    <row r="66" spans="1:21" x14ac:dyDescent="0.35">
      <c r="A66" s="42">
        <v>0.9</v>
      </c>
      <c r="I66" s="157" t="e">
        <f t="shared" ca="1" si="14"/>
        <v>#DIV/0!</v>
      </c>
      <c r="K66" s="63" t="e">
        <f t="shared" ca="1" si="15"/>
        <v>#DIV/0!</v>
      </c>
      <c r="M66" s="157" t="e">
        <f t="shared" ca="1" si="16"/>
        <v>#DIV/0!</v>
      </c>
      <c r="O66" s="157" t="e">
        <f t="shared" ca="1" si="17"/>
        <v>#DIV/0!</v>
      </c>
      <c r="Q66" s="157" t="e">
        <f t="shared" ca="1" si="18"/>
        <v>#DIV/0!</v>
      </c>
      <c r="S66" s="157" t="e">
        <f t="shared" ca="1" si="19"/>
        <v>#DIV/0!</v>
      </c>
      <c r="U66" s="157" t="e">
        <f t="shared" ca="1" si="20"/>
        <v>#DIV/0!</v>
      </c>
    </row>
    <row r="67" spans="1:21" x14ac:dyDescent="0.35">
      <c r="A67" s="42">
        <v>0.95</v>
      </c>
      <c r="I67" s="157" t="e">
        <f t="shared" ca="1" si="14"/>
        <v>#DIV/0!</v>
      </c>
      <c r="K67" s="63" t="e">
        <f t="shared" ca="1" si="15"/>
        <v>#DIV/0!</v>
      </c>
      <c r="M67" s="157" t="e">
        <f t="shared" ca="1" si="16"/>
        <v>#DIV/0!</v>
      </c>
      <c r="O67" s="157" t="e">
        <f t="shared" ca="1" si="17"/>
        <v>#DIV/0!</v>
      </c>
      <c r="Q67" s="157" t="e">
        <f t="shared" ca="1" si="18"/>
        <v>#DIV/0!</v>
      </c>
      <c r="S67" s="157" t="e">
        <f t="shared" ca="1" si="19"/>
        <v>#DIV/0!</v>
      </c>
      <c r="U67" s="157" t="e">
        <f t="shared" ca="1" si="20"/>
        <v>#DIV/0!</v>
      </c>
    </row>
    <row r="68" spans="1:21" x14ac:dyDescent="0.35">
      <c r="A68" s="140">
        <v>0.98</v>
      </c>
      <c r="B68" s="46"/>
      <c r="C68" s="46"/>
      <c r="D68" s="46"/>
      <c r="E68" s="46"/>
      <c r="F68" s="46"/>
      <c r="G68" s="46"/>
      <c r="H68" s="46"/>
      <c r="I68" s="155" t="e">
        <f t="shared" ca="1" si="14"/>
        <v>#DIV/0!</v>
      </c>
      <c r="J68" s="46"/>
      <c r="K68" s="141" t="e">
        <f t="shared" ca="1" si="15"/>
        <v>#DIV/0!</v>
      </c>
      <c r="L68" s="46"/>
      <c r="M68" s="141" t="e">
        <f t="shared" ca="1" si="16"/>
        <v>#DIV/0!</v>
      </c>
      <c r="N68" s="46"/>
      <c r="O68" s="156" t="e">
        <f t="shared" ca="1" si="17"/>
        <v>#DIV/0!</v>
      </c>
      <c r="P68" s="46"/>
      <c r="Q68" s="155" t="e">
        <f t="shared" ca="1" si="18"/>
        <v>#DIV/0!</v>
      </c>
      <c r="R68" s="46"/>
      <c r="S68" s="141" t="e">
        <f t="shared" ca="1" si="19"/>
        <v>#DIV/0!</v>
      </c>
      <c r="U68" s="156" t="e">
        <f t="shared" ca="1" si="20"/>
        <v>#DIV/0!</v>
      </c>
    </row>
    <row r="69" spans="1:21" x14ac:dyDescent="0.35">
      <c r="A69" s="42">
        <v>0.99</v>
      </c>
      <c r="I69" s="157" t="e">
        <f t="shared" ca="1" si="14"/>
        <v>#DIV/0!</v>
      </c>
      <c r="K69" s="63" t="e">
        <f t="shared" ca="1" si="15"/>
        <v>#DIV/0!</v>
      </c>
      <c r="M69" s="63" t="e">
        <f t="shared" ca="1" si="16"/>
        <v>#DIV/0!</v>
      </c>
      <c r="O69" s="63" t="e">
        <f t="shared" ca="1" si="17"/>
        <v>#DIV/0!</v>
      </c>
      <c r="Q69" s="63" t="e">
        <f t="shared" ca="1" si="18"/>
        <v>#DIV/0!</v>
      </c>
      <c r="S69" s="63" t="e">
        <f t="shared" ca="1" si="19"/>
        <v>#DIV/0!</v>
      </c>
      <c r="U69" s="63" t="e">
        <f t="shared" ca="1" si="20"/>
        <v>#DIV/0!</v>
      </c>
    </row>
    <row r="70" spans="1:21" x14ac:dyDescent="0.35">
      <c r="A70" s="154">
        <v>0.997</v>
      </c>
      <c r="I70" s="85" t="e">
        <f t="shared" ca="1" si="14"/>
        <v>#DIV/0!</v>
      </c>
      <c r="J70" s="46"/>
      <c r="K70" s="141" t="e">
        <f t="shared" ca="1" si="15"/>
        <v>#DIV/0!</v>
      </c>
      <c r="L70" s="46"/>
      <c r="M70" s="141" t="e">
        <f t="shared" ca="1" si="16"/>
        <v>#DIV/0!</v>
      </c>
      <c r="N70" s="46"/>
      <c r="O70" s="141" t="e">
        <f t="shared" ca="1" si="17"/>
        <v>#DIV/0!</v>
      </c>
      <c r="P70" s="46"/>
      <c r="Q70" s="85" t="e">
        <f t="shared" ca="1" si="18"/>
        <v>#DIV/0!</v>
      </c>
      <c r="R70" s="46"/>
      <c r="S70" s="141" t="e">
        <f t="shared" ca="1" si="19"/>
        <v>#DIV/0!</v>
      </c>
      <c r="T70" s="46"/>
      <c r="U70" s="141" t="e">
        <f t="shared" ca="1" si="20"/>
        <v>#DIV/0!</v>
      </c>
    </row>
    <row r="72" spans="1:21" x14ac:dyDescent="0.35">
      <c r="A72" s="151" t="s">
        <v>224</v>
      </c>
      <c r="B72" s="152"/>
      <c r="C72" s="152"/>
      <c r="D72" s="152"/>
      <c r="E72" s="152"/>
      <c r="F72" s="165">
        <v>109</v>
      </c>
      <c r="G72" s="165"/>
      <c r="I72" s="139" t="e">
        <f ca="1">$I$38*F72</f>
        <v>#DIV/0!</v>
      </c>
      <c r="K72" s="139" t="e">
        <f ca="1">$K$38*F72</f>
        <v>#DIV/0!</v>
      </c>
      <c r="M72" s="139" t="e">
        <f ca="1">$M$38*F72</f>
        <v>#DIV/0!</v>
      </c>
      <c r="O72" s="139" t="e">
        <f ca="1">$O$38*F72</f>
        <v>#DIV/0!</v>
      </c>
      <c r="Q72" s="139" t="e">
        <f ca="1">$Q$38*F72</f>
        <v>#DIV/0!</v>
      </c>
      <c r="S72" s="139" t="e">
        <f ca="1">$S$38*F72</f>
        <v>#DIV/0!</v>
      </c>
      <c r="U72" s="139" t="e">
        <f ca="1">$U$38*F72</f>
        <v>#DIV/0!</v>
      </c>
    </row>
    <row r="73" spans="1:21" x14ac:dyDescent="0.35">
      <c r="A73" t="s">
        <v>185</v>
      </c>
      <c r="E73" s="153" t="s">
        <v>207</v>
      </c>
      <c r="F73" s="165">
        <f>F72*F46</f>
        <v>0</v>
      </c>
      <c r="G73" s="165"/>
      <c r="I73" s="174" t="s">
        <v>218</v>
      </c>
      <c r="K73" s="174" t="s">
        <v>220</v>
      </c>
      <c r="M73" s="174" t="s">
        <v>221</v>
      </c>
      <c r="O73" s="174" t="s">
        <v>207</v>
      </c>
      <c r="Q73" s="174" t="s">
        <v>219</v>
      </c>
      <c r="S73" s="174" t="s">
        <v>222</v>
      </c>
      <c r="U73" s="174" t="s">
        <v>223</v>
      </c>
    </row>
    <row r="74" spans="1:21" x14ac:dyDescent="0.35">
      <c r="A74" s="42">
        <v>0.5</v>
      </c>
      <c r="I74" s="157" t="e">
        <f t="shared" ref="I74:I79" ca="1" si="21">I$72*(1-$A74)</f>
        <v>#DIV/0!</v>
      </c>
      <c r="K74" s="157" t="e">
        <f t="shared" ref="K74:K79" ca="1" si="22">K$72*(1-$A74)</f>
        <v>#DIV/0!</v>
      </c>
      <c r="M74" s="157" t="e">
        <f t="shared" ref="M74:M79" ca="1" si="23">M$72*(1-$A74)</f>
        <v>#DIV/0!</v>
      </c>
      <c r="O74" s="157" t="e">
        <f t="shared" ref="O74:O79" ca="1" si="24">O$72*(1-$A74)</f>
        <v>#DIV/0!</v>
      </c>
      <c r="Q74" s="157" t="e">
        <f t="shared" ref="Q74:Q79" ca="1" si="25">Q$72*(1-$A74)</f>
        <v>#DIV/0!</v>
      </c>
      <c r="S74" s="157" t="e">
        <f t="shared" ref="S74:S79" ca="1" si="26">S$72*(1-$A74)</f>
        <v>#DIV/0!</v>
      </c>
      <c r="U74" s="157" t="e">
        <f t="shared" ref="U74:U79" ca="1" si="27">U$72*(1-$A74)</f>
        <v>#DIV/0!</v>
      </c>
    </row>
    <row r="75" spans="1:21" x14ac:dyDescent="0.35">
      <c r="A75" s="42">
        <v>0.9</v>
      </c>
      <c r="I75" s="157" t="e">
        <f t="shared" ca="1" si="21"/>
        <v>#DIV/0!</v>
      </c>
      <c r="K75" s="63" t="e">
        <f t="shared" ca="1" si="22"/>
        <v>#DIV/0!</v>
      </c>
      <c r="M75" s="157" t="e">
        <f t="shared" ca="1" si="23"/>
        <v>#DIV/0!</v>
      </c>
      <c r="O75" s="157" t="e">
        <f t="shared" ca="1" si="24"/>
        <v>#DIV/0!</v>
      </c>
      <c r="Q75" s="157" t="e">
        <f t="shared" ca="1" si="25"/>
        <v>#DIV/0!</v>
      </c>
      <c r="S75" s="157" t="e">
        <f t="shared" ca="1" si="26"/>
        <v>#DIV/0!</v>
      </c>
      <c r="U75" s="157" t="e">
        <f t="shared" ca="1" si="27"/>
        <v>#DIV/0!</v>
      </c>
    </row>
    <row r="76" spans="1:21" x14ac:dyDescent="0.35">
      <c r="A76" s="42">
        <v>0.95</v>
      </c>
      <c r="I76" s="157" t="e">
        <f t="shared" ca="1" si="21"/>
        <v>#DIV/0!</v>
      </c>
      <c r="K76" s="63" t="e">
        <f t="shared" ca="1" si="22"/>
        <v>#DIV/0!</v>
      </c>
      <c r="M76" s="157" t="e">
        <f t="shared" ca="1" si="23"/>
        <v>#DIV/0!</v>
      </c>
      <c r="O76" s="157" t="e">
        <f t="shared" ca="1" si="24"/>
        <v>#DIV/0!</v>
      </c>
      <c r="Q76" s="157" t="e">
        <f t="shared" ca="1" si="25"/>
        <v>#DIV/0!</v>
      </c>
      <c r="S76" s="157" t="e">
        <f t="shared" ca="1" si="26"/>
        <v>#DIV/0!</v>
      </c>
      <c r="U76" s="157" t="e">
        <f t="shared" ca="1" si="27"/>
        <v>#DIV/0!</v>
      </c>
    </row>
    <row r="77" spans="1:21" x14ac:dyDescent="0.35">
      <c r="A77" s="140">
        <v>0.98</v>
      </c>
      <c r="B77" s="46"/>
      <c r="C77" s="46"/>
      <c r="D77" s="46"/>
      <c r="E77" s="46"/>
      <c r="F77" s="46"/>
      <c r="G77" s="46"/>
      <c r="H77" s="46"/>
      <c r="I77" s="155" t="e">
        <f t="shared" ca="1" si="21"/>
        <v>#DIV/0!</v>
      </c>
      <c r="J77" s="46"/>
      <c r="K77" s="141" t="e">
        <f t="shared" ca="1" si="22"/>
        <v>#DIV/0!</v>
      </c>
      <c r="L77" s="46"/>
      <c r="M77" s="156" t="e">
        <f t="shared" ca="1" si="23"/>
        <v>#DIV/0!</v>
      </c>
      <c r="N77" s="46"/>
      <c r="O77" s="156" t="e">
        <f t="shared" ca="1" si="24"/>
        <v>#DIV/0!</v>
      </c>
      <c r="P77" s="46"/>
      <c r="Q77" s="155" t="e">
        <f t="shared" ca="1" si="25"/>
        <v>#DIV/0!</v>
      </c>
      <c r="R77" s="46"/>
      <c r="S77" s="156" t="e">
        <f t="shared" ca="1" si="26"/>
        <v>#DIV/0!</v>
      </c>
      <c r="U77" s="156" t="e">
        <f t="shared" ca="1" si="27"/>
        <v>#DIV/0!</v>
      </c>
    </row>
    <row r="78" spans="1:21" x14ac:dyDescent="0.35">
      <c r="A78" s="42">
        <v>0.99</v>
      </c>
      <c r="I78" s="157" t="e">
        <f t="shared" ca="1" si="21"/>
        <v>#DIV/0!</v>
      </c>
      <c r="K78" s="63" t="e">
        <f t="shared" ca="1" si="22"/>
        <v>#DIV/0!</v>
      </c>
      <c r="M78" s="157" t="e">
        <f t="shared" ca="1" si="23"/>
        <v>#DIV/0!</v>
      </c>
      <c r="O78" s="157" t="e">
        <f t="shared" ca="1" si="24"/>
        <v>#DIV/0!</v>
      </c>
      <c r="Q78" s="157" t="e">
        <f t="shared" ca="1" si="25"/>
        <v>#DIV/0!</v>
      </c>
      <c r="S78" s="157" t="e">
        <f t="shared" ca="1" si="26"/>
        <v>#DIV/0!</v>
      </c>
      <c r="U78" s="157" t="e">
        <f t="shared" ca="1" si="27"/>
        <v>#DIV/0!</v>
      </c>
    </row>
    <row r="79" spans="1:21" x14ac:dyDescent="0.35">
      <c r="A79" s="154">
        <v>0.997</v>
      </c>
      <c r="I79" s="155" t="e">
        <f t="shared" ca="1" si="21"/>
        <v>#DIV/0!</v>
      </c>
      <c r="K79" s="141" t="e">
        <f t="shared" ca="1" si="22"/>
        <v>#DIV/0!</v>
      </c>
      <c r="M79" s="141" t="e">
        <f t="shared" ca="1" si="23"/>
        <v>#DIV/0!</v>
      </c>
      <c r="O79" s="156" t="e">
        <f t="shared" ca="1" si="24"/>
        <v>#DIV/0!</v>
      </c>
      <c r="Q79" s="85" t="e">
        <f t="shared" ca="1" si="25"/>
        <v>#DIV/0!</v>
      </c>
      <c r="S79" s="141" t="e">
        <f t="shared" ca="1" si="26"/>
        <v>#DIV/0!</v>
      </c>
      <c r="U79" s="156" t="e">
        <f t="shared" ca="1" si="27"/>
        <v>#DIV/0!</v>
      </c>
    </row>
    <row r="81" spans="1:21" x14ac:dyDescent="0.35">
      <c r="A81" s="151" t="s">
        <v>227</v>
      </c>
      <c r="B81" s="152"/>
      <c r="C81" s="152"/>
      <c r="D81" s="152"/>
      <c r="E81" s="152"/>
      <c r="F81" s="166">
        <v>3</v>
      </c>
      <c r="G81" s="166"/>
      <c r="I81" s="139" t="e">
        <f ca="1">$I$38*F81</f>
        <v>#DIV/0!</v>
      </c>
      <c r="K81" s="139" t="e">
        <f ca="1">$K$38*F81</f>
        <v>#DIV/0!</v>
      </c>
      <c r="M81" s="139" t="e">
        <f ca="1">$M$38*F81</f>
        <v>#DIV/0!</v>
      </c>
      <c r="O81" s="139" t="e">
        <f ca="1">$O$38*F81</f>
        <v>#DIV/0!</v>
      </c>
      <c r="Q81" s="139" t="e">
        <f ca="1">$Q$38*F81</f>
        <v>#DIV/0!</v>
      </c>
      <c r="S81" s="139" t="e">
        <f ca="1">$S$38*F81</f>
        <v>#DIV/0!</v>
      </c>
      <c r="U81" s="139" t="e">
        <f ca="1">$U$38*F81</f>
        <v>#DIV/0!</v>
      </c>
    </row>
    <row r="82" spans="1:21" x14ac:dyDescent="0.35">
      <c r="A82" t="s">
        <v>185</v>
      </c>
      <c r="E82" s="153" t="s">
        <v>207</v>
      </c>
      <c r="F82" s="166">
        <f>F81*F46</f>
        <v>0</v>
      </c>
      <c r="G82" s="166"/>
      <c r="I82" s="174" t="s">
        <v>218</v>
      </c>
      <c r="K82" s="174" t="s">
        <v>220</v>
      </c>
      <c r="M82" s="174" t="s">
        <v>221</v>
      </c>
      <c r="O82" s="174" t="s">
        <v>207</v>
      </c>
      <c r="Q82" s="174" t="s">
        <v>219</v>
      </c>
      <c r="S82" s="174" t="s">
        <v>222</v>
      </c>
      <c r="U82" s="174" t="s">
        <v>223</v>
      </c>
    </row>
    <row r="83" spans="1:21" x14ac:dyDescent="0.35">
      <c r="A83" s="42">
        <v>0.5</v>
      </c>
      <c r="I83" s="157" t="e">
        <f t="shared" ref="I83:I88" ca="1" si="28">I$81*(1-$A83)</f>
        <v>#DIV/0!</v>
      </c>
      <c r="K83" s="158" t="e">
        <f t="shared" ref="K83:K88" ca="1" si="29">K$81*(1-$A83)</f>
        <v>#DIV/0!</v>
      </c>
      <c r="M83" s="157" t="e">
        <f t="shared" ref="M83:M88" ca="1" si="30">M$81*(1-$A83)</f>
        <v>#DIV/0!</v>
      </c>
      <c r="O83" s="157" t="e">
        <f t="shared" ref="O83:O88" ca="1" si="31">O$81*(1-$A83)</f>
        <v>#DIV/0!</v>
      </c>
      <c r="Q83" s="157" t="e">
        <f t="shared" ref="Q83:Q88" ca="1" si="32">Q$81*(1-$A83)</f>
        <v>#DIV/0!</v>
      </c>
      <c r="S83" s="157" t="e">
        <f t="shared" ref="S83:S88" ca="1" si="33">S$81*(1-$A83)</f>
        <v>#DIV/0!</v>
      </c>
      <c r="U83" s="157" t="e">
        <f t="shared" ref="U83:U88" ca="1" si="34">U$81*(1-$A83)</f>
        <v>#DIV/0!</v>
      </c>
    </row>
    <row r="84" spans="1:21" x14ac:dyDescent="0.35">
      <c r="A84" s="42">
        <v>0.9</v>
      </c>
      <c r="I84" s="157" t="e">
        <f t="shared" ca="1" si="28"/>
        <v>#DIV/0!</v>
      </c>
      <c r="K84" s="158" t="e">
        <f t="shared" ca="1" si="29"/>
        <v>#DIV/0!</v>
      </c>
      <c r="M84" s="157" t="e">
        <f t="shared" ca="1" si="30"/>
        <v>#DIV/0!</v>
      </c>
      <c r="O84" s="157" t="e">
        <f t="shared" ca="1" si="31"/>
        <v>#DIV/0!</v>
      </c>
      <c r="Q84" s="157" t="e">
        <f t="shared" ca="1" si="32"/>
        <v>#DIV/0!</v>
      </c>
      <c r="S84" s="157" t="e">
        <f t="shared" ca="1" si="33"/>
        <v>#DIV/0!</v>
      </c>
      <c r="U84" s="157" t="e">
        <f t="shared" ca="1" si="34"/>
        <v>#DIV/0!</v>
      </c>
    </row>
    <row r="85" spans="1:21" x14ac:dyDescent="0.35">
      <c r="A85" s="42">
        <v>0.95</v>
      </c>
      <c r="I85" s="157" t="e">
        <f t="shared" ca="1" si="28"/>
        <v>#DIV/0!</v>
      </c>
      <c r="K85" s="158" t="e">
        <f t="shared" ca="1" si="29"/>
        <v>#DIV/0!</v>
      </c>
      <c r="M85" s="158" t="e">
        <f t="shared" ca="1" si="30"/>
        <v>#DIV/0!</v>
      </c>
      <c r="O85" s="157" t="e">
        <f t="shared" ca="1" si="31"/>
        <v>#DIV/0!</v>
      </c>
      <c r="Q85" s="158" t="e">
        <f t="shared" ca="1" si="32"/>
        <v>#DIV/0!</v>
      </c>
      <c r="S85" s="158" t="e">
        <f t="shared" ca="1" si="33"/>
        <v>#DIV/0!</v>
      </c>
      <c r="U85" s="158" t="e">
        <f t="shared" ca="1" si="34"/>
        <v>#DIV/0!</v>
      </c>
    </row>
    <row r="86" spans="1:21" x14ac:dyDescent="0.35">
      <c r="A86" s="140">
        <v>0.98</v>
      </c>
      <c r="B86" s="46"/>
      <c r="C86" s="46"/>
      <c r="D86" s="46"/>
      <c r="E86" s="46"/>
      <c r="F86" s="46"/>
      <c r="G86" s="46"/>
      <c r="H86" s="46"/>
      <c r="I86" s="155" t="e">
        <f t="shared" ca="1" si="28"/>
        <v>#DIV/0!</v>
      </c>
      <c r="J86" s="46"/>
      <c r="K86" s="164" t="e">
        <f t="shared" ca="1" si="29"/>
        <v>#DIV/0!</v>
      </c>
      <c r="L86" s="46"/>
      <c r="M86" s="164" t="e">
        <f t="shared" ca="1" si="30"/>
        <v>#DIV/0!</v>
      </c>
      <c r="N86" s="46"/>
      <c r="O86" s="164" t="e">
        <f t="shared" ca="1" si="31"/>
        <v>#DIV/0!</v>
      </c>
      <c r="P86" s="46"/>
      <c r="Q86" s="163" t="e">
        <f t="shared" ca="1" si="32"/>
        <v>#DIV/0!</v>
      </c>
      <c r="R86" s="46"/>
      <c r="S86" s="164" t="e">
        <f t="shared" ca="1" si="33"/>
        <v>#DIV/0!</v>
      </c>
      <c r="U86" s="164" t="e">
        <f t="shared" ca="1" si="34"/>
        <v>#DIV/0!</v>
      </c>
    </row>
    <row r="87" spans="1:21" x14ac:dyDescent="0.35">
      <c r="A87" s="42">
        <v>0.99</v>
      </c>
      <c r="I87" s="158" t="e">
        <f t="shared" ca="1" si="28"/>
        <v>#DIV/0!</v>
      </c>
      <c r="K87" s="158" t="e">
        <f t="shared" ca="1" si="29"/>
        <v>#DIV/0!</v>
      </c>
      <c r="M87" s="158" t="e">
        <f t="shared" ca="1" si="30"/>
        <v>#DIV/0!</v>
      </c>
      <c r="O87" s="158" t="e">
        <f t="shared" ca="1" si="31"/>
        <v>#DIV/0!</v>
      </c>
      <c r="Q87" s="158" t="e">
        <f t="shared" ca="1" si="32"/>
        <v>#DIV/0!</v>
      </c>
      <c r="S87" s="158" t="e">
        <f t="shared" ca="1" si="33"/>
        <v>#DIV/0!</v>
      </c>
      <c r="U87" s="158" t="e">
        <f t="shared" ca="1" si="34"/>
        <v>#DIV/0!</v>
      </c>
    </row>
    <row r="88" spans="1:21" x14ac:dyDescent="0.35">
      <c r="A88" s="154">
        <v>0.997</v>
      </c>
      <c r="I88" s="85" t="e">
        <f t="shared" ca="1" si="28"/>
        <v>#DIV/0!</v>
      </c>
      <c r="J88" s="46"/>
      <c r="K88" s="164" t="e">
        <f t="shared" ca="1" si="29"/>
        <v>#DIV/0!</v>
      </c>
      <c r="L88" s="46"/>
      <c r="M88" s="141" t="e">
        <f t="shared" ca="1" si="30"/>
        <v>#DIV/0!</v>
      </c>
      <c r="N88" s="46"/>
      <c r="O88" s="164" t="e">
        <f t="shared" ca="1" si="31"/>
        <v>#DIV/0!</v>
      </c>
      <c r="P88" s="46"/>
      <c r="Q88" s="163" t="e">
        <f t="shared" ca="1" si="32"/>
        <v>#DIV/0!</v>
      </c>
      <c r="R88" s="46"/>
      <c r="S88" s="164" t="e">
        <f t="shared" ca="1" si="33"/>
        <v>#DIV/0!</v>
      </c>
      <c r="T88" s="46"/>
      <c r="U88" s="164" t="e">
        <f t="shared" ca="1" si="34"/>
        <v>#DIV/0!</v>
      </c>
    </row>
    <row r="90" spans="1:21" x14ac:dyDescent="0.35">
      <c r="A90" s="151" t="s">
        <v>228</v>
      </c>
      <c r="B90" s="152"/>
      <c r="C90" s="152"/>
      <c r="D90" s="152"/>
      <c r="E90" s="152"/>
      <c r="F90" s="166">
        <v>50</v>
      </c>
      <c r="G90" s="166"/>
      <c r="I90" s="139" t="e">
        <f ca="1">$I$38*F90</f>
        <v>#DIV/0!</v>
      </c>
      <c r="K90" s="139" t="e">
        <f ca="1">$K$38*F90</f>
        <v>#DIV/0!</v>
      </c>
      <c r="M90" s="139" t="e">
        <f ca="1">$M$38*F90</f>
        <v>#DIV/0!</v>
      </c>
      <c r="O90" s="139" t="e">
        <f ca="1">$O$38*F90</f>
        <v>#DIV/0!</v>
      </c>
      <c r="Q90" s="139" t="e">
        <f ca="1">$Q$38*F90</f>
        <v>#DIV/0!</v>
      </c>
      <c r="S90" s="139" t="e">
        <f ca="1">$S$38*F90</f>
        <v>#DIV/0!</v>
      </c>
      <c r="U90" s="139" t="e">
        <f ca="1">$U$38*F90</f>
        <v>#DIV/0!</v>
      </c>
    </row>
    <row r="91" spans="1:21" x14ac:dyDescent="0.35">
      <c r="A91" t="s">
        <v>185</v>
      </c>
      <c r="E91" s="153" t="s">
        <v>207</v>
      </c>
      <c r="F91" s="166">
        <f>F90*F46</f>
        <v>0</v>
      </c>
      <c r="G91" s="166"/>
      <c r="I91" s="174" t="s">
        <v>218</v>
      </c>
      <c r="K91" s="174" t="s">
        <v>220</v>
      </c>
      <c r="M91" s="174" t="s">
        <v>221</v>
      </c>
      <c r="O91" s="174" t="s">
        <v>207</v>
      </c>
      <c r="Q91" s="174" t="s">
        <v>219</v>
      </c>
      <c r="S91" s="174" t="s">
        <v>222</v>
      </c>
      <c r="U91" s="174" t="s">
        <v>223</v>
      </c>
    </row>
    <row r="92" spans="1:21" x14ac:dyDescent="0.35">
      <c r="A92" s="42">
        <v>0.5</v>
      </c>
      <c r="I92" s="157" t="e">
        <f t="shared" ref="I92:I97" ca="1" si="35">I$90*(1-$A92)</f>
        <v>#DIV/0!</v>
      </c>
      <c r="K92" s="158" t="e">
        <f t="shared" ref="K92:K97" ca="1" si="36">K$90*(1-$A92)</f>
        <v>#DIV/0!</v>
      </c>
      <c r="M92" s="157" t="e">
        <f t="shared" ref="M92:M97" ca="1" si="37">M$90*(1-$A92)</f>
        <v>#DIV/0!</v>
      </c>
      <c r="O92" s="157" t="e">
        <f t="shared" ref="O92:O97" ca="1" si="38">O$90*(1-$A92)</f>
        <v>#DIV/0!</v>
      </c>
      <c r="Q92" s="157" t="e">
        <f t="shared" ref="Q92:Q97" ca="1" si="39">Q$90*(1-$A92)</f>
        <v>#DIV/0!</v>
      </c>
      <c r="S92" s="157" t="e">
        <f t="shared" ref="S92:S97" ca="1" si="40">S$90*(1-$A92)</f>
        <v>#DIV/0!</v>
      </c>
      <c r="U92" s="157" t="e">
        <f t="shared" ref="U92:U97" ca="1" si="41">U$90*(1-$A92)</f>
        <v>#DIV/0!</v>
      </c>
    </row>
    <row r="93" spans="1:21" x14ac:dyDescent="0.35">
      <c r="A93" s="42">
        <v>0.9</v>
      </c>
      <c r="I93" s="157" t="e">
        <f t="shared" ca="1" si="35"/>
        <v>#DIV/0!</v>
      </c>
      <c r="K93" s="158" t="e">
        <f t="shared" ca="1" si="36"/>
        <v>#DIV/0!</v>
      </c>
      <c r="M93" s="157" t="e">
        <f t="shared" ca="1" si="37"/>
        <v>#DIV/0!</v>
      </c>
      <c r="O93" s="157" t="e">
        <f t="shared" ca="1" si="38"/>
        <v>#DIV/0!</v>
      </c>
      <c r="Q93" s="157" t="e">
        <f t="shared" ca="1" si="39"/>
        <v>#DIV/0!</v>
      </c>
      <c r="S93" s="157" t="e">
        <f t="shared" ca="1" si="40"/>
        <v>#DIV/0!</v>
      </c>
      <c r="U93" s="157" t="e">
        <f t="shared" ca="1" si="41"/>
        <v>#DIV/0!</v>
      </c>
    </row>
    <row r="94" spans="1:21" x14ac:dyDescent="0.35">
      <c r="A94" s="42">
        <v>0.95</v>
      </c>
      <c r="I94" s="157" t="e">
        <f t="shared" ca="1" si="35"/>
        <v>#DIV/0!</v>
      </c>
      <c r="K94" s="158" t="e">
        <f t="shared" ca="1" si="36"/>
        <v>#DIV/0!</v>
      </c>
      <c r="M94" s="157" t="e">
        <f t="shared" ca="1" si="37"/>
        <v>#DIV/0!</v>
      </c>
      <c r="O94" s="157" t="e">
        <f t="shared" ca="1" si="38"/>
        <v>#DIV/0!</v>
      </c>
      <c r="Q94" s="157" t="e">
        <f t="shared" ca="1" si="39"/>
        <v>#DIV/0!</v>
      </c>
      <c r="S94" s="157" t="e">
        <f t="shared" ca="1" si="40"/>
        <v>#DIV/0!</v>
      </c>
      <c r="U94" s="157" t="e">
        <f t="shared" ca="1" si="41"/>
        <v>#DIV/0!</v>
      </c>
    </row>
    <row r="95" spans="1:21" x14ac:dyDescent="0.35">
      <c r="A95" s="140">
        <v>0.98</v>
      </c>
      <c r="B95" s="46"/>
      <c r="C95" s="46"/>
      <c r="D95" s="46"/>
      <c r="E95" s="46"/>
      <c r="F95" s="46"/>
      <c r="G95" s="46"/>
      <c r="H95" s="46"/>
      <c r="I95" s="155" t="e">
        <f t="shared" ca="1" si="35"/>
        <v>#DIV/0!</v>
      </c>
      <c r="J95" s="46"/>
      <c r="K95" s="163" t="e">
        <f t="shared" ca="1" si="36"/>
        <v>#DIV/0!</v>
      </c>
      <c r="L95" s="46"/>
      <c r="M95" s="155" t="e">
        <f t="shared" ca="1" si="37"/>
        <v>#DIV/0!</v>
      </c>
      <c r="N95" s="46"/>
      <c r="O95" s="155" t="e">
        <f t="shared" ca="1" si="38"/>
        <v>#DIV/0!</v>
      </c>
      <c r="P95" s="46"/>
      <c r="Q95" s="155" t="e">
        <f t="shared" ca="1" si="39"/>
        <v>#DIV/0!</v>
      </c>
      <c r="R95" s="46"/>
      <c r="S95" s="155" t="e">
        <f t="shared" ca="1" si="40"/>
        <v>#DIV/0!</v>
      </c>
      <c r="U95" s="155" t="e">
        <f t="shared" ca="1" si="41"/>
        <v>#DIV/0!</v>
      </c>
    </row>
    <row r="96" spans="1:21" x14ac:dyDescent="0.35">
      <c r="A96" s="42">
        <v>0.99</v>
      </c>
      <c r="I96" s="157" t="e">
        <f t="shared" ca="1" si="35"/>
        <v>#DIV/0!</v>
      </c>
      <c r="K96" s="158" t="e">
        <f t="shared" ca="1" si="36"/>
        <v>#DIV/0!</v>
      </c>
      <c r="M96" s="157" t="e">
        <f t="shared" ca="1" si="37"/>
        <v>#DIV/0!</v>
      </c>
      <c r="O96" s="157" t="e">
        <f t="shared" ca="1" si="38"/>
        <v>#DIV/0!</v>
      </c>
      <c r="Q96" s="157" t="e">
        <f t="shared" ca="1" si="39"/>
        <v>#DIV/0!</v>
      </c>
      <c r="S96" s="157" t="e">
        <f t="shared" ca="1" si="40"/>
        <v>#DIV/0!</v>
      </c>
      <c r="U96" s="157" t="e">
        <f t="shared" ca="1" si="41"/>
        <v>#DIV/0!</v>
      </c>
    </row>
    <row r="97" spans="1:21" x14ac:dyDescent="0.35">
      <c r="A97" s="154">
        <v>0.997</v>
      </c>
      <c r="I97" s="155" t="e">
        <f t="shared" ca="1" si="35"/>
        <v>#DIV/0!</v>
      </c>
      <c r="J97" s="46"/>
      <c r="K97" s="163" t="e">
        <f t="shared" ca="1" si="36"/>
        <v>#DIV/0!</v>
      </c>
      <c r="L97" s="46"/>
      <c r="M97" s="141" t="e">
        <f t="shared" ca="1" si="37"/>
        <v>#DIV/0!</v>
      </c>
      <c r="N97" s="46"/>
      <c r="O97" s="85" t="e">
        <f t="shared" ca="1" si="38"/>
        <v>#DIV/0!</v>
      </c>
      <c r="P97" s="46"/>
      <c r="Q97" s="85" t="e">
        <f t="shared" ca="1" si="39"/>
        <v>#DIV/0!</v>
      </c>
      <c r="R97" s="46"/>
      <c r="S97" s="163" t="e">
        <f t="shared" ca="1" si="40"/>
        <v>#DIV/0!</v>
      </c>
      <c r="T97" s="46"/>
      <c r="U97" s="164" t="e">
        <f t="shared" ca="1" si="41"/>
        <v>#DIV/0!</v>
      </c>
    </row>
  </sheetData>
  <mergeCells count="3">
    <mergeCell ref="C3:D3"/>
    <mergeCell ref="C4:D4"/>
    <mergeCell ref="F12:F13"/>
  </mergeCells>
  <dataValidations count="1">
    <dataValidation type="list" allowBlank="1" showInputMessage="1" showErrorMessage="1" sqref="P25" xr:uid="{4A92E2CB-F3DD-4235-9002-5B8639C91C69}">
      <formula1>"diving bird, sea mammal, fish"</formula1>
    </dataValidation>
  </dataValidations>
  <printOptions gridLines="1"/>
  <pageMargins left="0.70866141732283472" right="0.70866141732283472" top="0.74803149606299213" bottom="0.74803149606299213" header="0.31496062992125984" footer="0.31496062992125984"/>
  <pageSetup paperSize="9" scale="80" orientation="landscape" horizontalDpi="4294967293" verticalDpi="1200"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8956C-C419-49B2-8B78-E7730A349738}">
  <sheetPr codeName="Sheet20"/>
  <dimension ref="A1:W97"/>
  <sheetViews>
    <sheetView topLeftCell="A25" zoomScale="120" zoomScaleNormal="120" workbookViewId="0">
      <selection activeCell="I37" sqref="I37:U37"/>
    </sheetView>
  </sheetViews>
  <sheetFormatPr defaultRowHeight="14.5" x14ac:dyDescent="0.35"/>
  <cols>
    <col min="1" max="1" width="30.26953125" customWidth="1"/>
    <col min="2" max="2" width="7.81640625" customWidth="1"/>
    <col min="5" max="5" width="11.54296875" customWidth="1"/>
    <col min="6" max="6" width="13.7265625" customWidth="1"/>
    <col min="7" max="7" width="7.26953125" customWidth="1"/>
    <col min="8" max="8" width="6.26953125" customWidth="1"/>
    <col min="9" max="9" width="10.453125" bestFit="1" customWidth="1"/>
    <col min="10" max="10" width="2.7265625" customWidth="1"/>
    <col min="11" max="11" width="10" customWidth="1"/>
    <col min="12" max="12" width="3" customWidth="1"/>
    <col min="13" max="13" width="10.453125" customWidth="1"/>
    <col min="14" max="14" width="3" customWidth="1"/>
    <col min="15" max="15" width="10.453125" customWidth="1"/>
    <col min="16" max="16" width="3.26953125" customWidth="1"/>
    <col min="17" max="17" width="9.1796875" customWidth="1"/>
    <col min="18" max="18" width="3.81640625" customWidth="1"/>
    <col min="20" max="20" width="3.7265625" customWidth="1"/>
  </cols>
  <sheetData>
    <row r="1" spans="1:11" ht="26" x14ac:dyDescent="0.35">
      <c r="A1" s="232" t="s">
        <v>201</v>
      </c>
      <c r="B1" s="181" t="s">
        <v>238</v>
      </c>
      <c r="C1" s="182" t="s">
        <v>237</v>
      </c>
      <c r="D1" s="231" t="s">
        <v>248</v>
      </c>
      <c r="E1" s="183" t="s">
        <v>240</v>
      </c>
      <c r="F1" s="180" t="s">
        <v>241</v>
      </c>
      <c r="G1" s="237" t="s">
        <v>52</v>
      </c>
      <c r="H1" s="238" t="s">
        <v>35</v>
      </c>
    </row>
    <row r="2" spans="1:11" x14ac:dyDescent="0.35">
      <c r="A2" s="159" t="s">
        <v>192</v>
      </c>
      <c r="B2" s="159">
        <f>Devices!F2</f>
        <v>0</v>
      </c>
      <c r="C2" s="159"/>
      <c r="D2" s="145"/>
      <c r="E2" s="145"/>
      <c r="G2" s="239">
        <v>0</v>
      </c>
      <c r="H2" s="240">
        <v>0.69</v>
      </c>
    </row>
    <row r="3" spans="1:11" x14ac:dyDescent="0.35">
      <c r="F3" s="54" t="s">
        <v>53</v>
      </c>
      <c r="G3" s="241">
        <v>0.05</v>
      </c>
      <c r="H3" s="242">
        <v>0.73</v>
      </c>
      <c r="I3" s="70"/>
    </row>
    <row r="4" spans="1:11" x14ac:dyDescent="0.35">
      <c r="G4" s="241">
        <f t="shared" ref="G4:G22" si="0">G3+0.05</f>
        <v>0.1</v>
      </c>
      <c r="H4" s="242">
        <v>0.79</v>
      </c>
      <c r="K4" s="70"/>
    </row>
    <row r="5" spans="1:11" x14ac:dyDescent="0.35">
      <c r="A5" s="1" t="s">
        <v>45</v>
      </c>
      <c r="B5" s="2"/>
      <c r="C5" s="3" t="s">
        <v>46</v>
      </c>
      <c r="D5" s="3" t="s">
        <v>47</v>
      </c>
      <c r="E5" s="4"/>
      <c r="G5" s="241">
        <f t="shared" si="0"/>
        <v>0.15000000000000002</v>
      </c>
      <c r="H5" s="242">
        <v>0.88</v>
      </c>
      <c r="K5" s="83"/>
    </row>
    <row r="6" spans="1:11" x14ac:dyDescent="0.35">
      <c r="A6" s="4" t="s">
        <v>48</v>
      </c>
      <c r="B6" s="2"/>
      <c r="C6" s="15"/>
      <c r="D6" s="25">
        <f>Devices!F25</f>
        <v>0</v>
      </c>
      <c r="E6" s="26">
        <f>Devices!F26</f>
        <v>0</v>
      </c>
      <c r="G6" s="241">
        <f t="shared" si="0"/>
        <v>0.2</v>
      </c>
      <c r="H6" s="242">
        <v>0.96</v>
      </c>
      <c r="K6" s="83"/>
    </row>
    <row r="7" spans="1:11" x14ac:dyDescent="0.35">
      <c r="A7" s="4" t="s">
        <v>50</v>
      </c>
      <c r="B7" s="2"/>
      <c r="C7" s="9" t="s">
        <v>51</v>
      </c>
      <c r="D7" s="9" t="s">
        <v>6</v>
      </c>
      <c r="E7" s="27" t="b">
        <f>IF(D6="years",E6*365*24*3600,IF(D6="months",E6*30.4*24*3600,IF(D6="weeks",E6*7*24*3600)))</f>
        <v>0</v>
      </c>
      <c r="G7" s="241">
        <f t="shared" si="0"/>
        <v>0.25</v>
      </c>
      <c r="H7" s="242">
        <v>1</v>
      </c>
      <c r="K7" s="83"/>
    </row>
    <row r="8" spans="1:11" x14ac:dyDescent="0.35">
      <c r="A8" s="4"/>
      <c r="B8" s="2"/>
      <c r="C8" s="3"/>
      <c r="D8" s="3"/>
      <c r="E8" s="28"/>
      <c r="G8" s="241">
        <f t="shared" si="0"/>
        <v>0.3</v>
      </c>
      <c r="H8" s="242">
        <v>0.98</v>
      </c>
      <c r="K8" s="83"/>
    </row>
    <row r="9" spans="1:11" x14ac:dyDescent="0.35">
      <c r="A9" s="1" t="s">
        <v>21</v>
      </c>
      <c r="B9" s="2"/>
      <c r="C9" s="3"/>
      <c r="D9" s="5"/>
      <c r="E9" s="55"/>
      <c r="F9" s="47"/>
      <c r="G9" s="241">
        <f t="shared" si="0"/>
        <v>0.35</v>
      </c>
      <c r="H9" s="242">
        <v>0.92</v>
      </c>
      <c r="K9" s="83"/>
    </row>
    <row r="10" spans="1:11" x14ac:dyDescent="0.35">
      <c r="A10" s="4" t="s">
        <v>91</v>
      </c>
      <c r="B10" s="2"/>
      <c r="C10" s="14" t="s">
        <v>22</v>
      </c>
      <c r="D10" s="15" t="s">
        <v>23</v>
      </c>
      <c r="E10" s="16">
        <f>Devices!F4</f>
        <v>0</v>
      </c>
      <c r="F10" s="47"/>
      <c r="G10" s="241">
        <f t="shared" si="0"/>
        <v>0.39999999999999997</v>
      </c>
      <c r="H10" s="242">
        <v>0.85</v>
      </c>
      <c r="K10" s="83"/>
    </row>
    <row r="11" spans="1:11" x14ac:dyDescent="0.35">
      <c r="A11" s="4" t="s">
        <v>89</v>
      </c>
      <c r="B11" s="2"/>
      <c r="C11" s="9" t="s">
        <v>25</v>
      </c>
      <c r="D11" s="35" t="s">
        <v>23</v>
      </c>
      <c r="E11" s="245">
        <f>2*radius</f>
        <v>0</v>
      </c>
      <c r="F11" s="47"/>
      <c r="G11" s="241">
        <f t="shared" si="0"/>
        <v>0.44999999999999996</v>
      </c>
      <c r="H11" s="242">
        <v>0.8</v>
      </c>
      <c r="K11" s="83"/>
    </row>
    <row r="12" spans="1:11" x14ac:dyDescent="0.35">
      <c r="A12" s="4" t="s">
        <v>26</v>
      </c>
      <c r="B12" s="2"/>
      <c r="C12" s="14" t="s">
        <v>27</v>
      </c>
      <c r="D12" s="15" t="s">
        <v>23</v>
      </c>
      <c r="E12" s="146">
        <f>Devices!F15</f>
        <v>0</v>
      </c>
      <c r="F12" s="47"/>
      <c r="G12" s="241">
        <f t="shared" si="0"/>
        <v>0.49999999999999994</v>
      </c>
      <c r="H12" s="242">
        <v>0.75</v>
      </c>
      <c r="K12" s="83"/>
    </row>
    <row r="13" spans="1:11" x14ac:dyDescent="0.35">
      <c r="A13" s="4" t="s">
        <v>28</v>
      </c>
      <c r="B13" s="2"/>
      <c r="C13" s="17" t="s">
        <v>29</v>
      </c>
      <c r="D13" s="15"/>
      <c r="E13" s="18">
        <f>Devices!F6</f>
        <v>0</v>
      </c>
      <c r="F13" s="47"/>
      <c r="G13" s="241">
        <f t="shared" si="0"/>
        <v>0.54999999999999993</v>
      </c>
      <c r="H13" s="242">
        <v>0.7</v>
      </c>
      <c r="K13" s="86"/>
    </row>
    <row r="14" spans="1:11" x14ac:dyDescent="0.35">
      <c r="A14" s="13" t="s">
        <v>30</v>
      </c>
      <c r="B14" s="49"/>
      <c r="C14" s="51" t="s">
        <v>31</v>
      </c>
      <c r="D14" s="51" t="s">
        <v>23</v>
      </c>
      <c r="E14" s="72">
        <f>Devices!F17</f>
        <v>0</v>
      </c>
      <c r="G14" s="241">
        <f t="shared" si="0"/>
        <v>0.6</v>
      </c>
      <c r="H14" s="242">
        <v>0.64</v>
      </c>
      <c r="K14" s="83"/>
    </row>
    <row r="15" spans="1:11" x14ac:dyDescent="0.35">
      <c r="A15" s="13" t="s">
        <v>92</v>
      </c>
      <c r="B15" s="49"/>
      <c r="C15" s="57" t="s">
        <v>32</v>
      </c>
      <c r="D15" s="56" t="s">
        <v>33</v>
      </c>
      <c r="E15" s="72">
        <f>Devices!F18</f>
        <v>0</v>
      </c>
      <c r="G15" s="241">
        <f t="shared" si="0"/>
        <v>0.65</v>
      </c>
      <c r="H15" s="242">
        <v>0.57999999999999996</v>
      </c>
      <c r="K15" s="83"/>
    </row>
    <row r="16" spans="1:11" x14ac:dyDescent="0.35">
      <c r="A16" s="13" t="s">
        <v>34</v>
      </c>
      <c r="B16" s="49"/>
      <c r="C16" s="57" t="s">
        <v>35</v>
      </c>
      <c r="D16" s="56"/>
      <c r="E16" s="73">
        <v>0.2</v>
      </c>
      <c r="F16" s="58" t="s">
        <v>76</v>
      </c>
      <c r="G16" s="241">
        <f t="shared" si="0"/>
        <v>0.70000000000000007</v>
      </c>
      <c r="H16" s="242">
        <v>0.52</v>
      </c>
      <c r="K16" s="83"/>
    </row>
    <row r="17" spans="1:21" x14ac:dyDescent="0.35">
      <c r="A17" s="4" t="s">
        <v>36</v>
      </c>
      <c r="B17" s="2"/>
      <c r="C17" s="17" t="s">
        <v>37</v>
      </c>
      <c r="D17" s="15" t="s">
        <v>38</v>
      </c>
      <c r="E17" s="19">
        <f>Devices!F20</f>
        <v>0</v>
      </c>
      <c r="F17" s="59"/>
      <c r="G17" s="241">
        <f t="shared" si="0"/>
        <v>0.75000000000000011</v>
      </c>
      <c r="H17" s="242">
        <v>0.47</v>
      </c>
      <c r="K17" s="83"/>
    </row>
    <row r="18" spans="1:21" x14ac:dyDescent="0.35">
      <c r="A18" s="4" t="s">
        <v>39</v>
      </c>
      <c r="B18" s="2"/>
      <c r="C18" s="17" t="s">
        <v>40</v>
      </c>
      <c r="D18" s="15"/>
      <c r="E18" s="21">
        <f>Devices!F21</f>
        <v>0</v>
      </c>
      <c r="F18" s="47"/>
      <c r="G18" s="241">
        <f t="shared" si="0"/>
        <v>0.80000000000000016</v>
      </c>
      <c r="H18" s="242">
        <v>0.41</v>
      </c>
      <c r="K18" s="83"/>
    </row>
    <row r="19" spans="1:21" x14ac:dyDescent="0.35">
      <c r="A19" s="4"/>
      <c r="B19" s="2"/>
      <c r="C19" s="3"/>
      <c r="D19" s="5"/>
      <c r="E19" s="33"/>
      <c r="F19" s="47"/>
      <c r="G19" s="241">
        <f t="shared" si="0"/>
        <v>0.8500000000000002</v>
      </c>
      <c r="H19" s="242">
        <v>0.37</v>
      </c>
      <c r="K19" s="83"/>
    </row>
    <row r="20" spans="1:21" x14ac:dyDescent="0.35">
      <c r="E20" s="43"/>
      <c r="G20" s="241">
        <f t="shared" si="0"/>
        <v>0.90000000000000024</v>
      </c>
      <c r="H20" s="242">
        <v>0.3</v>
      </c>
      <c r="K20" s="83"/>
    </row>
    <row r="21" spans="1:21" x14ac:dyDescent="0.35">
      <c r="A21" s="50" t="s">
        <v>84</v>
      </c>
      <c r="E21" s="43"/>
      <c r="G21" s="241">
        <f t="shared" si="0"/>
        <v>0.95000000000000029</v>
      </c>
      <c r="H21" s="242">
        <v>0.24</v>
      </c>
      <c r="K21" s="83"/>
    </row>
    <row r="22" spans="1:21" ht="15" thickBot="1" x14ac:dyDescent="0.4">
      <c r="A22" s="4" t="s">
        <v>269</v>
      </c>
      <c r="B22" s="2"/>
      <c r="C22" s="14" t="s">
        <v>270</v>
      </c>
      <c r="D22" s="15" t="s">
        <v>262</v>
      </c>
      <c r="E22" s="18">
        <f>Devices!F11</f>
        <v>0</v>
      </c>
      <c r="G22" s="243">
        <f t="shared" si="0"/>
        <v>1.0000000000000002</v>
      </c>
      <c r="H22" s="244">
        <v>0</v>
      </c>
      <c r="K22" s="83"/>
    </row>
    <row r="23" spans="1:21" x14ac:dyDescent="0.35">
      <c r="A23" s="4"/>
      <c r="B23" s="2"/>
      <c r="C23" s="3"/>
      <c r="D23" s="5"/>
      <c r="E23" s="4"/>
      <c r="K23" s="83"/>
    </row>
    <row r="24" spans="1:21" x14ac:dyDescent="0.35">
      <c r="K24" s="70"/>
    </row>
    <row r="25" spans="1:21" x14ac:dyDescent="0.35">
      <c r="A25" s="1" t="s">
        <v>42</v>
      </c>
      <c r="G25" s="60"/>
      <c r="H25" s="60"/>
    </row>
    <row r="26" spans="1:21" s="23" customFormat="1" ht="24.5" thickBot="1" x14ac:dyDescent="0.4">
      <c r="A26" s="8" t="s">
        <v>90</v>
      </c>
      <c r="B26" s="22"/>
      <c r="C26" s="4"/>
      <c r="D26" s="3"/>
      <c r="E26" s="3"/>
      <c r="F26" s="3"/>
      <c r="G26" s="3"/>
      <c r="H26" s="3"/>
      <c r="I26" s="169" t="s">
        <v>77</v>
      </c>
      <c r="J26" s="52"/>
      <c r="K26" s="169" t="s">
        <v>143</v>
      </c>
      <c r="L26" s="92"/>
      <c r="M26" s="169" t="s">
        <v>107</v>
      </c>
      <c r="N26" s="52"/>
      <c r="O26" s="169" t="s">
        <v>78</v>
      </c>
      <c r="P26" s="53"/>
      <c r="Q26" s="169" t="s">
        <v>188</v>
      </c>
      <c r="R26"/>
      <c r="S26" s="169" t="s">
        <v>189</v>
      </c>
      <c r="T26"/>
      <c r="U26" s="169" t="s">
        <v>199</v>
      </c>
    </row>
    <row r="27" spans="1:21" s="6" customFormat="1" ht="15" thickBot="1" x14ac:dyDescent="0.4">
      <c r="A27" s="4" t="s">
        <v>88</v>
      </c>
      <c r="B27" s="2"/>
      <c r="C27" s="177" t="s">
        <v>16</v>
      </c>
      <c r="D27" s="177" t="s">
        <v>266</v>
      </c>
      <c r="E27" s="3"/>
      <c r="F27" s="3"/>
      <c r="G27" s="3"/>
      <c r="H27" s="3"/>
      <c r="I27" s="74" t="e">
        <f ca="1">Density_4!G21</f>
        <v>#NAME?</v>
      </c>
      <c r="J27" s="75"/>
      <c r="K27" s="74" t="e">
        <f ca="1">Density_4!I21</f>
        <v>#NAME?</v>
      </c>
      <c r="L27" s="75"/>
      <c r="M27" s="74" t="e">
        <f ca="1">Density_4!K21</f>
        <v>#NAME?</v>
      </c>
      <c r="N27" s="75"/>
      <c r="O27" s="74" t="e">
        <f ca="1">Density_4!M21</f>
        <v>#NAME?</v>
      </c>
      <c r="P27" s="76"/>
      <c r="Q27" s="74" t="e">
        <f ca="1">Density_4!O21</f>
        <v>#NAME?</v>
      </c>
      <c r="R27" s="24"/>
      <c r="S27" s="74" t="e">
        <f ca="1">Density_4!Q21</f>
        <v>#NAME?</v>
      </c>
      <c r="U27" s="74" t="e">
        <f ca="1">Density_4!S21</f>
        <v>#NAME?</v>
      </c>
    </row>
    <row r="28" spans="1:21" x14ac:dyDescent="0.35">
      <c r="A28" s="4" t="s">
        <v>103</v>
      </c>
      <c r="C28" s="3"/>
      <c r="I28" s="170" t="s">
        <v>102</v>
      </c>
      <c r="J28" s="43"/>
      <c r="K28" s="170" t="s">
        <v>102</v>
      </c>
      <c r="L28" s="43"/>
      <c r="M28" s="170" t="s">
        <v>102</v>
      </c>
      <c r="N28" s="43"/>
      <c r="O28" s="170" t="s">
        <v>102</v>
      </c>
      <c r="P28" s="43"/>
      <c r="Q28" s="170" t="s">
        <v>102</v>
      </c>
      <c r="S28" s="170" t="s">
        <v>102</v>
      </c>
      <c r="U28" s="170" t="s">
        <v>102</v>
      </c>
    </row>
    <row r="29" spans="1:21" s="6" customFormat="1" x14ac:dyDescent="0.35">
      <c r="A29" s="4" t="s">
        <v>80</v>
      </c>
      <c r="B29" s="2"/>
      <c r="C29" s="171" t="s">
        <v>43</v>
      </c>
      <c r="D29" s="171" t="s">
        <v>23</v>
      </c>
      <c r="E29" s="3"/>
      <c r="F29" s="3"/>
      <c r="G29" s="3"/>
      <c r="H29" s="3"/>
      <c r="I29" s="175">
        <f>Animals!G21</f>
        <v>1.22</v>
      </c>
      <c r="J29" s="43"/>
      <c r="K29" s="175">
        <f>Animals!I21</f>
        <v>1.41</v>
      </c>
      <c r="L29" s="45"/>
      <c r="M29" s="175">
        <f>Animals!K21</f>
        <v>1.37</v>
      </c>
      <c r="N29" s="45"/>
      <c r="O29" s="175">
        <f>Animals!M21</f>
        <v>5.2</v>
      </c>
      <c r="P29" s="45"/>
      <c r="Q29" s="175">
        <f>Animals!O21</f>
        <v>2.57</v>
      </c>
      <c r="R29" s="45"/>
      <c r="S29" s="175">
        <f>Animals!Q21</f>
        <v>2.37</v>
      </c>
      <c r="T29"/>
      <c r="U29" s="175">
        <f>Animals!S21</f>
        <v>1.77</v>
      </c>
    </row>
    <row r="30" spans="1:21" s="6" customFormat="1" x14ac:dyDescent="0.35">
      <c r="A30" s="4" t="s">
        <v>85</v>
      </c>
      <c r="B30" s="2"/>
      <c r="C30" s="171" t="s">
        <v>44</v>
      </c>
      <c r="D30" s="171" t="s">
        <v>23</v>
      </c>
      <c r="E30" s="3"/>
      <c r="F30" s="3"/>
      <c r="G30" s="3"/>
      <c r="H30" s="3"/>
      <c r="I30" s="172">
        <f>Animals!G22</f>
        <v>0.3</v>
      </c>
      <c r="J30" s="43"/>
      <c r="K30" s="172">
        <f>Animals!I22</f>
        <v>0.34</v>
      </c>
      <c r="L30" s="45"/>
      <c r="M30" s="172">
        <f>Animals!K22</f>
        <v>0.32</v>
      </c>
      <c r="N30" s="45"/>
      <c r="O30" s="172">
        <f>Animals!M22</f>
        <v>2.2000000000000002</v>
      </c>
      <c r="P30" s="45"/>
      <c r="Q30" s="172">
        <f>Animals!O22</f>
        <v>0.64</v>
      </c>
      <c r="R30" s="45"/>
      <c r="S30" s="172">
        <f>Animals!Q22</f>
        <v>0.55000000000000004</v>
      </c>
      <c r="T30"/>
      <c r="U30" s="172">
        <f>Animals!S22</f>
        <v>0.44</v>
      </c>
    </row>
    <row r="32" spans="1:21" x14ac:dyDescent="0.35">
      <c r="A32" s="1" t="s">
        <v>17</v>
      </c>
    </row>
    <row r="33" spans="1:23" x14ac:dyDescent="0.35">
      <c r="A33" s="4" t="s">
        <v>97</v>
      </c>
      <c r="C33" s="3" t="s">
        <v>100</v>
      </c>
      <c r="F33" s="40" t="s">
        <v>101</v>
      </c>
      <c r="I33" s="63">
        <f>IF(I28="diving bird",I30,I29)</f>
        <v>1.22</v>
      </c>
      <c r="K33" s="63">
        <f>IF(K28="diving bird",K30,K29)</f>
        <v>1.41</v>
      </c>
      <c r="M33" s="63">
        <f>IF(M28="diving bird",M30,M29)</f>
        <v>1.37</v>
      </c>
      <c r="O33" s="63">
        <f>IF(O28="diving bird",O30,O29)</f>
        <v>5.2</v>
      </c>
      <c r="Q33" s="63">
        <f>IF(Q28="diving bird",Q30,Q29)</f>
        <v>2.57</v>
      </c>
      <c r="S33" s="63">
        <f>IF(S28="diving bird",S30,S29)</f>
        <v>2.37</v>
      </c>
      <c r="U33" s="63">
        <f>IF(U28="diving bird",U30,U29)</f>
        <v>1.77</v>
      </c>
    </row>
    <row r="34" spans="1:23" x14ac:dyDescent="0.35">
      <c r="A34" s="4" t="s">
        <v>98</v>
      </c>
      <c r="C34" s="40" t="s">
        <v>99</v>
      </c>
      <c r="F34" s="40" t="s">
        <v>101</v>
      </c>
      <c r="I34" s="63">
        <f>IF(I28="diving bird",I29,I30)</f>
        <v>0.3</v>
      </c>
      <c r="K34" s="63">
        <v>0.34</v>
      </c>
      <c r="M34" s="63">
        <f>IF(M28="diving bird",M29,M30)</f>
        <v>0.32</v>
      </c>
      <c r="O34" s="63">
        <f>IF(O28="diving bird",O29,O30)</f>
        <v>2.2000000000000002</v>
      </c>
      <c r="Q34" s="63">
        <f>IF(Q28="diving bird",Q29,Q30)</f>
        <v>0.64</v>
      </c>
      <c r="S34" s="63">
        <f>IF(S28="diving bird",S29,S30)</f>
        <v>0.55000000000000004</v>
      </c>
      <c r="U34" s="63">
        <f>IF(U28="diving bird",U29,U30)</f>
        <v>0.44</v>
      </c>
    </row>
    <row r="35" spans="1:23" x14ac:dyDescent="0.35">
      <c r="A35" s="13" t="s">
        <v>82</v>
      </c>
      <c r="C35" s="38" t="s">
        <v>270</v>
      </c>
      <c r="D35" s="38" t="s">
        <v>262</v>
      </c>
      <c r="E35" s="62"/>
      <c r="F35" s="40" t="s">
        <v>270</v>
      </c>
      <c r="G35" s="40"/>
      <c r="I35" s="63">
        <f>$E22</f>
        <v>0</v>
      </c>
      <c r="K35" s="63">
        <f>$E22</f>
        <v>0</v>
      </c>
      <c r="M35" s="63">
        <f>$E22</f>
        <v>0</v>
      </c>
      <c r="O35" s="63">
        <f>$E22</f>
        <v>0</v>
      </c>
      <c r="Q35" s="63">
        <f>$E22</f>
        <v>0</v>
      </c>
      <c r="S35" s="63">
        <f>$E22</f>
        <v>0</v>
      </c>
      <c r="U35" s="63">
        <f>$E22</f>
        <v>0</v>
      </c>
    </row>
    <row r="36" spans="1:23" x14ac:dyDescent="0.35">
      <c r="A36" s="13" t="s">
        <v>18</v>
      </c>
      <c r="C36" s="38"/>
      <c r="D36" s="38" t="s">
        <v>215</v>
      </c>
      <c r="E36" s="62"/>
      <c r="F36" s="40" t="s">
        <v>282</v>
      </c>
      <c r="G36" s="40"/>
      <c r="I36" s="99">
        <f>$E10*PI()*($E12+0.5*I34)*($E12+0.5*I34)</f>
        <v>0</v>
      </c>
      <c r="J36" s="100"/>
      <c r="K36" s="99">
        <f>$E10*PI()*($E12+0.5*K34)*($E12+0.5*K34)</f>
        <v>0</v>
      </c>
      <c r="L36" s="100"/>
      <c r="M36" s="99">
        <f>$E10*PI()*($E12+0.5*M34)*($E12+0.5*M34)</f>
        <v>0</v>
      </c>
      <c r="N36" s="100"/>
      <c r="O36" s="99">
        <f>$E10*PI()*($E12+0.5*O34)*($E12+0.5*O34)</f>
        <v>0</v>
      </c>
      <c r="Q36" s="99">
        <f>$E10*PI()*($E12+0.5*Q34)*($E12+0.5*Q34)</f>
        <v>0</v>
      </c>
      <c r="R36" s="100"/>
      <c r="S36" s="99">
        <f>$E10*PI()*($E12+0.5*S34)*($E12+0.5*S34)</f>
        <v>0</v>
      </c>
      <c r="U36" s="99">
        <f>$E10*PI()*($E12+0.5*U34)*($E12+0.5*U34)</f>
        <v>0</v>
      </c>
    </row>
    <row r="37" spans="1:23" x14ac:dyDescent="0.35">
      <c r="A37" s="13" t="s">
        <v>111</v>
      </c>
      <c r="B37" s="13"/>
      <c r="C37" s="38" t="s">
        <v>19</v>
      </c>
      <c r="D37" s="64"/>
      <c r="F37" s="12" t="s">
        <v>19</v>
      </c>
      <c r="G37" s="12"/>
      <c r="I37" s="65">
        <v>0.50646764039993286</v>
      </c>
      <c r="K37" s="65">
        <v>0.57487392425537109</v>
      </c>
      <c r="M37" s="65">
        <v>0.56047260761260986</v>
      </c>
      <c r="O37" s="65">
        <v>1</v>
      </c>
      <c r="Q37" s="65">
        <v>0.97084885835647583</v>
      </c>
      <c r="S37" s="65">
        <v>0.91115772724151611</v>
      </c>
      <c r="U37" s="65">
        <v>0.70403838157653809</v>
      </c>
      <c r="V37" t="e">
        <f ca="1">pcoll_diskav("down",I33,I34,I35)</f>
        <v>#NAME?</v>
      </c>
      <c r="W37" s="138" t="s">
        <v>249</v>
      </c>
    </row>
    <row r="38" spans="1:23" x14ac:dyDescent="0.35">
      <c r="A38" s="13" t="s">
        <v>20</v>
      </c>
      <c r="B38" s="13"/>
      <c r="C38" s="37"/>
      <c r="D38" s="66" t="s">
        <v>283</v>
      </c>
      <c r="F38" s="40" t="s">
        <v>284</v>
      </c>
      <c r="G38" s="13"/>
      <c r="I38" s="67" t="e">
        <f ca="1">I27*I36*I35</f>
        <v>#NAME?</v>
      </c>
      <c r="K38" s="67" t="e">
        <f ca="1">K27*K36*K35</f>
        <v>#NAME?</v>
      </c>
      <c r="M38" s="67" t="e">
        <f ca="1">M27*M36*M35</f>
        <v>#NAME?</v>
      </c>
      <c r="O38" s="67" t="e">
        <f ca="1">O27*O36*O35</f>
        <v>#NAME?</v>
      </c>
      <c r="Q38" s="67" t="e">
        <f ca="1">Q27*Q36*Q35</f>
        <v>#NAME?</v>
      </c>
      <c r="S38" s="67" t="e">
        <f ca="1">S27*S36*S35</f>
        <v>#NAME?</v>
      </c>
      <c r="U38" s="67" t="e">
        <f ca="1">U27*U36*U35</f>
        <v>#NAME?</v>
      </c>
    </row>
    <row r="39" spans="1:23" x14ac:dyDescent="0.35">
      <c r="A39" s="13" t="s">
        <v>109</v>
      </c>
      <c r="B39" s="13"/>
      <c r="C39" s="38" t="s">
        <v>285</v>
      </c>
      <c r="D39" s="39"/>
      <c r="E39" s="68"/>
      <c r="F39" s="40" t="s">
        <v>286</v>
      </c>
      <c r="G39" s="13"/>
      <c r="H39" s="13"/>
      <c r="I39" s="39" t="e">
        <f ca="1">I38*I37</f>
        <v>#NAME?</v>
      </c>
      <c r="K39" s="39" t="e">
        <f ca="1">K38*K37</f>
        <v>#NAME?</v>
      </c>
      <c r="M39" s="39" t="e">
        <f ca="1">M38*M37</f>
        <v>#NAME?</v>
      </c>
      <c r="O39" s="39" t="e">
        <f ca="1">O38*O37</f>
        <v>#NAME?</v>
      </c>
      <c r="Q39" s="39" t="e">
        <f ca="1">Q38*Q37</f>
        <v>#NAME?</v>
      </c>
      <c r="S39" s="39" t="e">
        <f ca="1">S38*S37</f>
        <v>#NAME?</v>
      </c>
      <c r="U39" s="39" t="e">
        <f ca="1">U38*U37</f>
        <v>#NAME?</v>
      </c>
    </row>
    <row r="40" spans="1:23" x14ac:dyDescent="0.35">
      <c r="A40" s="13" t="s">
        <v>108</v>
      </c>
      <c r="B40" s="13"/>
      <c r="C40" s="37"/>
      <c r="D40" s="66"/>
      <c r="F40" s="40" t="s">
        <v>287</v>
      </c>
      <c r="G40" s="13"/>
      <c r="I40" s="71" t="e">
        <f ca="1">I38*(1-$E18)*$E7</f>
        <v>#NAME?</v>
      </c>
      <c r="J40" s="84"/>
      <c r="K40" s="71" t="e">
        <f ca="1">K38*(1-$E18)*$E7</f>
        <v>#NAME?</v>
      </c>
      <c r="L40" s="96"/>
      <c r="M40" s="71" t="e">
        <f ca="1">M38*(1-$E18)*$E7</f>
        <v>#NAME?</v>
      </c>
      <c r="N40" s="96"/>
      <c r="O40" s="71" t="e">
        <f ca="1">O38*(1-$E18)*$E7</f>
        <v>#NAME?</v>
      </c>
      <c r="P40" s="96"/>
      <c r="Q40" s="71" t="e">
        <f ca="1">Q38*(1-$E18)*$E7</f>
        <v>#NAME?</v>
      </c>
      <c r="R40" s="96"/>
      <c r="S40" s="71" t="e">
        <f ca="1">S38*(1-$E18)*$E7</f>
        <v>#NAME?</v>
      </c>
      <c r="U40" s="71" t="e">
        <f ca="1">U38*(1-$E18)*$E7</f>
        <v>#NAME?</v>
      </c>
    </row>
    <row r="41" spans="1:23" x14ac:dyDescent="0.35">
      <c r="A41" s="13" t="s">
        <v>110</v>
      </c>
      <c r="C41" s="69"/>
      <c r="D41" s="69" t="s">
        <v>59</v>
      </c>
      <c r="E41" s="68"/>
      <c r="F41" s="70" t="s">
        <v>288</v>
      </c>
      <c r="G41" s="70"/>
      <c r="I41" s="85" t="e">
        <f ca="1">I39*$E7*(1-$E18)</f>
        <v>#NAME?</v>
      </c>
      <c r="K41" s="85" t="e">
        <f ca="1">K39*$E7*(1-$E18)</f>
        <v>#NAME?</v>
      </c>
      <c r="M41" s="71" t="e">
        <f ca="1">M39*$E7*(1-$E18)</f>
        <v>#NAME?</v>
      </c>
      <c r="O41" s="71" t="e">
        <f ca="1">O39*$E7*(1-$E18)</f>
        <v>#NAME?</v>
      </c>
      <c r="Q41" s="71" t="e">
        <f ca="1">Q39*$E7*(1-$E18)</f>
        <v>#NAME?</v>
      </c>
      <c r="S41" s="71" t="e">
        <f ca="1">S39*$E7*(1-$E18)</f>
        <v>#NAME?</v>
      </c>
      <c r="U41" s="71" t="e">
        <f ca="1">U39*$E7*(1-$E18)</f>
        <v>#NAME?</v>
      </c>
    </row>
    <row r="42" spans="1:23" x14ac:dyDescent="0.35">
      <c r="A42" s="161" t="s">
        <v>176</v>
      </c>
      <c r="B42" s="152"/>
      <c r="C42" s="152"/>
      <c r="D42" s="152"/>
      <c r="E42" s="152"/>
      <c r="F42" s="152"/>
      <c r="G42" s="152"/>
      <c r="H42" s="152"/>
      <c r="I42" s="162" t="e">
        <f ca="1">I41/#REF!</f>
        <v>#NAME?</v>
      </c>
      <c r="J42" s="162"/>
      <c r="K42" s="162" t="e">
        <f ca="1">K41/#REF!</f>
        <v>#NAME?</v>
      </c>
      <c r="L42" s="162"/>
      <c r="M42" s="162" t="e">
        <f ca="1">M41/#REF!</f>
        <v>#NAME?</v>
      </c>
      <c r="N42" s="162"/>
      <c r="O42" s="162" t="e">
        <f ca="1">O41/#REF!</f>
        <v>#NAME?</v>
      </c>
      <c r="P42" s="162"/>
      <c r="Q42" s="162" t="e">
        <f ca="1">Q41/#REF!</f>
        <v>#NAME?</v>
      </c>
      <c r="R42" s="152"/>
      <c r="S42" s="162" t="e">
        <f ca="1">S41/#REF!</f>
        <v>#NAME?</v>
      </c>
      <c r="T42" s="152"/>
      <c r="U42" s="162" t="e">
        <f ca="1">U41/#REF!</f>
        <v>#NAME?</v>
      </c>
    </row>
    <row r="44" spans="1:23" ht="24" x14ac:dyDescent="0.35">
      <c r="I44" s="169" t="s">
        <v>77</v>
      </c>
      <c r="J44" s="52"/>
      <c r="K44" s="169" t="s">
        <v>143</v>
      </c>
      <c r="L44" s="92"/>
      <c r="M44" s="169" t="s">
        <v>107</v>
      </c>
      <c r="N44" s="52"/>
      <c r="O44" s="169" t="s">
        <v>78</v>
      </c>
      <c r="P44" s="53"/>
      <c r="Q44" s="169" t="s">
        <v>188</v>
      </c>
      <c r="S44" s="169" t="s">
        <v>189</v>
      </c>
      <c r="U44" s="169" t="s">
        <v>199</v>
      </c>
    </row>
    <row r="45" spans="1:23" x14ac:dyDescent="0.35">
      <c r="A45" s="46" t="s">
        <v>187</v>
      </c>
      <c r="E45" t="s">
        <v>226</v>
      </c>
      <c r="F45" s="165">
        <v>1</v>
      </c>
      <c r="I45" s="139" t="e">
        <f ca="1">$I$41*1</f>
        <v>#NAME?</v>
      </c>
      <c r="K45" s="139" t="e">
        <f ca="1">$K$41*1</f>
        <v>#NAME?</v>
      </c>
      <c r="M45" s="139" t="e">
        <f ca="1">$M$41*1</f>
        <v>#NAME?</v>
      </c>
      <c r="O45" s="139" t="e">
        <f ca="1">$O$41*1</f>
        <v>#NAME?</v>
      </c>
      <c r="Q45" s="139" t="e">
        <f ca="1">$Q$41*1</f>
        <v>#NAME?</v>
      </c>
      <c r="S45" s="139" t="e">
        <f ca="1">$S$41*1</f>
        <v>#NAME?</v>
      </c>
      <c r="U45" s="139" t="e">
        <f ca="1">$U$41*1</f>
        <v>#NAME?</v>
      </c>
    </row>
    <row r="46" spans="1:23" x14ac:dyDescent="0.35">
      <c r="A46" t="s">
        <v>185</v>
      </c>
      <c r="E46" t="s">
        <v>207</v>
      </c>
      <c r="F46" s="165">
        <f>Devices!F32</f>
        <v>0</v>
      </c>
      <c r="I46" s="174" t="s">
        <v>218</v>
      </c>
      <c r="K46" s="174" t="s">
        <v>220</v>
      </c>
      <c r="M46" s="174" t="s">
        <v>221</v>
      </c>
      <c r="O46" s="174" t="s">
        <v>207</v>
      </c>
      <c r="Q46" s="174" t="s">
        <v>219</v>
      </c>
      <c r="S46" s="174" t="s">
        <v>222</v>
      </c>
      <c r="U46" s="174" t="s">
        <v>223</v>
      </c>
    </row>
    <row r="47" spans="1:23" x14ac:dyDescent="0.35">
      <c r="A47" s="42">
        <v>0.5</v>
      </c>
      <c r="I47" s="157" t="e">
        <f t="shared" ref="I47:I52" ca="1" si="1">I$45*(1-$A47)</f>
        <v>#NAME?</v>
      </c>
      <c r="K47" s="63" t="e">
        <f t="shared" ref="K47:K52" ca="1" si="2">K$45*(1-$A47)</f>
        <v>#NAME?</v>
      </c>
      <c r="M47" s="157" t="e">
        <f t="shared" ref="M47:M52" ca="1" si="3">M$45*(1-$A47)</f>
        <v>#NAME?</v>
      </c>
      <c r="O47" s="157" t="e">
        <f t="shared" ref="O47:O52" ca="1" si="4">O$45*(1-$A47)</f>
        <v>#NAME?</v>
      </c>
      <c r="Q47" s="157" t="e">
        <f t="shared" ref="Q47:Q52" ca="1" si="5">Q$45*(1-$A47)</f>
        <v>#NAME?</v>
      </c>
      <c r="S47" s="157" t="e">
        <f t="shared" ref="S47:S52" ca="1" si="6">S$45*(1-$A47)</f>
        <v>#NAME?</v>
      </c>
      <c r="U47" s="157" t="e">
        <f t="shared" ref="U47:U52" ca="1" si="7">U$45*(1-$A47)</f>
        <v>#NAME?</v>
      </c>
      <c r="W47" s="138" t="s">
        <v>225</v>
      </c>
    </row>
    <row r="48" spans="1:23" x14ac:dyDescent="0.35">
      <c r="A48" s="42">
        <v>0.9</v>
      </c>
      <c r="I48" s="157" t="e">
        <f t="shared" ca="1" si="1"/>
        <v>#NAME?</v>
      </c>
      <c r="K48" s="63" t="e">
        <f t="shared" ca="1" si="2"/>
        <v>#NAME?</v>
      </c>
      <c r="M48" s="63" t="e">
        <f t="shared" ca="1" si="3"/>
        <v>#NAME?</v>
      </c>
      <c r="O48" s="157" t="e">
        <f t="shared" ca="1" si="4"/>
        <v>#NAME?</v>
      </c>
      <c r="Q48" s="63" t="e">
        <f t="shared" ca="1" si="5"/>
        <v>#NAME?</v>
      </c>
      <c r="S48" s="63" t="e">
        <f t="shared" ca="1" si="6"/>
        <v>#NAME?</v>
      </c>
      <c r="U48" s="63" t="e">
        <f t="shared" ca="1" si="7"/>
        <v>#NAME?</v>
      </c>
    </row>
    <row r="49" spans="1:21" x14ac:dyDescent="0.35">
      <c r="A49" s="42">
        <v>0.95</v>
      </c>
      <c r="I49" s="157" t="e">
        <f t="shared" ca="1" si="1"/>
        <v>#NAME?</v>
      </c>
      <c r="K49" s="63" t="e">
        <f t="shared" ca="1" si="2"/>
        <v>#NAME?</v>
      </c>
      <c r="M49" s="63" t="e">
        <f t="shared" ca="1" si="3"/>
        <v>#NAME?</v>
      </c>
      <c r="O49" s="141" t="e">
        <f t="shared" ca="1" si="4"/>
        <v>#NAME?</v>
      </c>
      <c r="Q49" s="63" t="e">
        <f t="shared" ca="1" si="5"/>
        <v>#NAME?</v>
      </c>
      <c r="S49" s="63" t="e">
        <f t="shared" ca="1" si="6"/>
        <v>#NAME?</v>
      </c>
      <c r="U49" s="63" t="e">
        <f t="shared" ca="1" si="7"/>
        <v>#NAME?</v>
      </c>
    </row>
    <row r="50" spans="1:21" s="46" customFormat="1" x14ac:dyDescent="0.35">
      <c r="A50" s="140">
        <v>0.98</v>
      </c>
      <c r="I50" s="155" t="e">
        <f t="shared" ca="1" si="1"/>
        <v>#NAME?</v>
      </c>
      <c r="K50" s="141" t="e">
        <f t="shared" ca="1" si="2"/>
        <v>#NAME?</v>
      </c>
      <c r="M50" s="141" t="e">
        <f t="shared" ca="1" si="3"/>
        <v>#NAME?</v>
      </c>
      <c r="O50" s="141" t="e">
        <f t="shared" ca="1" si="4"/>
        <v>#NAME?</v>
      </c>
      <c r="Q50" s="85" t="e">
        <f t="shared" ca="1" si="5"/>
        <v>#NAME?</v>
      </c>
      <c r="S50" s="141" t="e">
        <f t="shared" ca="1" si="6"/>
        <v>#NAME?</v>
      </c>
      <c r="U50" s="141" t="e">
        <f t="shared" ca="1" si="7"/>
        <v>#NAME?</v>
      </c>
    </row>
    <row r="51" spans="1:21" x14ac:dyDescent="0.35">
      <c r="A51" s="42">
        <v>0.99</v>
      </c>
      <c r="I51" s="158" t="e">
        <f t="shared" ca="1" si="1"/>
        <v>#NAME?</v>
      </c>
      <c r="K51" s="63" t="e">
        <f t="shared" ca="1" si="2"/>
        <v>#NAME?</v>
      </c>
      <c r="M51" s="63" t="e">
        <f t="shared" ca="1" si="3"/>
        <v>#NAME?</v>
      </c>
      <c r="O51" s="63" t="e">
        <f t="shared" ca="1" si="4"/>
        <v>#NAME?</v>
      </c>
      <c r="Q51" s="63" t="e">
        <f t="shared" ca="1" si="5"/>
        <v>#NAME?</v>
      </c>
      <c r="S51" s="63" t="e">
        <f t="shared" ca="1" si="6"/>
        <v>#NAME?</v>
      </c>
      <c r="U51" s="63" t="e">
        <f t="shared" ca="1" si="7"/>
        <v>#NAME?</v>
      </c>
    </row>
    <row r="52" spans="1:21" x14ac:dyDescent="0.35">
      <c r="A52" s="154">
        <v>0.997</v>
      </c>
      <c r="I52" s="85" t="e">
        <f t="shared" ca="1" si="1"/>
        <v>#NAME?</v>
      </c>
      <c r="J52" s="46"/>
      <c r="K52" s="141" t="e">
        <f t="shared" ca="1" si="2"/>
        <v>#NAME?</v>
      </c>
      <c r="L52" s="46"/>
      <c r="M52" s="141" t="e">
        <f t="shared" ca="1" si="3"/>
        <v>#NAME?</v>
      </c>
      <c r="N52" s="46"/>
      <c r="O52" s="141" t="e">
        <f t="shared" ca="1" si="4"/>
        <v>#NAME?</v>
      </c>
      <c r="P52" s="46"/>
      <c r="Q52" s="85" t="e">
        <f t="shared" ca="1" si="5"/>
        <v>#NAME?</v>
      </c>
      <c r="R52" s="46"/>
      <c r="S52" s="141" t="e">
        <f t="shared" ca="1" si="6"/>
        <v>#NAME?</v>
      </c>
      <c r="T52" s="46"/>
      <c r="U52" s="141" t="e">
        <f t="shared" ca="1" si="7"/>
        <v>#NAME?</v>
      </c>
    </row>
    <row r="54" spans="1:21" x14ac:dyDescent="0.35">
      <c r="A54" s="151" t="s">
        <v>217</v>
      </c>
      <c r="F54" s="249">
        <f>Devices!F33</f>
        <v>0</v>
      </c>
      <c r="I54" s="139" t="e">
        <f ca="1">$I$41*F54</f>
        <v>#NAME?</v>
      </c>
      <c r="K54" s="139" t="e">
        <f ca="1">$K$41*F54</f>
        <v>#NAME?</v>
      </c>
      <c r="M54" s="139" t="e">
        <f ca="1">$M$41*F54</f>
        <v>#NAME?</v>
      </c>
      <c r="O54" s="139" t="e">
        <f ca="1">$O$41*F54</f>
        <v>#NAME?</v>
      </c>
      <c r="Q54" s="139" t="e">
        <f ca="1">$Q$41*F54</f>
        <v>#NAME?</v>
      </c>
      <c r="S54" s="139" t="e">
        <f ca="1">$S$41*F54</f>
        <v>#NAME?</v>
      </c>
      <c r="U54" s="139" t="e">
        <f ca="1">$U$41*F54</f>
        <v>#NAME?</v>
      </c>
    </row>
    <row r="55" spans="1:21" x14ac:dyDescent="0.35">
      <c r="A55" t="s">
        <v>185</v>
      </c>
      <c r="E55" s="153" t="s">
        <v>207</v>
      </c>
      <c r="F55" s="166">
        <f>F54*F46</f>
        <v>0</v>
      </c>
      <c r="I55" s="174" t="s">
        <v>218</v>
      </c>
      <c r="K55" s="174" t="s">
        <v>220</v>
      </c>
      <c r="M55" s="174" t="s">
        <v>221</v>
      </c>
      <c r="O55" s="174" t="s">
        <v>207</v>
      </c>
      <c r="Q55" s="174" t="s">
        <v>219</v>
      </c>
      <c r="S55" s="174" t="s">
        <v>222</v>
      </c>
      <c r="U55" s="174" t="s">
        <v>223</v>
      </c>
    </row>
    <row r="56" spans="1:21" x14ac:dyDescent="0.35">
      <c r="A56" s="42">
        <v>0.5</v>
      </c>
      <c r="I56" s="157" t="e">
        <f t="shared" ref="I56:I61" ca="1" si="8">I$54*(1-$A56)</f>
        <v>#NAME?</v>
      </c>
      <c r="K56" s="63" t="e">
        <f t="shared" ref="K56:K61" ca="1" si="9">K$54*(1-$A56)</f>
        <v>#NAME?</v>
      </c>
      <c r="M56" s="157" t="e">
        <f t="shared" ref="M56:M61" ca="1" si="10">M$54*(1-$A56)</f>
        <v>#NAME?</v>
      </c>
      <c r="O56" s="157" t="e">
        <f t="shared" ref="O56:O61" ca="1" si="11">O$54*(1-$A56)</f>
        <v>#NAME?</v>
      </c>
      <c r="Q56" s="157" t="e">
        <f t="shared" ref="Q56:Q61" ca="1" si="12">Q$54*(1-$A56)</f>
        <v>#NAME?</v>
      </c>
      <c r="S56" s="157" t="e">
        <f t="shared" ref="S56:S61" ca="1" si="13">S$54*(1-$A56)</f>
        <v>#NAME?</v>
      </c>
      <c r="U56" s="157" t="e">
        <f t="shared" ref="U56:U61" ca="1" si="14">U$54*(1-$A56)</f>
        <v>#NAME?</v>
      </c>
    </row>
    <row r="57" spans="1:21" x14ac:dyDescent="0.35">
      <c r="A57" s="42">
        <v>0.9</v>
      </c>
      <c r="I57" s="157" t="e">
        <f t="shared" ca="1" si="8"/>
        <v>#NAME?</v>
      </c>
      <c r="K57" s="63" t="e">
        <f t="shared" ca="1" si="9"/>
        <v>#NAME?</v>
      </c>
      <c r="M57" s="157" t="e">
        <f t="shared" ca="1" si="10"/>
        <v>#NAME?</v>
      </c>
      <c r="O57" s="157" t="e">
        <f t="shared" ca="1" si="11"/>
        <v>#NAME?</v>
      </c>
      <c r="Q57" s="157" t="e">
        <f t="shared" ca="1" si="12"/>
        <v>#NAME?</v>
      </c>
      <c r="S57" s="157" t="e">
        <f t="shared" ca="1" si="13"/>
        <v>#NAME?</v>
      </c>
      <c r="U57" s="157" t="e">
        <f t="shared" ca="1" si="14"/>
        <v>#NAME?</v>
      </c>
    </row>
    <row r="58" spans="1:21" x14ac:dyDescent="0.35">
      <c r="A58" s="42">
        <v>0.95</v>
      </c>
      <c r="I58" s="157" t="e">
        <f t="shared" ca="1" si="8"/>
        <v>#NAME?</v>
      </c>
      <c r="K58" s="63" t="e">
        <f t="shared" ca="1" si="9"/>
        <v>#NAME?</v>
      </c>
      <c r="M58" s="157" t="e">
        <f t="shared" ca="1" si="10"/>
        <v>#NAME?</v>
      </c>
      <c r="O58" s="157" t="e">
        <f t="shared" ca="1" si="11"/>
        <v>#NAME?</v>
      </c>
      <c r="Q58" s="157" t="e">
        <f t="shared" ca="1" si="12"/>
        <v>#NAME?</v>
      </c>
      <c r="S58" s="157" t="e">
        <f t="shared" ca="1" si="13"/>
        <v>#NAME?</v>
      </c>
      <c r="U58" s="157" t="e">
        <f t="shared" ca="1" si="14"/>
        <v>#NAME?</v>
      </c>
    </row>
    <row r="59" spans="1:21" x14ac:dyDescent="0.35">
      <c r="A59" s="140">
        <v>0.98</v>
      </c>
      <c r="B59" s="46"/>
      <c r="C59" s="46"/>
      <c r="D59" s="46"/>
      <c r="E59" s="46"/>
      <c r="F59" s="46"/>
      <c r="G59" s="46"/>
      <c r="H59" s="46"/>
      <c r="I59" s="155" t="e">
        <f t="shared" ca="1" si="8"/>
        <v>#NAME?</v>
      </c>
      <c r="J59" s="46"/>
      <c r="K59" s="141" t="e">
        <f t="shared" ca="1" si="9"/>
        <v>#NAME?</v>
      </c>
      <c r="L59" s="46"/>
      <c r="M59" s="141" t="e">
        <f t="shared" ca="1" si="10"/>
        <v>#NAME?</v>
      </c>
      <c r="N59" s="46"/>
      <c r="O59" s="156" t="e">
        <f t="shared" ca="1" si="11"/>
        <v>#NAME?</v>
      </c>
      <c r="P59" s="46"/>
      <c r="Q59" s="155" t="e">
        <f t="shared" ca="1" si="12"/>
        <v>#NAME?</v>
      </c>
      <c r="R59" s="46"/>
      <c r="S59" s="156" t="e">
        <f t="shared" ca="1" si="13"/>
        <v>#NAME?</v>
      </c>
      <c r="T59" s="46"/>
      <c r="U59" s="156" t="e">
        <f t="shared" ca="1" si="14"/>
        <v>#NAME?</v>
      </c>
    </row>
    <row r="60" spans="1:21" x14ac:dyDescent="0.35">
      <c r="A60" s="42">
        <v>0.99</v>
      </c>
      <c r="I60" s="157" t="e">
        <f t="shared" ca="1" si="8"/>
        <v>#NAME?</v>
      </c>
      <c r="K60" s="63" t="e">
        <f t="shared" ca="1" si="9"/>
        <v>#NAME?</v>
      </c>
      <c r="M60" s="63" t="e">
        <f t="shared" ca="1" si="10"/>
        <v>#NAME?</v>
      </c>
      <c r="O60" s="63" t="e">
        <f t="shared" ca="1" si="11"/>
        <v>#NAME?</v>
      </c>
      <c r="Q60" s="63" t="e">
        <f t="shared" ca="1" si="12"/>
        <v>#NAME?</v>
      </c>
      <c r="S60" s="63" t="e">
        <f t="shared" ca="1" si="13"/>
        <v>#NAME?</v>
      </c>
      <c r="U60" s="63" t="e">
        <f t="shared" ca="1" si="14"/>
        <v>#NAME?</v>
      </c>
    </row>
    <row r="61" spans="1:21" x14ac:dyDescent="0.35">
      <c r="A61" s="154">
        <v>0.997</v>
      </c>
      <c r="I61" s="155" t="e">
        <f t="shared" ca="1" si="8"/>
        <v>#NAME?</v>
      </c>
      <c r="J61" s="46"/>
      <c r="K61" s="141" t="e">
        <f t="shared" ca="1" si="9"/>
        <v>#NAME?</v>
      </c>
      <c r="L61" s="46"/>
      <c r="M61" s="141" t="e">
        <f t="shared" ca="1" si="10"/>
        <v>#NAME?</v>
      </c>
      <c r="N61" s="46"/>
      <c r="O61" s="141" t="e">
        <f t="shared" ca="1" si="11"/>
        <v>#NAME?</v>
      </c>
      <c r="P61" s="46"/>
      <c r="Q61" s="85" t="e">
        <f t="shared" ca="1" si="12"/>
        <v>#NAME?</v>
      </c>
      <c r="R61" s="46"/>
      <c r="S61" s="141" t="e">
        <f t="shared" ca="1" si="13"/>
        <v>#NAME?</v>
      </c>
      <c r="T61" s="46"/>
      <c r="U61" s="141" t="e">
        <f t="shared" ca="1" si="14"/>
        <v>#NAME?</v>
      </c>
    </row>
    <row r="63" spans="1:21" x14ac:dyDescent="0.35">
      <c r="A63" s="151" t="s">
        <v>216</v>
      </c>
      <c r="B63" s="152"/>
      <c r="C63" s="152"/>
      <c r="D63" s="152"/>
      <c r="E63" s="152"/>
      <c r="F63" s="166">
        <v>8</v>
      </c>
      <c r="I63" s="139" t="e">
        <f ca="1">$I$41*F63</f>
        <v>#NAME?</v>
      </c>
      <c r="K63" s="139" t="e">
        <f ca="1">$K$41*F63</f>
        <v>#NAME?</v>
      </c>
      <c r="M63" s="139" t="e">
        <f ca="1">$M$41*F63</f>
        <v>#NAME?</v>
      </c>
      <c r="O63" s="139" t="e">
        <f ca="1">$O$41*F63</f>
        <v>#NAME?</v>
      </c>
      <c r="Q63" s="139" t="e">
        <f ca="1">$Q$41*F63</f>
        <v>#NAME?</v>
      </c>
      <c r="S63" s="139" t="e">
        <f ca="1">$S$41*F63</f>
        <v>#NAME?</v>
      </c>
      <c r="U63" s="139" t="e">
        <f ca="1">$U$41*F63</f>
        <v>#NAME?</v>
      </c>
    </row>
    <row r="64" spans="1:21" x14ac:dyDescent="0.35">
      <c r="A64" t="s">
        <v>185</v>
      </c>
      <c r="E64" s="153" t="s">
        <v>207</v>
      </c>
      <c r="F64" s="166">
        <f>F63*F46</f>
        <v>0</v>
      </c>
      <c r="I64" s="174" t="s">
        <v>218</v>
      </c>
      <c r="K64" s="174" t="s">
        <v>220</v>
      </c>
      <c r="M64" s="174" t="s">
        <v>221</v>
      </c>
      <c r="O64" s="174" t="s">
        <v>207</v>
      </c>
      <c r="Q64" s="174" t="s">
        <v>219</v>
      </c>
      <c r="S64" s="174" t="s">
        <v>222</v>
      </c>
      <c r="U64" s="174" t="s">
        <v>223</v>
      </c>
    </row>
    <row r="65" spans="1:21" x14ac:dyDescent="0.35">
      <c r="A65" s="42">
        <v>0.5</v>
      </c>
      <c r="I65" s="157" t="e">
        <f t="shared" ref="I65:I70" ca="1" si="15">I$63*(1-$A65)</f>
        <v>#NAME?</v>
      </c>
      <c r="K65" s="63" t="e">
        <f t="shared" ref="K65:K70" ca="1" si="16">K$63*(1-$A65)</f>
        <v>#NAME?</v>
      </c>
      <c r="M65" s="157" t="e">
        <f t="shared" ref="M65:M70" ca="1" si="17">M$63*(1-$A65)</f>
        <v>#NAME?</v>
      </c>
      <c r="O65" s="157" t="e">
        <f t="shared" ref="O65:O70" ca="1" si="18">O$63*(1-$A65)</f>
        <v>#NAME?</v>
      </c>
      <c r="Q65" s="157" t="e">
        <f t="shared" ref="Q65:Q70" ca="1" si="19">Q$63*(1-$A65)</f>
        <v>#NAME?</v>
      </c>
      <c r="S65" s="157" t="e">
        <f t="shared" ref="S65:S70" ca="1" si="20">S$63*(1-$A65)</f>
        <v>#NAME?</v>
      </c>
      <c r="U65" s="157" t="e">
        <f t="shared" ref="U65:U70" ca="1" si="21">U$63*(1-$A65)</f>
        <v>#NAME?</v>
      </c>
    </row>
    <row r="66" spans="1:21" x14ac:dyDescent="0.35">
      <c r="A66" s="42">
        <v>0.9</v>
      </c>
      <c r="I66" s="157" t="e">
        <f t="shared" ca="1" si="15"/>
        <v>#NAME?</v>
      </c>
      <c r="K66" s="63" t="e">
        <f t="shared" ca="1" si="16"/>
        <v>#NAME?</v>
      </c>
      <c r="M66" s="157" t="e">
        <f t="shared" ca="1" si="17"/>
        <v>#NAME?</v>
      </c>
      <c r="O66" s="157" t="e">
        <f t="shared" ca="1" si="18"/>
        <v>#NAME?</v>
      </c>
      <c r="Q66" s="157" t="e">
        <f t="shared" ca="1" si="19"/>
        <v>#NAME?</v>
      </c>
      <c r="S66" s="157" t="e">
        <f t="shared" ca="1" si="20"/>
        <v>#NAME?</v>
      </c>
      <c r="U66" s="157" t="e">
        <f t="shared" ca="1" si="21"/>
        <v>#NAME?</v>
      </c>
    </row>
    <row r="67" spans="1:21" x14ac:dyDescent="0.35">
      <c r="A67" s="42">
        <v>0.95</v>
      </c>
      <c r="I67" s="157" t="e">
        <f t="shared" ca="1" si="15"/>
        <v>#NAME?</v>
      </c>
      <c r="K67" s="63" t="e">
        <f t="shared" ca="1" si="16"/>
        <v>#NAME?</v>
      </c>
      <c r="M67" s="157" t="e">
        <f t="shared" ca="1" si="17"/>
        <v>#NAME?</v>
      </c>
      <c r="O67" s="157" t="e">
        <f t="shared" ca="1" si="18"/>
        <v>#NAME?</v>
      </c>
      <c r="Q67" s="157" t="e">
        <f t="shared" ca="1" si="19"/>
        <v>#NAME?</v>
      </c>
      <c r="S67" s="157" t="e">
        <f t="shared" ca="1" si="20"/>
        <v>#NAME?</v>
      </c>
      <c r="U67" s="157" t="e">
        <f t="shared" ca="1" si="21"/>
        <v>#NAME?</v>
      </c>
    </row>
    <row r="68" spans="1:21" x14ac:dyDescent="0.35">
      <c r="A68" s="140">
        <v>0.98</v>
      </c>
      <c r="B68" s="46"/>
      <c r="C68" s="46"/>
      <c r="D68" s="46"/>
      <c r="E68" s="46"/>
      <c r="F68" s="46"/>
      <c r="G68" s="46"/>
      <c r="H68" s="46"/>
      <c r="I68" s="155" t="e">
        <f t="shared" ca="1" si="15"/>
        <v>#NAME?</v>
      </c>
      <c r="J68" s="46"/>
      <c r="K68" s="141" t="e">
        <f t="shared" ca="1" si="16"/>
        <v>#NAME?</v>
      </c>
      <c r="L68" s="46"/>
      <c r="M68" s="141" t="e">
        <f t="shared" ca="1" si="17"/>
        <v>#NAME?</v>
      </c>
      <c r="N68" s="46"/>
      <c r="O68" s="156" t="e">
        <f t="shared" ca="1" si="18"/>
        <v>#NAME?</v>
      </c>
      <c r="P68" s="46"/>
      <c r="Q68" s="85" t="e">
        <f t="shared" ca="1" si="19"/>
        <v>#NAME?</v>
      </c>
      <c r="R68" s="46"/>
      <c r="S68" s="156" t="e">
        <f t="shared" ca="1" si="20"/>
        <v>#NAME?</v>
      </c>
      <c r="T68" s="46"/>
      <c r="U68" s="156" t="e">
        <f t="shared" ca="1" si="21"/>
        <v>#NAME?</v>
      </c>
    </row>
    <row r="69" spans="1:21" x14ac:dyDescent="0.35">
      <c r="A69" s="42">
        <v>0.99</v>
      </c>
      <c r="I69" s="157" t="e">
        <f t="shared" ca="1" si="15"/>
        <v>#NAME?</v>
      </c>
      <c r="K69" s="63" t="e">
        <f t="shared" ca="1" si="16"/>
        <v>#NAME?</v>
      </c>
      <c r="M69" s="63" t="e">
        <f t="shared" ca="1" si="17"/>
        <v>#NAME?</v>
      </c>
      <c r="O69" s="63" t="e">
        <f t="shared" ca="1" si="18"/>
        <v>#NAME?</v>
      </c>
      <c r="Q69" s="63" t="e">
        <f t="shared" ca="1" si="19"/>
        <v>#NAME?</v>
      </c>
      <c r="S69" s="63" t="e">
        <f t="shared" ca="1" si="20"/>
        <v>#NAME?</v>
      </c>
      <c r="U69" s="63" t="e">
        <f t="shared" ca="1" si="21"/>
        <v>#NAME?</v>
      </c>
    </row>
    <row r="70" spans="1:21" x14ac:dyDescent="0.35">
      <c r="A70" s="154">
        <v>0.997</v>
      </c>
      <c r="I70" s="85" t="e">
        <f t="shared" ca="1" si="15"/>
        <v>#NAME?</v>
      </c>
      <c r="J70" s="46"/>
      <c r="K70" s="141" t="e">
        <f t="shared" ca="1" si="16"/>
        <v>#NAME?</v>
      </c>
      <c r="L70" s="46"/>
      <c r="M70" s="141" t="e">
        <f t="shared" ca="1" si="17"/>
        <v>#NAME?</v>
      </c>
      <c r="N70" s="46"/>
      <c r="O70" s="141" t="e">
        <f t="shared" ca="1" si="18"/>
        <v>#NAME?</v>
      </c>
      <c r="P70" s="46"/>
      <c r="Q70" s="85" t="e">
        <f t="shared" ca="1" si="19"/>
        <v>#NAME?</v>
      </c>
      <c r="R70" s="46"/>
      <c r="S70" s="141" t="e">
        <f t="shared" ca="1" si="20"/>
        <v>#NAME?</v>
      </c>
      <c r="T70" s="46"/>
      <c r="U70" s="141" t="e">
        <f t="shared" ca="1" si="21"/>
        <v>#NAME?</v>
      </c>
    </row>
    <row r="72" spans="1:21" x14ac:dyDescent="0.35">
      <c r="A72" s="151" t="s">
        <v>224</v>
      </c>
      <c r="B72" s="152"/>
      <c r="C72" s="152"/>
      <c r="D72" s="152"/>
      <c r="E72" s="152"/>
      <c r="F72" s="165">
        <v>76</v>
      </c>
      <c r="I72" s="139" t="e">
        <f ca="1">$I$41*F72</f>
        <v>#NAME?</v>
      </c>
      <c r="K72" s="139" t="e">
        <f ca="1">$K$41*F72</f>
        <v>#NAME?</v>
      </c>
      <c r="M72" s="139" t="e">
        <f ca="1">$M$41*F72</f>
        <v>#NAME?</v>
      </c>
      <c r="O72" s="139" t="e">
        <f ca="1">$O$41*F72</f>
        <v>#NAME?</v>
      </c>
      <c r="Q72" s="139" t="e">
        <f ca="1">$Q$41*F72</f>
        <v>#NAME?</v>
      </c>
      <c r="S72" s="139" t="e">
        <f ca="1">$S$41*F72</f>
        <v>#NAME?</v>
      </c>
      <c r="U72" s="139" t="e">
        <f ca="1">$U$41*F72</f>
        <v>#NAME?</v>
      </c>
    </row>
    <row r="73" spans="1:21" x14ac:dyDescent="0.35">
      <c r="A73" t="s">
        <v>185</v>
      </c>
      <c r="E73" s="153" t="s">
        <v>207</v>
      </c>
      <c r="F73" s="165">
        <f>F72*F46</f>
        <v>0</v>
      </c>
      <c r="I73" s="174" t="s">
        <v>218</v>
      </c>
      <c r="K73" s="174" t="s">
        <v>220</v>
      </c>
      <c r="M73" s="174" t="s">
        <v>221</v>
      </c>
      <c r="O73" s="174" t="s">
        <v>207</v>
      </c>
      <c r="Q73" s="174" t="s">
        <v>219</v>
      </c>
      <c r="S73" s="174" t="s">
        <v>222</v>
      </c>
      <c r="U73" s="174" t="s">
        <v>223</v>
      </c>
    </row>
    <row r="74" spans="1:21" x14ac:dyDescent="0.35">
      <c r="A74" s="42">
        <v>0.5</v>
      </c>
      <c r="I74" s="157" t="e">
        <f t="shared" ref="I74:I79" ca="1" si="22">I$72*(1-$A74)</f>
        <v>#NAME?</v>
      </c>
      <c r="K74" s="157" t="e">
        <f t="shared" ref="K74:K79" ca="1" si="23">K$72*(1-$A74)</f>
        <v>#NAME?</v>
      </c>
      <c r="M74" s="157" t="e">
        <f t="shared" ref="M74:M79" ca="1" si="24">M$72*(1-$A74)</f>
        <v>#NAME?</v>
      </c>
      <c r="O74" s="157" t="e">
        <f t="shared" ref="O74:O79" ca="1" si="25">O$72*(1-$A74)</f>
        <v>#NAME?</v>
      </c>
      <c r="Q74" s="157" t="e">
        <f t="shared" ref="Q74:Q79" ca="1" si="26">Q$72*(1-$A74)</f>
        <v>#NAME?</v>
      </c>
      <c r="S74" s="157" t="e">
        <f t="shared" ref="S74:S79" ca="1" si="27">S$72*(1-$A74)</f>
        <v>#NAME?</v>
      </c>
      <c r="U74" s="157" t="e">
        <f t="shared" ref="U74:U79" ca="1" si="28">U$72*(1-$A74)</f>
        <v>#NAME?</v>
      </c>
    </row>
    <row r="75" spans="1:21" x14ac:dyDescent="0.35">
      <c r="A75" s="42">
        <v>0.9</v>
      </c>
      <c r="I75" s="157" t="e">
        <f t="shared" ca="1" si="22"/>
        <v>#NAME?</v>
      </c>
      <c r="K75" s="63" t="e">
        <f t="shared" ca="1" si="23"/>
        <v>#NAME?</v>
      </c>
      <c r="M75" s="157" t="e">
        <f t="shared" ca="1" si="24"/>
        <v>#NAME?</v>
      </c>
      <c r="O75" s="157" t="e">
        <f t="shared" ca="1" si="25"/>
        <v>#NAME?</v>
      </c>
      <c r="Q75" s="157" t="e">
        <f t="shared" ca="1" si="26"/>
        <v>#NAME?</v>
      </c>
      <c r="S75" s="157" t="e">
        <f t="shared" ca="1" si="27"/>
        <v>#NAME?</v>
      </c>
      <c r="U75" s="157" t="e">
        <f t="shared" ca="1" si="28"/>
        <v>#NAME?</v>
      </c>
    </row>
    <row r="76" spans="1:21" x14ac:dyDescent="0.35">
      <c r="A76" s="42">
        <v>0.95</v>
      </c>
      <c r="I76" s="157" t="e">
        <f t="shared" ca="1" si="22"/>
        <v>#NAME?</v>
      </c>
      <c r="K76" s="63" t="e">
        <f t="shared" ca="1" si="23"/>
        <v>#NAME?</v>
      </c>
      <c r="M76" s="157" t="e">
        <f t="shared" ca="1" si="24"/>
        <v>#NAME?</v>
      </c>
      <c r="O76" s="157" t="e">
        <f t="shared" ca="1" si="25"/>
        <v>#NAME?</v>
      </c>
      <c r="Q76" s="157" t="e">
        <f t="shared" ca="1" si="26"/>
        <v>#NAME?</v>
      </c>
      <c r="S76" s="157" t="e">
        <f t="shared" ca="1" si="27"/>
        <v>#NAME?</v>
      </c>
      <c r="U76" s="157" t="e">
        <f t="shared" ca="1" si="28"/>
        <v>#NAME?</v>
      </c>
    </row>
    <row r="77" spans="1:21" x14ac:dyDescent="0.35">
      <c r="A77" s="140">
        <v>0.98</v>
      </c>
      <c r="B77" s="46"/>
      <c r="C77" s="46"/>
      <c r="D77" s="46"/>
      <c r="E77" s="46"/>
      <c r="F77" s="46"/>
      <c r="G77" s="46"/>
      <c r="H77" s="46"/>
      <c r="I77" s="155" t="e">
        <f t="shared" ca="1" si="22"/>
        <v>#NAME?</v>
      </c>
      <c r="J77" s="46"/>
      <c r="K77" s="141" t="e">
        <f t="shared" ca="1" si="23"/>
        <v>#NAME?</v>
      </c>
      <c r="L77" s="46"/>
      <c r="M77" s="156" t="e">
        <f t="shared" ca="1" si="24"/>
        <v>#NAME?</v>
      </c>
      <c r="N77" s="46"/>
      <c r="O77" s="156" t="e">
        <f t="shared" ca="1" si="25"/>
        <v>#NAME?</v>
      </c>
      <c r="P77" s="46"/>
      <c r="Q77" s="155" t="e">
        <f t="shared" ca="1" si="26"/>
        <v>#NAME?</v>
      </c>
      <c r="R77" s="46"/>
      <c r="S77" s="156" t="e">
        <f t="shared" ca="1" si="27"/>
        <v>#NAME?</v>
      </c>
      <c r="T77" s="46"/>
      <c r="U77" s="156" t="e">
        <f t="shared" ca="1" si="28"/>
        <v>#NAME?</v>
      </c>
    </row>
    <row r="78" spans="1:21" x14ac:dyDescent="0.35">
      <c r="A78" s="42">
        <v>0.99</v>
      </c>
      <c r="I78" s="157" t="e">
        <f t="shared" ca="1" si="22"/>
        <v>#NAME?</v>
      </c>
      <c r="K78" s="63" t="e">
        <f t="shared" ca="1" si="23"/>
        <v>#NAME?</v>
      </c>
      <c r="M78" s="157" t="e">
        <f t="shared" ca="1" si="24"/>
        <v>#NAME?</v>
      </c>
      <c r="O78" s="157" t="e">
        <f t="shared" ca="1" si="25"/>
        <v>#NAME?</v>
      </c>
      <c r="Q78" s="157" t="e">
        <f t="shared" ca="1" si="26"/>
        <v>#NAME?</v>
      </c>
      <c r="S78" s="157" t="e">
        <f t="shared" ca="1" si="27"/>
        <v>#NAME?</v>
      </c>
      <c r="U78" s="157" t="e">
        <f t="shared" ca="1" si="28"/>
        <v>#NAME?</v>
      </c>
    </row>
    <row r="79" spans="1:21" x14ac:dyDescent="0.35">
      <c r="A79" s="154">
        <v>0.997</v>
      </c>
      <c r="I79" s="155" t="e">
        <f t="shared" ca="1" si="22"/>
        <v>#NAME?</v>
      </c>
      <c r="J79" s="46"/>
      <c r="K79" s="141" t="e">
        <f t="shared" ca="1" si="23"/>
        <v>#NAME?</v>
      </c>
      <c r="L79" s="46"/>
      <c r="M79" s="141" t="e">
        <f t="shared" ca="1" si="24"/>
        <v>#NAME?</v>
      </c>
      <c r="N79" s="46"/>
      <c r="O79" s="156" t="e">
        <f t="shared" ca="1" si="25"/>
        <v>#NAME?</v>
      </c>
      <c r="P79" s="46"/>
      <c r="Q79" s="85" t="e">
        <f t="shared" ca="1" si="26"/>
        <v>#NAME?</v>
      </c>
      <c r="R79" s="46"/>
      <c r="S79" s="141" t="e">
        <f t="shared" ca="1" si="27"/>
        <v>#NAME?</v>
      </c>
      <c r="T79" s="46"/>
      <c r="U79" s="156" t="e">
        <f t="shared" ca="1" si="28"/>
        <v>#NAME?</v>
      </c>
    </row>
    <row r="81" spans="1:21" x14ac:dyDescent="0.35">
      <c r="A81" s="151" t="s">
        <v>227</v>
      </c>
      <c r="B81" s="152"/>
      <c r="C81" s="152"/>
      <c r="D81" s="152"/>
      <c r="E81" s="152"/>
      <c r="F81" s="166">
        <v>2</v>
      </c>
      <c r="I81" s="139" t="e">
        <f ca="1">$I$41*F81</f>
        <v>#NAME?</v>
      </c>
      <c r="K81" s="139" t="e">
        <f ca="1">$K$41*F81</f>
        <v>#NAME?</v>
      </c>
      <c r="M81" s="139" t="e">
        <f ca="1">$M$41*F81</f>
        <v>#NAME?</v>
      </c>
      <c r="O81" s="139" t="e">
        <f ca="1">$O$41*F81</f>
        <v>#NAME?</v>
      </c>
      <c r="Q81" s="139" t="e">
        <f ca="1">$Q$41*F81</f>
        <v>#NAME?</v>
      </c>
      <c r="S81" s="139" t="e">
        <f ca="1">$S$41*F81</f>
        <v>#NAME?</v>
      </c>
      <c r="U81" s="139" t="e">
        <f ca="1">$U$41*F81</f>
        <v>#NAME?</v>
      </c>
    </row>
    <row r="82" spans="1:21" x14ac:dyDescent="0.35">
      <c r="A82" t="s">
        <v>185</v>
      </c>
      <c r="E82" s="153" t="s">
        <v>207</v>
      </c>
      <c r="F82" s="166">
        <f>F81*F46</f>
        <v>0</v>
      </c>
      <c r="I82" s="174" t="s">
        <v>218</v>
      </c>
      <c r="K82" s="174" t="s">
        <v>220</v>
      </c>
      <c r="M82" s="174" t="s">
        <v>221</v>
      </c>
      <c r="O82" s="174" t="s">
        <v>207</v>
      </c>
      <c r="Q82" s="174" t="s">
        <v>219</v>
      </c>
      <c r="S82" s="174" t="s">
        <v>222</v>
      </c>
      <c r="U82" s="174" t="s">
        <v>223</v>
      </c>
    </row>
    <row r="83" spans="1:21" x14ac:dyDescent="0.35">
      <c r="A83" s="42">
        <v>0.5</v>
      </c>
      <c r="I83" s="157" t="e">
        <f t="shared" ref="I83:I88" ca="1" si="29">I$81*(1-$A83)</f>
        <v>#NAME?</v>
      </c>
      <c r="K83" s="158" t="e">
        <f t="shared" ref="K83:K88" ca="1" si="30">K$81*(1-$A83)</f>
        <v>#NAME?</v>
      </c>
      <c r="M83" s="157" t="e">
        <f t="shared" ref="M83:M88" ca="1" si="31">M$81*(1-$A83)</f>
        <v>#NAME?</v>
      </c>
      <c r="O83" s="157" t="e">
        <f t="shared" ref="O83:O88" ca="1" si="32">O$81*(1-$A83)</f>
        <v>#NAME?</v>
      </c>
      <c r="Q83" s="157" t="e">
        <f t="shared" ref="Q83:Q88" ca="1" si="33">Q$81*(1-$A83)</f>
        <v>#NAME?</v>
      </c>
      <c r="S83" s="157" t="e">
        <f t="shared" ref="S83:S88" ca="1" si="34">S$81*(1-$A83)</f>
        <v>#NAME?</v>
      </c>
      <c r="U83" s="157" t="e">
        <f t="shared" ref="U83:U88" ca="1" si="35">U$81*(1-$A83)</f>
        <v>#NAME?</v>
      </c>
    </row>
    <row r="84" spans="1:21" x14ac:dyDescent="0.35">
      <c r="A84" s="42">
        <v>0.9</v>
      </c>
      <c r="I84" s="157" t="e">
        <f t="shared" ca="1" si="29"/>
        <v>#NAME?</v>
      </c>
      <c r="K84" s="158" t="e">
        <f t="shared" ca="1" si="30"/>
        <v>#NAME?</v>
      </c>
      <c r="M84" s="157" t="e">
        <f t="shared" ca="1" si="31"/>
        <v>#NAME?</v>
      </c>
      <c r="O84" s="157" t="e">
        <f t="shared" ca="1" si="32"/>
        <v>#NAME?</v>
      </c>
      <c r="Q84" s="157" t="e">
        <f t="shared" ca="1" si="33"/>
        <v>#NAME?</v>
      </c>
      <c r="S84" s="157" t="e">
        <f t="shared" ca="1" si="34"/>
        <v>#NAME?</v>
      </c>
      <c r="U84" s="157" t="e">
        <f t="shared" ca="1" si="35"/>
        <v>#NAME?</v>
      </c>
    </row>
    <row r="85" spans="1:21" x14ac:dyDescent="0.35">
      <c r="A85" s="42">
        <v>0.95</v>
      </c>
      <c r="I85" s="157" t="e">
        <f t="shared" ca="1" si="29"/>
        <v>#NAME?</v>
      </c>
      <c r="K85" s="158" t="e">
        <f t="shared" ca="1" si="30"/>
        <v>#NAME?</v>
      </c>
      <c r="M85" s="158" t="e">
        <f t="shared" ca="1" si="31"/>
        <v>#NAME?</v>
      </c>
      <c r="O85" s="157" t="e">
        <f t="shared" ca="1" si="32"/>
        <v>#NAME?</v>
      </c>
      <c r="Q85" s="158" t="e">
        <f t="shared" ca="1" si="33"/>
        <v>#NAME?</v>
      </c>
      <c r="S85" s="158" t="e">
        <f t="shared" ca="1" si="34"/>
        <v>#NAME?</v>
      </c>
      <c r="U85" s="158" t="e">
        <f t="shared" ca="1" si="35"/>
        <v>#NAME?</v>
      </c>
    </row>
    <row r="86" spans="1:21" x14ac:dyDescent="0.35">
      <c r="A86" s="140">
        <v>0.98</v>
      </c>
      <c r="B86" s="46"/>
      <c r="C86" s="46"/>
      <c r="D86" s="46"/>
      <c r="E86" s="46"/>
      <c r="F86" s="46"/>
      <c r="G86" s="46"/>
      <c r="H86" s="46"/>
      <c r="I86" s="155" t="e">
        <f t="shared" ca="1" si="29"/>
        <v>#NAME?</v>
      </c>
      <c r="J86" s="46"/>
      <c r="K86" s="164" t="e">
        <f t="shared" ca="1" si="30"/>
        <v>#NAME?</v>
      </c>
      <c r="L86" s="46"/>
      <c r="M86" s="164" t="e">
        <f t="shared" ca="1" si="31"/>
        <v>#NAME?</v>
      </c>
      <c r="N86" s="46"/>
      <c r="O86" s="164" t="e">
        <f t="shared" ca="1" si="32"/>
        <v>#NAME?</v>
      </c>
      <c r="P86" s="46"/>
      <c r="Q86" s="163" t="e">
        <f t="shared" ca="1" si="33"/>
        <v>#NAME?</v>
      </c>
      <c r="R86" s="46"/>
      <c r="S86" s="164" t="e">
        <f t="shared" ca="1" si="34"/>
        <v>#NAME?</v>
      </c>
      <c r="T86" s="46"/>
      <c r="U86" s="164" t="e">
        <f t="shared" ca="1" si="35"/>
        <v>#NAME?</v>
      </c>
    </row>
    <row r="87" spans="1:21" x14ac:dyDescent="0.35">
      <c r="A87" s="42">
        <v>0.99</v>
      </c>
      <c r="I87" s="157" t="e">
        <f t="shared" ca="1" si="29"/>
        <v>#NAME?</v>
      </c>
      <c r="K87" s="158" t="e">
        <f t="shared" ca="1" si="30"/>
        <v>#NAME?</v>
      </c>
      <c r="M87" s="158" t="e">
        <f t="shared" ca="1" si="31"/>
        <v>#NAME?</v>
      </c>
      <c r="O87" s="158" t="e">
        <f t="shared" ca="1" si="32"/>
        <v>#NAME?</v>
      </c>
      <c r="Q87" s="158" t="e">
        <f t="shared" ca="1" si="33"/>
        <v>#NAME?</v>
      </c>
      <c r="S87" s="158" t="e">
        <f t="shared" ca="1" si="34"/>
        <v>#NAME?</v>
      </c>
      <c r="U87" s="158" t="e">
        <f t="shared" ca="1" si="35"/>
        <v>#NAME?</v>
      </c>
    </row>
    <row r="88" spans="1:21" x14ac:dyDescent="0.35">
      <c r="A88" s="154">
        <v>0.997</v>
      </c>
      <c r="I88" s="85" t="e">
        <f t="shared" ca="1" si="29"/>
        <v>#NAME?</v>
      </c>
      <c r="J88" s="46"/>
      <c r="K88" s="164" t="e">
        <f t="shared" ca="1" si="30"/>
        <v>#NAME?</v>
      </c>
      <c r="L88" s="46"/>
      <c r="M88" s="164" t="e">
        <f t="shared" ca="1" si="31"/>
        <v>#NAME?</v>
      </c>
      <c r="N88" s="46"/>
      <c r="O88" s="164" t="e">
        <f t="shared" ca="1" si="32"/>
        <v>#NAME?</v>
      </c>
      <c r="P88" s="46"/>
      <c r="Q88" s="163" t="e">
        <f t="shared" ca="1" si="33"/>
        <v>#NAME?</v>
      </c>
      <c r="R88" s="46"/>
      <c r="S88" s="164" t="e">
        <f t="shared" ca="1" si="34"/>
        <v>#NAME?</v>
      </c>
      <c r="T88" s="46"/>
      <c r="U88" s="164" t="e">
        <f t="shared" ca="1" si="35"/>
        <v>#NAME?</v>
      </c>
    </row>
    <row r="90" spans="1:21" x14ac:dyDescent="0.35">
      <c r="A90" s="151" t="s">
        <v>229</v>
      </c>
      <c r="B90" s="152"/>
      <c r="C90" s="152"/>
      <c r="D90" s="152"/>
      <c r="E90" s="152"/>
      <c r="F90" s="166">
        <v>51</v>
      </c>
      <c r="I90" s="139" t="e">
        <f ca="1">$I$41*F90</f>
        <v>#NAME?</v>
      </c>
      <c r="K90" s="139" t="e">
        <f ca="1">$K$41*F90</f>
        <v>#NAME?</v>
      </c>
      <c r="M90" s="139" t="e">
        <f ca="1">$M$41*F90</f>
        <v>#NAME?</v>
      </c>
      <c r="O90" s="139" t="e">
        <f ca="1">$O$41*F90</f>
        <v>#NAME?</v>
      </c>
      <c r="Q90" s="139" t="e">
        <f ca="1">$Q$41*F90</f>
        <v>#NAME?</v>
      </c>
      <c r="S90" s="139" t="e">
        <f ca="1">$S$41*F90</f>
        <v>#NAME?</v>
      </c>
      <c r="U90" s="139" t="e">
        <f ca="1">$U$41*F90</f>
        <v>#NAME?</v>
      </c>
    </row>
    <row r="91" spans="1:21" x14ac:dyDescent="0.35">
      <c r="A91" t="s">
        <v>185</v>
      </c>
      <c r="E91" s="153" t="s">
        <v>207</v>
      </c>
      <c r="F91" s="166">
        <f>F90*F46</f>
        <v>0</v>
      </c>
      <c r="I91" s="174" t="s">
        <v>218</v>
      </c>
      <c r="K91" s="174" t="s">
        <v>220</v>
      </c>
      <c r="M91" s="174" t="s">
        <v>221</v>
      </c>
      <c r="O91" s="174" t="s">
        <v>207</v>
      </c>
      <c r="Q91" s="174" t="s">
        <v>219</v>
      </c>
      <c r="S91" s="174" t="s">
        <v>222</v>
      </c>
      <c r="U91" s="174" t="s">
        <v>223</v>
      </c>
    </row>
    <row r="92" spans="1:21" x14ac:dyDescent="0.35">
      <c r="A92" s="42">
        <v>0.5</v>
      </c>
      <c r="I92" s="157" t="e">
        <f t="shared" ref="I92:I97" ca="1" si="36">I$90*(1-$A92)</f>
        <v>#NAME?</v>
      </c>
      <c r="K92" s="158" t="e">
        <f t="shared" ref="K92:K97" ca="1" si="37">K$90*(1-$A92)</f>
        <v>#NAME?</v>
      </c>
      <c r="M92" s="157" t="e">
        <f t="shared" ref="M92:M97" ca="1" si="38">M$90*(1-$A92)</f>
        <v>#NAME?</v>
      </c>
      <c r="O92" s="157" t="e">
        <f t="shared" ref="O92:O97" ca="1" si="39">O$90*(1-$A92)</f>
        <v>#NAME?</v>
      </c>
      <c r="Q92" s="157" t="e">
        <f t="shared" ref="Q92:Q97" ca="1" si="40">Q$90*(1-$A92)</f>
        <v>#NAME?</v>
      </c>
      <c r="S92" s="157" t="e">
        <f t="shared" ref="S92:S97" ca="1" si="41">S$90*(1-$A92)</f>
        <v>#NAME?</v>
      </c>
      <c r="U92" s="157" t="e">
        <f t="shared" ref="U92:U97" ca="1" si="42">U$90*(1-$A92)</f>
        <v>#NAME?</v>
      </c>
    </row>
    <row r="93" spans="1:21" x14ac:dyDescent="0.35">
      <c r="A93" s="42">
        <v>0.9</v>
      </c>
      <c r="I93" s="157" t="e">
        <f t="shared" ca="1" si="36"/>
        <v>#NAME?</v>
      </c>
      <c r="K93" s="158" t="e">
        <f t="shared" ca="1" si="37"/>
        <v>#NAME?</v>
      </c>
      <c r="M93" s="157" t="e">
        <f t="shared" ca="1" si="38"/>
        <v>#NAME?</v>
      </c>
      <c r="O93" s="157" t="e">
        <f t="shared" ca="1" si="39"/>
        <v>#NAME?</v>
      </c>
      <c r="Q93" s="157" t="e">
        <f t="shared" ca="1" si="40"/>
        <v>#NAME?</v>
      </c>
      <c r="S93" s="157" t="e">
        <f t="shared" ca="1" si="41"/>
        <v>#NAME?</v>
      </c>
      <c r="U93" s="157" t="e">
        <f t="shared" ca="1" si="42"/>
        <v>#NAME?</v>
      </c>
    </row>
    <row r="94" spans="1:21" x14ac:dyDescent="0.35">
      <c r="A94" s="42">
        <v>0.95</v>
      </c>
      <c r="I94" s="157" t="e">
        <f t="shared" ca="1" si="36"/>
        <v>#NAME?</v>
      </c>
      <c r="K94" s="158" t="e">
        <f t="shared" ca="1" si="37"/>
        <v>#NAME?</v>
      </c>
      <c r="M94" s="157" t="e">
        <f t="shared" ca="1" si="38"/>
        <v>#NAME?</v>
      </c>
      <c r="O94" s="157" t="e">
        <f t="shared" ca="1" si="39"/>
        <v>#NAME?</v>
      </c>
      <c r="Q94" s="157" t="e">
        <f t="shared" ca="1" si="40"/>
        <v>#NAME?</v>
      </c>
      <c r="S94" s="157" t="e">
        <f t="shared" ca="1" si="41"/>
        <v>#NAME?</v>
      </c>
      <c r="U94" s="157" t="e">
        <f t="shared" ca="1" si="42"/>
        <v>#NAME?</v>
      </c>
    </row>
    <row r="95" spans="1:21" x14ac:dyDescent="0.35">
      <c r="A95" s="140">
        <v>0.98</v>
      </c>
      <c r="B95" s="46"/>
      <c r="C95" s="46"/>
      <c r="D95" s="46"/>
      <c r="E95" s="46"/>
      <c r="F95" s="46"/>
      <c r="G95" s="46"/>
      <c r="H95" s="46"/>
      <c r="I95" s="155" t="e">
        <f t="shared" ca="1" si="36"/>
        <v>#NAME?</v>
      </c>
      <c r="J95" s="46"/>
      <c r="K95" s="163" t="e">
        <f t="shared" ca="1" si="37"/>
        <v>#NAME?</v>
      </c>
      <c r="L95" s="46"/>
      <c r="M95" s="155" t="e">
        <f t="shared" ca="1" si="38"/>
        <v>#NAME?</v>
      </c>
      <c r="N95" s="46"/>
      <c r="O95" s="155" t="e">
        <f t="shared" ca="1" si="39"/>
        <v>#NAME?</v>
      </c>
      <c r="P95" s="46"/>
      <c r="Q95" s="155" t="e">
        <f t="shared" ca="1" si="40"/>
        <v>#NAME?</v>
      </c>
      <c r="R95" s="46"/>
      <c r="S95" s="155" t="e">
        <f t="shared" ca="1" si="41"/>
        <v>#NAME?</v>
      </c>
      <c r="T95" s="46"/>
      <c r="U95" s="155" t="e">
        <f t="shared" ca="1" si="42"/>
        <v>#NAME?</v>
      </c>
    </row>
    <row r="96" spans="1:21" x14ac:dyDescent="0.35">
      <c r="A96" s="42">
        <v>0.99</v>
      </c>
      <c r="I96" s="157" t="e">
        <f t="shared" ca="1" si="36"/>
        <v>#NAME?</v>
      </c>
      <c r="K96" s="158" t="e">
        <f t="shared" ca="1" si="37"/>
        <v>#NAME?</v>
      </c>
      <c r="M96" s="157" t="e">
        <f t="shared" ca="1" si="38"/>
        <v>#NAME?</v>
      </c>
      <c r="O96" s="157" t="e">
        <f t="shared" ca="1" si="39"/>
        <v>#NAME?</v>
      </c>
      <c r="Q96" s="157" t="e">
        <f t="shared" ca="1" si="40"/>
        <v>#NAME?</v>
      </c>
      <c r="S96" s="157" t="e">
        <f t="shared" ca="1" si="41"/>
        <v>#NAME?</v>
      </c>
      <c r="U96" s="157" t="e">
        <f t="shared" ca="1" si="42"/>
        <v>#NAME?</v>
      </c>
    </row>
    <row r="97" spans="1:21" x14ac:dyDescent="0.35">
      <c r="A97" s="154">
        <v>0.997</v>
      </c>
      <c r="I97" s="155" t="e">
        <f t="shared" ca="1" si="36"/>
        <v>#NAME?</v>
      </c>
      <c r="J97" s="46"/>
      <c r="K97" s="163" t="e">
        <f t="shared" ca="1" si="37"/>
        <v>#NAME?</v>
      </c>
      <c r="L97" s="46"/>
      <c r="M97" s="85" t="e">
        <f t="shared" ca="1" si="38"/>
        <v>#NAME?</v>
      </c>
      <c r="N97" s="46"/>
      <c r="O97" s="85" t="e">
        <f t="shared" ca="1" si="39"/>
        <v>#NAME?</v>
      </c>
      <c r="P97" s="46"/>
      <c r="Q97" s="85" t="e">
        <f t="shared" ca="1" si="40"/>
        <v>#NAME?</v>
      </c>
      <c r="R97" s="46"/>
      <c r="S97" s="85" t="e">
        <f t="shared" ca="1" si="41"/>
        <v>#NAME?</v>
      </c>
      <c r="T97" s="46"/>
      <c r="U97" s="85" t="e">
        <f t="shared" ca="1" si="42"/>
        <v>#NAME?</v>
      </c>
    </row>
  </sheetData>
  <printOptions gridLines="1"/>
  <pageMargins left="0.70866141732283472" right="0.70866141732283472" top="0.74803149606299213" bottom="0.74803149606299213" header="0.31496062992125984" footer="0.31496062992125984"/>
  <pageSetup paperSize="9" scale="66" orientation="landscape" horizontalDpi="4294967293" verticalDpi="1200"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82FB5-9009-45DF-9B7C-C9820E1AEAD2}">
  <dimension ref="A1:M132"/>
  <sheetViews>
    <sheetView workbookViewId="0">
      <selection activeCell="M1" sqref="M1:M1048576"/>
    </sheetView>
  </sheetViews>
  <sheetFormatPr defaultRowHeight="14.5" x14ac:dyDescent="0.35"/>
  <cols>
    <col min="3" max="4" width="0" hidden="1" customWidth="1"/>
    <col min="6" max="6" width="0" hidden="1" customWidth="1"/>
    <col min="10" max="11" width="0" hidden="1" customWidth="1"/>
    <col min="13" max="13" width="0" hidden="1" customWidth="1"/>
  </cols>
  <sheetData>
    <row r="1" spans="1:13" x14ac:dyDescent="0.35">
      <c r="A1" s="308" t="s">
        <v>289</v>
      </c>
      <c r="B1" s="309" t="s">
        <v>77</v>
      </c>
      <c r="C1" s="311"/>
      <c r="D1" s="311"/>
      <c r="E1" s="311"/>
      <c r="F1" s="312"/>
      <c r="H1" s="308" t="s">
        <v>289</v>
      </c>
      <c r="I1" s="309" t="s">
        <v>77</v>
      </c>
      <c r="J1" s="311"/>
      <c r="K1" s="311"/>
      <c r="L1" s="311"/>
      <c r="M1" s="312"/>
    </row>
    <row r="2" spans="1:13" x14ac:dyDescent="0.35">
      <c r="A2" s="305" t="s">
        <v>290</v>
      </c>
      <c r="B2" t="s">
        <v>202</v>
      </c>
      <c r="C2" s="313"/>
      <c r="D2" s="313"/>
      <c r="E2" s="313"/>
      <c r="F2" s="314"/>
      <c r="H2" s="305" t="s">
        <v>290</v>
      </c>
      <c r="I2" t="s">
        <v>201</v>
      </c>
      <c r="J2" s="313"/>
      <c r="K2" s="313"/>
      <c r="L2" s="313"/>
      <c r="M2" s="314"/>
    </row>
    <row r="3" spans="1:13" x14ac:dyDescent="0.35">
      <c r="A3" s="305" t="s">
        <v>291</v>
      </c>
      <c r="C3" s="313">
        <v>1</v>
      </c>
      <c r="D3" s="313">
        <v>1</v>
      </c>
      <c r="E3" s="313">
        <v>1</v>
      </c>
      <c r="F3" s="314">
        <v>1</v>
      </c>
      <c r="H3" s="305" t="s">
        <v>291</v>
      </c>
      <c r="J3" s="313">
        <f>C3</f>
        <v>1</v>
      </c>
      <c r="K3" s="313">
        <f>D3</f>
        <v>1</v>
      </c>
      <c r="L3" s="313">
        <f>E3</f>
        <v>1</v>
      </c>
      <c r="M3" s="314">
        <f>F3</f>
        <v>1</v>
      </c>
    </row>
    <row r="4" spans="1:13" x14ac:dyDescent="0.35">
      <c r="A4" s="305" t="s">
        <v>292</v>
      </c>
      <c r="C4" s="313">
        <f>Devices!C32*C3</f>
        <v>0</v>
      </c>
      <c r="D4" s="313">
        <f>Devices!D32*D3</f>
        <v>0</v>
      </c>
      <c r="E4" s="313">
        <f>Devices!E32*E3</f>
        <v>1.5</v>
      </c>
      <c r="F4" s="314">
        <f>Devices!F32*F3</f>
        <v>0</v>
      </c>
      <c r="H4" s="305" t="s">
        <v>292</v>
      </c>
      <c r="J4" s="313">
        <f>Devices!C32*C3</f>
        <v>0</v>
      </c>
      <c r="K4" s="313">
        <f>Devices!D32*D3</f>
        <v>0</v>
      </c>
      <c r="L4" s="313">
        <f>Devices!E32*E3</f>
        <v>1.5</v>
      </c>
      <c r="M4" s="314">
        <f>Devices!F32*F3</f>
        <v>0</v>
      </c>
    </row>
    <row r="5" spans="1:13" x14ac:dyDescent="0.35">
      <c r="A5" s="305" t="s">
        <v>293</v>
      </c>
      <c r="C5" s="313">
        <f>Devices!C1</f>
        <v>1</v>
      </c>
      <c r="D5" s="313">
        <f>Devices!D1</f>
        <v>2</v>
      </c>
      <c r="E5" s="313">
        <f>Devices!E1</f>
        <v>3</v>
      </c>
      <c r="F5" s="314">
        <f>Devices!F1</f>
        <v>4</v>
      </c>
      <c r="H5" s="305" t="s">
        <v>293</v>
      </c>
      <c r="J5" s="313">
        <f>Devices!C1</f>
        <v>1</v>
      </c>
      <c r="K5" s="313">
        <f>Devices!D1</f>
        <v>2</v>
      </c>
      <c r="L5" s="313">
        <f>Devices!E1</f>
        <v>3</v>
      </c>
      <c r="M5" s="314">
        <f>Devices!F1</f>
        <v>4</v>
      </c>
    </row>
    <row r="6" spans="1:13" x14ac:dyDescent="0.35">
      <c r="A6" s="305" t="s">
        <v>294</v>
      </c>
      <c r="C6" s="313"/>
      <c r="D6" s="313"/>
      <c r="E6" s="313"/>
      <c r="F6" s="314"/>
      <c r="H6" s="305" t="s">
        <v>294</v>
      </c>
      <c r="J6" s="313"/>
      <c r="K6" s="313"/>
      <c r="L6" s="313"/>
      <c r="M6" s="314"/>
    </row>
    <row r="7" spans="1:13" ht="29" x14ac:dyDescent="0.35">
      <c r="A7" s="305" t="s">
        <v>295</v>
      </c>
      <c r="C7" s="313">
        <f>Devices!C2</f>
        <v>0</v>
      </c>
      <c r="D7" s="313">
        <f>Devices!D2</f>
        <v>0</v>
      </c>
      <c r="E7" s="313" t="str">
        <f>Devices!E2</f>
        <v>Magallanes</v>
      </c>
      <c r="F7" s="314">
        <f>Devices!F2</f>
        <v>0</v>
      </c>
      <c r="H7" s="305" t="s">
        <v>295</v>
      </c>
      <c r="J7" s="313">
        <f>Devices!C2</f>
        <v>0</v>
      </c>
      <c r="K7" s="313">
        <f>Devices!D2</f>
        <v>0</v>
      </c>
      <c r="L7" s="313" t="str">
        <f>Devices!E2</f>
        <v>Magallanes</v>
      </c>
      <c r="M7" s="314">
        <f>Devices!F2</f>
        <v>0</v>
      </c>
    </row>
    <row r="8" spans="1:13" x14ac:dyDescent="0.35">
      <c r="A8" s="306">
        <v>0</v>
      </c>
      <c r="C8" s="315" t="e">
        <f ca="1">ERM_1!I45*C3</f>
        <v>#DIV/0!</v>
      </c>
      <c r="D8" s="315" t="e">
        <f ca="1">ERM_2!I45*D3</f>
        <v>#DIV/0!</v>
      </c>
      <c r="E8" s="315">
        <f>ERM_3!I45*E3</f>
        <v>137.2649132694138</v>
      </c>
      <c r="F8" s="316" t="e">
        <f ca="1">ERM_4!I45*F3</f>
        <v>#DIV/0!</v>
      </c>
      <c r="H8" s="306">
        <v>0</v>
      </c>
      <c r="J8" s="315" t="e">
        <f ca="1">CRM_1!I45*J3</f>
        <v>#NAME?</v>
      </c>
      <c r="K8" s="315" t="e">
        <f ca="1">CRM_2!I45*K3</f>
        <v>#NAME?</v>
      </c>
      <c r="L8" s="315">
        <f>CRM_3!I45*L3</f>
        <v>118.93109501764738</v>
      </c>
      <c r="M8" s="316" t="e">
        <f ca="1">CRM_4!I45*M3</f>
        <v>#NAME?</v>
      </c>
    </row>
    <row r="9" spans="1:13" x14ac:dyDescent="0.35">
      <c r="A9" s="306">
        <v>0.5</v>
      </c>
      <c r="C9" s="315" t="e">
        <f t="shared" ref="C9:C18" ca="1" si="0">C$8*(1-A9)</f>
        <v>#DIV/0!</v>
      </c>
      <c r="D9" s="315" t="e">
        <f t="shared" ref="D9:D18" ca="1" si="1">D$8*(1-A9)</f>
        <v>#DIV/0!</v>
      </c>
      <c r="E9" s="315">
        <f t="shared" ref="E9:E18" si="2">E$8*(1-A9)</f>
        <v>68.632456634706898</v>
      </c>
      <c r="F9" s="316" t="e">
        <f t="shared" ref="F9:F18" ca="1" si="3">F$8*(1-A9)</f>
        <v>#DIV/0!</v>
      </c>
      <c r="H9" s="306">
        <v>0.5</v>
      </c>
      <c r="J9" s="315" t="e">
        <f t="shared" ref="J9:J18" ca="1" si="4">J$8*(1-H9)</f>
        <v>#NAME?</v>
      </c>
      <c r="K9" s="315" t="e">
        <f t="shared" ref="K9:K18" ca="1" si="5">K$8*(1-H9)</f>
        <v>#NAME?</v>
      </c>
      <c r="L9" s="315">
        <f t="shared" ref="L9:L18" si="6">L$8*(1-H9)</f>
        <v>59.46554750882369</v>
      </c>
      <c r="M9" s="316" t="e">
        <f t="shared" ref="M9:M18" ca="1" si="7">M$8*(1-H9)</f>
        <v>#NAME?</v>
      </c>
    </row>
    <row r="10" spans="1:13" x14ac:dyDescent="0.35">
      <c r="A10" s="306">
        <v>0.9</v>
      </c>
      <c r="C10" s="315" t="e">
        <f t="shared" ca="1" si="0"/>
        <v>#DIV/0!</v>
      </c>
      <c r="D10" s="315" t="e">
        <f t="shared" ca="1" si="1"/>
        <v>#DIV/0!</v>
      </c>
      <c r="E10" s="315">
        <f t="shared" si="2"/>
        <v>13.726491326941376</v>
      </c>
      <c r="F10" s="316" t="e">
        <f t="shared" ca="1" si="3"/>
        <v>#DIV/0!</v>
      </c>
      <c r="H10" s="306">
        <v>0.9</v>
      </c>
      <c r="J10" s="315" t="e">
        <f t="shared" ca="1" si="4"/>
        <v>#NAME?</v>
      </c>
      <c r="K10" s="315" t="e">
        <f t="shared" ca="1" si="5"/>
        <v>#NAME?</v>
      </c>
      <c r="L10" s="315">
        <f t="shared" si="6"/>
        <v>11.893109501764735</v>
      </c>
      <c r="M10" s="316" t="e">
        <f t="shared" ca="1" si="7"/>
        <v>#NAME?</v>
      </c>
    </row>
    <row r="11" spans="1:13" x14ac:dyDescent="0.35">
      <c r="A11" s="306">
        <v>0.95</v>
      </c>
      <c r="C11" s="315" t="e">
        <f t="shared" ca="1" si="0"/>
        <v>#DIV/0!</v>
      </c>
      <c r="D11" s="315" t="e">
        <f t="shared" ca="1" si="1"/>
        <v>#DIV/0!</v>
      </c>
      <c r="E11" s="315">
        <f t="shared" si="2"/>
        <v>6.8632456634706962</v>
      </c>
      <c r="F11" s="316" t="e">
        <f t="shared" ca="1" si="3"/>
        <v>#DIV/0!</v>
      </c>
      <c r="H11" s="306">
        <v>0.95</v>
      </c>
      <c r="J11" s="315" t="e">
        <f t="shared" ca="1" si="4"/>
        <v>#NAME?</v>
      </c>
      <c r="K11" s="315" t="e">
        <f t="shared" ca="1" si="5"/>
        <v>#NAME?</v>
      </c>
      <c r="L11" s="315">
        <f t="shared" si="6"/>
        <v>5.946554750882374</v>
      </c>
      <c r="M11" s="316" t="e">
        <f t="shared" ca="1" si="7"/>
        <v>#NAME?</v>
      </c>
    </row>
    <row r="12" spans="1:13" x14ac:dyDescent="0.35">
      <c r="A12" s="306">
        <v>0.98</v>
      </c>
      <c r="C12" s="315" t="e">
        <f t="shared" ca="1" si="0"/>
        <v>#DIV/0!</v>
      </c>
      <c r="D12" s="315" t="e">
        <f t="shared" ca="1" si="1"/>
        <v>#DIV/0!</v>
      </c>
      <c r="E12" s="315">
        <f t="shared" si="2"/>
        <v>2.7452982653882785</v>
      </c>
      <c r="F12" s="316" t="e">
        <f t="shared" ca="1" si="3"/>
        <v>#DIV/0!</v>
      </c>
      <c r="H12" s="306">
        <v>0.98</v>
      </c>
      <c r="J12" s="315" t="e">
        <f t="shared" ca="1" si="4"/>
        <v>#NAME?</v>
      </c>
      <c r="K12" s="315" t="e">
        <f t="shared" ca="1" si="5"/>
        <v>#NAME?</v>
      </c>
      <c r="L12" s="315">
        <f t="shared" si="6"/>
        <v>2.3786219003529498</v>
      </c>
      <c r="M12" s="316" t="e">
        <f t="shared" ca="1" si="7"/>
        <v>#NAME?</v>
      </c>
    </row>
    <row r="13" spans="1:13" x14ac:dyDescent="0.35">
      <c r="A13" s="307">
        <v>0.98199999999999998</v>
      </c>
      <c r="C13" s="315" t="e">
        <f t="shared" ca="1" si="0"/>
        <v>#DIV/0!</v>
      </c>
      <c r="D13" s="315" t="e">
        <f t="shared" ca="1" si="1"/>
        <v>#DIV/0!</v>
      </c>
      <c r="E13" s="315">
        <f t="shared" si="2"/>
        <v>2.4707684388494506</v>
      </c>
      <c r="F13" s="316" t="e">
        <f t="shared" ca="1" si="3"/>
        <v>#DIV/0!</v>
      </c>
      <c r="H13" s="307">
        <v>0.98199999999999998</v>
      </c>
      <c r="J13" s="315" t="e">
        <f t="shared" ca="1" si="4"/>
        <v>#NAME?</v>
      </c>
      <c r="K13" s="315" t="e">
        <f t="shared" ca="1" si="5"/>
        <v>#NAME?</v>
      </c>
      <c r="L13" s="315">
        <f t="shared" si="6"/>
        <v>2.1407597103176546</v>
      </c>
      <c r="M13" s="316" t="e">
        <f t="shared" ca="1" si="7"/>
        <v>#NAME?</v>
      </c>
    </row>
    <row r="14" spans="1:13" x14ac:dyDescent="0.35">
      <c r="A14" s="307">
        <v>0.98499999999999999</v>
      </c>
      <c r="C14" s="315" t="e">
        <f t="shared" ca="1" si="0"/>
        <v>#DIV/0!</v>
      </c>
      <c r="D14" s="315" t="e">
        <f t="shared" ca="1" si="1"/>
        <v>#DIV/0!</v>
      </c>
      <c r="E14" s="315">
        <f t="shared" si="2"/>
        <v>2.0589736990412089</v>
      </c>
      <c r="F14" s="316" t="e">
        <f t="shared" ca="1" si="3"/>
        <v>#DIV/0!</v>
      </c>
      <c r="H14" s="307">
        <v>0.98499999999999999</v>
      </c>
      <c r="J14" s="315" t="e">
        <f t="shared" ca="1" si="4"/>
        <v>#NAME?</v>
      </c>
      <c r="K14" s="315" t="e">
        <f t="shared" ca="1" si="5"/>
        <v>#NAME?</v>
      </c>
      <c r="L14" s="315">
        <f t="shared" si="6"/>
        <v>1.7839664252647123</v>
      </c>
      <c r="M14" s="316" t="e">
        <f t="shared" ca="1" si="7"/>
        <v>#NAME?</v>
      </c>
    </row>
    <row r="15" spans="1:13" x14ac:dyDescent="0.35">
      <c r="A15" s="307">
        <v>0.98699999999999999</v>
      </c>
      <c r="C15" s="315" t="e">
        <f t="shared" ca="1" si="0"/>
        <v>#DIV/0!</v>
      </c>
      <c r="D15" s="315" t="e">
        <f t="shared" ca="1" si="1"/>
        <v>#DIV/0!</v>
      </c>
      <c r="E15" s="315">
        <f t="shared" si="2"/>
        <v>1.784443872502381</v>
      </c>
      <c r="F15" s="316" t="e">
        <f t="shared" ca="1" si="3"/>
        <v>#DIV/0!</v>
      </c>
      <c r="H15" s="307">
        <v>0.98699999999999999</v>
      </c>
      <c r="J15" s="315" t="e">
        <f t="shared" ca="1" si="4"/>
        <v>#NAME?</v>
      </c>
      <c r="K15" s="315" t="e">
        <f t="shared" ca="1" si="5"/>
        <v>#NAME?</v>
      </c>
      <c r="L15" s="315">
        <f t="shared" si="6"/>
        <v>1.5461042352294172</v>
      </c>
      <c r="M15" s="316" t="e">
        <f t="shared" ca="1" si="7"/>
        <v>#NAME?</v>
      </c>
    </row>
    <row r="16" spans="1:13" x14ac:dyDescent="0.35">
      <c r="A16" s="306">
        <v>0.99</v>
      </c>
      <c r="C16" s="315" t="e">
        <f t="shared" ca="1" si="0"/>
        <v>#DIV/0!</v>
      </c>
      <c r="D16" s="315" t="e">
        <f t="shared" ca="1" si="1"/>
        <v>#DIV/0!</v>
      </c>
      <c r="E16" s="315">
        <f t="shared" si="2"/>
        <v>1.3726491326941392</v>
      </c>
      <c r="F16" s="316" t="e">
        <f t="shared" ca="1" si="3"/>
        <v>#DIV/0!</v>
      </c>
      <c r="H16" s="306">
        <v>0.99</v>
      </c>
      <c r="J16" s="315" t="e">
        <f t="shared" ca="1" si="4"/>
        <v>#NAME?</v>
      </c>
      <c r="K16" s="315" t="e">
        <f t="shared" ca="1" si="5"/>
        <v>#NAME?</v>
      </c>
      <c r="L16" s="315">
        <f t="shared" si="6"/>
        <v>1.1893109501764749</v>
      </c>
      <c r="M16" s="316" t="e">
        <f t="shared" ca="1" si="7"/>
        <v>#NAME?</v>
      </c>
    </row>
    <row r="17" spans="1:13" x14ac:dyDescent="0.35">
      <c r="A17" s="307">
        <v>0.99299999999999999</v>
      </c>
      <c r="C17" s="315" t="e">
        <f t="shared" ca="1" si="0"/>
        <v>#DIV/0!</v>
      </c>
      <c r="D17" s="315" t="e">
        <f t="shared" ca="1" si="1"/>
        <v>#DIV/0!</v>
      </c>
      <c r="E17" s="315">
        <f t="shared" si="2"/>
        <v>0.96085439288589747</v>
      </c>
      <c r="F17" s="316" t="e">
        <f t="shared" ca="1" si="3"/>
        <v>#DIV/0!</v>
      </c>
      <c r="H17" s="307">
        <v>0.99299999999999999</v>
      </c>
      <c r="J17" s="315" t="e">
        <f t="shared" ca="1" si="4"/>
        <v>#NAME?</v>
      </c>
      <c r="K17" s="315" t="e">
        <f t="shared" ca="1" si="5"/>
        <v>#NAME?</v>
      </c>
      <c r="L17" s="315">
        <f t="shared" si="6"/>
        <v>0.83251766512353242</v>
      </c>
      <c r="M17" s="316" t="e">
        <f t="shared" ca="1" si="7"/>
        <v>#NAME?</v>
      </c>
    </row>
    <row r="18" spans="1:13" ht="15" thickBot="1" x14ac:dyDescent="0.4">
      <c r="A18" s="310">
        <v>0.997</v>
      </c>
      <c r="B18" s="298"/>
      <c r="C18" s="317" t="e">
        <f t="shared" ca="1" si="0"/>
        <v>#DIV/0!</v>
      </c>
      <c r="D18" s="317" t="e">
        <f t="shared" ca="1" si="1"/>
        <v>#DIV/0!</v>
      </c>
      <c r="E18" s="317">
        <f t="shared" si="2"/>
        <v>0.41179473980824177</v>
      </c>
      <c r="F18" s="318" t="e">
        <f t="shared" ca="1" si="3"/>
        <v>#DIV/0!</v>
      </c>
      <c r="H18" s="310">
        <v>0.997</v>
      </c>
      <c r="I18" s="298"/>
      <c r="J18" s="317" t="e">
        <f t="shared" ca="1" si="4"/>
        <v>#NAME?</v>
      </c>
      <c r="K18" s="317" t="e">
        <f t="shared" ca="1" si="5"/>
        <v>#NAME?</v>
      </c>
      <c r="L18" s="317">
        <f t="shared" si="6"/>
        <v>0.35679328505294244</v>
      </c>
      <c r="M18" s="318" t="e">
        <f t="shared" ca="1" si="7"/>
        <v>#NAME?</v>
      </c>
    </row>
    <row r="19" spans="1:13" ht="15" thickBot="1" x14ac:dyDescent="0.4"/>
    <row r="20" spans="1:13" x14ac:dyDescent="0.35">
      <c r="A20" s="308" t="s">
        <v>289</v>
      </c>
      <c r="B20" s="309" t="s">
        <v>143</v>
      </c>
      <c r="C20" s="311"/>
      <c r="D20" s="311"/>
      <c r="E20" s="311"/>
      <c r="F20" s="312"/>
      <c r="H20" s="308" t="s">
        <v>289</v>
      </c>
      <c r="I20" s="309" t="s">
        <v>143</v>
      </c>
      <c r="J20" s="311"/>
      <c r="K20" s="311"/>
      <c r="L20" s="311"/>
      <c r="M20" s="312"/>
    </row>
    <row r="21" spans="1:13" x14ac:dyDescent="0.35">
      <c r="A21" s="305" t="s">
        <v>290</v>
      </c>
      <c r="B21" t="s">
        <v>202</v>
      </c>
      <c r="C21" s="313"/>
      <c r="D21" s="313"/>
      <c r="E21" s="313"/>
      <c r="F21" s="314"/>
      <c r="H21" s="305" t="s">
        <v>290</v>
      </c>
      <c r="I21" t="s">
        <v>201</v>
      </c>
      <c r="J21" s="313"/>
      <c r="K21" s="313"/>
      <c r="L21" s="313"/>
      <c r="M21" s="314"/>
    </row>
    <row r="22" spans="1:13" x14ac:dyDescent="0.35">
      <c r="A22" s="305" t="s">
        <v>291</v>
      </c>
      <c r="C22" s="313">
        <f>C3</f>
        <v>1</v>
      </c>
      <c r="D22" s="313">
        <f>D3</f>
        <v>1</v>
      </c>
      <c r="E22" s="313">
        <f>E3</f>
        <v>1</v>
      </c>
      <c r="F22" s="314">
        <f>F3</f>
        <v>1</v>
      </c>
      <c r="H22" s="305" t="s">
        <v>291</v>
      </c>
      <c r="J22" s="313">
        <f>C3</f>
        <v>1</v>
      </c>
      <c r="K22" s="313">
        <f>D3</f>
        <v>1</v>
      </c>
      <c r="L22" s="313">
        <f>E3</f>
        <v>1</v>
      </c>
      <c r="M22" s="314">
        <f>F3</f>
        <v>1</v>
      </c>
    </row>
    <row r="23" spans="1:13" x14ac:dyDescent="0.35">
      <c r="A23" s="305" t="s">
        <v>292</v>
      </c>
      <c r="C23" s="313">
        <f>Devices!C32*C3</f>
        <v>0</v>
      </c>
      <c r="D23" s="313">
        <f>Devices!D32*D3</f>
        <v>0</v>
      </c>
      <c r="E23" s="313">
        <f>Devices!E32*E3</f>
        <v>1.5</v>
      </c>
      <c r="F23" s="314">
        <f>Devices!F32*F3</f>
        <v>0</v>
      </c>
      <c r="H23" s="305" t="s">
        <v>292</v>
      </c>
      <c r="J23" s="313">
        <f>Devices!C32*C3</f>
        <v>0</v>
      </c>
      <c r="K23" s="313">
        <f>Devices!D32*D3</f>
        <v>0</v>
      </c>
      <c r="L23" s="313">
        <f>Devices!E32*E3</f>
        <v>1.5</v>
      </c>
      <c r="M23" s="314">
        <f>Devices!F32*F3</f>
        <v>0</v>
      </c>
    </row>
    <row r="24" spans="1:13" x14ac:dyDescent="0.35">
      <c r="A24" s="305" t="s">
        <v>293</v>
      </c>
      <c r="C24" s="313">
        <f>Devices!C1</f>
        <v>1</v>
      </c>
      <c r="D24" s="313">
        <f>Devices!D1</f>
        <v>2</v>
      </c>
      <c r="E24" s="313">
        <f>Devices!E1</f>
        <v>3</v>
      </c>
      <c r="F24" s="314">
        <f>Devices!F1</f>
        <v>4</v>
      </c>
      <c r="H24" s="305" t="s">
        <v>293</v>
      </c>
      <c r="J24" s="313">
        <f>Devices!C1</f>
        <v>1</v>
      </c>
      <c r="K24" s="313">
        <f>Devices!D1</f>
        <v>2</v>
      </c>
      <c r="L24" s="313">
        <f>Devices!E1</f>
        <v>3</v>
      </c>
      <c r="M24" s="314">
        <f>Devices!F1</f>
        <v>4</v>
      </c>
    </row>
    <row r="25" spans="1:13" x14ac:dyDescent="0.35">
      <c r="A25" s="305" t="s">
        <v>294</v>
      </c>
      <c r="C25" s="313"/>
      <c r="D25" s="313"/>
      <c r="E25" s="313"/>
      <c r="F25" s="314"/>
      <c r="H25" s="305" t="s">
        <v>294</v>
      </c>
      <c r="J25" s="313"/>
      <c r="K25" s="313"/>
      <c r="L25" s="313"/>
      <c r="M25" s="314"/>
    </row>
    <row r="26" spans="1:13" ht="29" x14ac:dyDescent="0.35">
      <c r="A26" s="305" t="s">
        <v>295</v>
      </c>
      <c r="C26" s="313">
        <f>Devices!C2</f>
        <v>0</v>
      </c>
      <c r="D26" s="313">
        <f>Devices!D2</f>
        <v>0</v>
      </c>
      <c r="E26" s="313" t="str">
        <f>Devices!E2</f>
        <v>Magallanes</v>
      </c>
      <c r="F26" s="314">
        <f>Devices!F2</f>
        <v>0</v>
      </c>
      <c r="H26" s="305" t="s">
        <v>295</v>
      </c>
      <c r="J26" s="313">
        <f>Devices!C2</f>
        <v>0</v>
      </c>
      <c r="K26" s="313">
        <f>Devices!D2</f>
        <v>0</v>
      </c>
      <c r="L26" s="313" t="str">
        <f>Devices!E2</f>
        <v>Magallanes</v>
      </c>
      <c r="M26" s="314">
        <f>Devices!F2</f>
        <v>0</v>
      </c>
    </row>
    <row r="27" spans="1:13" x14ac:dyDescent="0.35">
      <c r="A27" s="306">
        <v>0</v>
      </c>
      <c r="C27" s="315" t="e">
        <f ca="1">ERM_1!K45*C22</f>
        <v>#DIV/0!</v>
      </c>
      <c r="D27" s="315" t="e">
        <f ca="1">ERM_2!K45*D22</f>
        <v>#DIV/0!</v>
      </c>
      <c r="E27" s="315">
        <f>ERM_3!K45*E22</f>
        <v>0.14536826164755207</v>
      </c>
      <c r="F27" s="316" t="e">
        <f ca="1">ERM_4!K45*F22</f>
        <v>#DIV/0!</v>
      </c>
      <c r="H27" s="306">
        <v>0</v>
      </c>
      <c r="J27" s="315" t="e">
        <f ca="1">CRM_1!K45*J22</f>
        <v>#NAME?</v>
      </c>
      <c r="K27" s="315" t="e">
        <f ca="1">CRM_2!K45*K22</f>
        <v>#NAME?</v>
      </c>
      <c r="L27" s="315">
        <f>CRM_3!K45*L22</f>
        <v>0.13533597558460359</v>
      </c>
      <c r="M27" s="316" t="e">
        <f ca="1">CRM_4!K45*M22</f>
        <v>#NAME?</v>
      </c>
    </row>
    <row r="28" spans="1:13" x14ac:dyDescent="0.35">
      <c r="A28" s="306">
        <v>0.5</v>
      </c>
      <c r="C28" s="315" t="e">
        <f t="shared" ref="C28:C37" ca="1" si="8">C$27*(1-A28)</f>
        <v>#DIV/0!</v>
      </c>
      <c r="D28" s="315" t="e">
        <f t="shared" ref="D28:D37" ca="1" si="9">D$27*(1-A28)</f>
        <v>#DIV/0!</v>
      </c>
      <c r="E28" s="315">
        <f t="shared" ref="E28:E37" si="10">E$27*(1-A28)</f>
        <v>7.2684130823776033E-2</v>
      </c>
      <c r="F28" s="316" t="e">
        <f t="shared" ref="F28:F37" ca="1" si="11">F$27*(1-A28)</f>
        <v>#DIV/0!</v>
      </c>
      <c r="H28" s="306">
        <v>0.5</v>
      </c>
      <c r="J28" s="315" t="e">
        <f t="shared" ref="J28:J37" ca="1" si="12">J$27*(1-H28)</f>
        <v>#NAME?</v>
      </c>
      <c r="K28" s="315" t="e">
        <f t="shared" ref="K28:K37" ca="1" si="13">K$27*(1-H28)</f>
        <v>#NAME?</v>
      </c>
      <c r="L28" s="315">
        <f t="shared" ref="L28:L37" si="14">L$27*(1-H28)</f>
        <v>6.7667987792301793E-2</v>
      </c>
      <c r="M28" s="316" t="e">
        <f t="shared" ref="M28:M37" ca="1" si="15">M$27*(1-H28)</f>
        <v>#NAME?</v>
      </c>
    </row>
    <row r="29" spans="1:13" x14ac:dyDescent="0.35">
      <c r="A29" s="306">
        <v>0.9</v>
      </c>
      <c r="C29" s="315" t="e">
        <f t="shared" ca="1" si="8"/>
        <v>#DIV/0!</v>
      </c>
      <c r="D29" s="315" t="e">
        <f t="shared" ca="1" si="9"/>
        <v>#DIV/0!</v>
      </c>
      <c r="E29" s="315">
        <f t="shared" si="10"/>
        <v>1.4536826164755203E-2</v>
      </c>
      <c r="F29" s="316" t="e">
        <f t="shared" ca="1" si="11"/>
        <v>#DIV/0!</v>
      </c>
      <c r="H29" s="306">
        <v>0.9</v>
      </c>
      <c r="J29" s="315" t="e">
        <f t="shared" ca="1" si="12"/>
        <v>#NAME?</v>
      </c>
      <c r="K29" s="315" t="e">
        <f t="shared" ca="1" si="13"/>
        <v>#NAME?</v>
      </c>
      <c r="L29" s="315">
        <f t="shared" si="14"/>
        <v>1.3533597558460356E-2</v>
      </c>
      <c r="M29" s="316" t="e">
        <f t="shared" ca="1" si="15"/>
        <v>#NAME?</v>
      </c>
    </row>
    <row r="30" spans="1:13" x14ac:dyDescent="0.35">
      <c r="A30" s="306">
        <v>0.95</v>
      </c>
      <c r="C30" s="315" t="e">
        <f t="shared" ca="1" si="8"/>
        <v>#DIV/0!</v>
      </c>
      <c r="D30" s="315" t="e">
        <f t="shared" ca="1" si="9"/>
        <v>#DIV/0!</v>
      </c>
      <c r="E30" s="315">
        <f t="shared" si="10"/>
        <v>7.2684130823776096E-3</v>
      </c>
      <c r="F30" s="316" t="e">
        <f t="shared" ca="1" si="11"/>
        <v>#DIV/0!</v>
      </c>
      <c r="H30" s="306">
        <v>0.95</v>
      </c>
      <c r="J30" s="315" t="e">
        <f t="shared" ca="1" si="12"/>
        <v>#NAME?</v>
      </c>
      <c r="K30" s="315" t="e">
        <f t="shared" ca="1" si="13"/>
        <v>#NAME?</v>
      </c>
      <c r="L30" s="315">
        <f t="shared" si="14"/>
        <v>6.7667987792301857E-3</v>
      </c>
      <c r="M30" s="316" t="e">
        <f t="shared" ca="1" si="15"/>
        <v>#NAME?</v>
      </c>
    </row>
    <row r="31" spans="1:13" x14ac:dyDescent="0.35">
      <c r="A31" s="306">
        <v>0.98</v>
      </c>
      <c r="C31" s="315" t="e">
        <f t="shared" ca="1" si="8"/>
        <v>#DIV/0!</v>
      </c>
      <c r="D31" s="315" t="e">
        <f t="shared" ca="1" si="9"/>
        <v>#DIV/0!</v>
      </c>
      <c r="E31" s="315">
        <f t="shared" si="10"/>
        <v>2.9073652329510437E-3</v>
      </c>
      <c r="F31" s="316" t="e">
        <f t="shared" ca="1" si="11"/>
        <v>#DIV/0!</v>
      </c>
      <c r="H31" s="306">
        <v>0.98</v>
      </c>
      <c r="J31" s="315" t="e">
        <f t="shared" ca="1" si="12"/>
        <v>#NAME?</v>
      </c>
      <c r="K31" s="315" t="e">
        <f t="shared" ca="1" si="13"/>
        <v>#NAME?</v>
      </c>
      <c r="L31" s="315">
        <f t="shared" si="14"/>
        <v>2.7067195116920739E-3</v>
      </c>
      <c r="M31" s="316" t="e">
        <f t="shared" ca="1" si="15"/>
        <v>#NAME?</v>
      </c>
    </row>
    <row r="32" spans="1:13" x14ac:dyDescent="0.35">
      <c r="A32" s="307">
        <v>0.98199999999999998</v>
      </c>
      <c r="C32" s="315" t="e">
        <f t="shared" ca="1" si="8"/>
        <v>#DIV/0!</v>
      </c>
      <c r="D32" s="315" t="e">
        <f t="shared" ca="1" si="9"/>
        <v>#DIV/0!</v>
      </c>
      <c r="E32" s="315">
        <f t="shared" si="10"/>
        <v>2.6166287096559397E-3</v>
      </c>
      <c r="F32" s="316" t="e">
        <f t="shared" ca="1" si="11"/>
        <v>#DIV/0!</v>
      </c>
      <c r="H32" s="307">
        <v>0.98199999999999998</v>
      </c>
      <c r="J32" s="315" t="e">
        <f t="shared" ca="1" si="12"/>
        <v>#NAME?</v>
      </c>
      <c r="K32" s="315" t="e">
        <f t="shared" ca="1" si="13"/>
        <v>#NAME?</v>
      </c>
      <c r="L32" s="315">
        <f t="shared" si="14"/>
        <v>2.4360475605228666E-3</v>
      </c>
      <c r="M32" s="316" t="e">
        <f t="shared" ca="1" si="15"/>
        <v>#NAME?</v>
      </c>
    </row>
    <row r="33" spans="1:13" x14ac:dyDescent="0.35">
      <c r="A33" s="307">
        <v>0.98499999999999999</v>
      </c>
      <c r="C33" s="315" t="e">
        <f t="shared" ca="1" si="8"/>
        <v>#DIV/0!</v>
      </c>
      <c r="D33" s="315" t="e">
        <f t="shared" ca="1" si="9"/>
        <v>#DIV/0!</v>
      </c>
      <c r="E33" s="315">
        <f t="shared" si="10"/>
        <v>2.1805239247132831E-3</v>
      </c>
      <c r="F33" s="316" t="e">
        <f t="shared" ca="1" si="11"/>
        <v>#DIV/0!</v>
      </c>
      <c r="H33" s="307">
        <v>0.98499999999999999</v>
      </c>
      <c r="J33" s="315" t="e">
        <f t="shared" ca="1" si="12"/>
        <v>#NAME?</v>
      </c>
      <c r="K33" s="315" t="e">
        <f t="shared" ca="1" si="13"/>
        <v>#NAME?</v>
      </c>
      <c r="L33" s="315">
        <f t="shared" si="14"/>
        <v>2.0300396337690554E-3</v>
      </c>
      <c r="M33" s="316" t="e">
        <f t="shared" ca="1" si="15"/>
        <v>#NAME?</v>
      </c>
    </row>
    <row r="34" spans="1:13" x14ac:dyDescent="0.35">
      <c r="A34" s="307">
        <v>0.98699999999999999</v>
      </c>
      <c r="C34" s="315" t="e">
        <f t="shared" ca="1" si="8"/>
        <v>#DIV/0!</v>
      </c>
      <c r="D34" s="315" t="e">
        <f t="shared" ca="1" si="9"/>
        <v>#DIV/0!</v>
      </c>
      <c r="E34" s="315">
        <f t="shared" si="10"/>
        <v>1.8897874014181786E-3</v>
      </c>
      <c r="F34" s="316" t="e">
        <f t="shared" ca="1" si="11"/>
        <v>#DIV/0!</v>
      </c>
      <c r="H34" s="307">
        <v>0.98699999999999999</v>
      </c>
      <c r="J34" s="315" t="e">
        <f t="shared" ca="1" si="12"/>
        <v>#NAME?</v>
      </c>
      <c r="K34" s="315" t="e">
        <f t="shared" ca="1" si="13"/>
        <v>#NAME?</v>
      </c>
      <c r="L34" s="315">
        <f t="shared" si="14"/>
        <v>1.7593676825998481E-3</v>
      </c>
      <c r="M34" s="316" t="e">
        <f t="shared" ca="1" si="15"/>
        <v>#NAME?</v>
      </c>
    </row>
    <row r="35" spans="1:13" x14ac:dyDescent="0.35">
      <c r="A35" s="306">
        <v>0.99</v>
      </c>
      <c r="C35" s="315" t="e">
        <f t="shared" ca="1" si="8"/>
        <v>#DIV/0!</v>
      </c>
      <c r="D35" s="315" t="e">
        <f t="shared" ca="1" si="9"/>
        <v>#DIV/0!</v>
      </c>
      <c r="E35" s="315">
        <f t="shared" si="10"/>
        <v>1.4536826164755219E-3</v>
      </c>
      <c r="F35" s="316" t="e">
        <f t="shared" ca="1" si="11"/>
        <v>#DIV/0!</v>
      </c>
      <c r="H35" s="306">
        <v>0.99</v>
      </c>
      <c r="J35" s="315" t="e">
        <f t="shared" ca="1" si="12"/>
        <v>#NAME?</v>
      </c>
      <c r="K35" s="315" t="e">
        <f t="shared" ca="1" si="13"/>
        <v>#NAME?</v>
      </c>
      <c r="L35" s="315">
        <f t="shared" si="14"/>
        <v>1.353359755846037E-3</v>
      </c>
      <c r="M35" s="316" t="e">
        <f t="shared" ca="1" si="15"/>
        <v>#NAME?</v>
      </c>
    </row>
    <row r="36" spans="1:13" x14ac:dyDescent="0.35">
      <c r="A36" s="307">
        <v>0.99299999999999999</v>
      </c>
      <c r="C36" s="315" t="e">
        <f t="shared" ca="1" si="8"/>
        <v>#DIV/0!</v>
      </c>
      <c r="D36" s="315" t="e">
        <f t="shared" ca="1" si="9"/>
        <v>#DIV/0!</v>
      </c>
      <c r="E36" s="315">
        <f t="shared" si="10"/>
        <v>1.0175778315328653E-3</v>
      </c>
      <c r="F36" s="316" t="e">
        <f t="shared" ca="1" si="11"/>
        <v>#DIV/0!</v>
      </c>
      <c r="H36" s="307">
        <v>0.99299999999999999</v>
      </c>
      <c r="J36" s="315" t="e">
        <f t="shared" ca="1" si="12"/>
        <v>#NAME?</v>
      </c>
      <c r="K36" s="315" t="e">
        <f t="shared" ca="1" si="13"/>
        <v>#NAME?</v>
      </c>
      <c r="L36" s="315">
        <f t="shared" si="14"/>
        <v>9.4735182909222589E-4</v>
      </c>
      <c r="M36" s="316" t="e">
        <f t="shared" ca="1" si="15"/>
        <v>#NAME?</v>
      </c>
    </row>
    <row r="37" spans="1:13" ht="15" thickBot="1" x14ac:dyDescent="0.4">
      <c r="A37" s="310">
        <v>0.997</v>
      </c>
      <c r="B37" s="298"/>
      <c r="C37" s="317" t="e">
        <f t="shared" ca="1" si="8"/>
        <v>#DIV/0!</v>
      </c>
      <c r="D37" s="317" t="e">
        <f t="shared" ca="1" si="9"/>
        <v>#DIV/0!</v>
      </c>
      <c r="E37" s="317">
        <f t="shared" si="10"/>
        <v>4.3610478494265659E-4</v>
      </c>
      <c r="F37" s="318" t="e">
        <f t="shared" ca="1" si="11"/>
        <v>#DIV/0!</v>
      </c>
      <c r="H37" s="310">
        <v>0.997</v>
      </c>
      <c r="I37" s="298"/>
      <c r="J37" s="317" t="e">
        <f t="shared" ca="1" si="12"/>
        <v>#NAME?</v>
      </c>
      <c r="K37" s="317" t="e">
        <f t="shared" ca="1" si="13"/>
        <v>#NAME?</v>
      </c>
      <c r="L37" s="317">
        <f t="shared" si="14"/>
        <v>4.0600792675381112E-4</v>
      </c>
      <c r="M37" s="318" t="e">
        <f t="shared" ca="1" si="15"/>
        <v>#NAME?</v>
      </c>
    </row>
    <row r="38" spans="1:13" ht="15" thickBot="1" x14ac:dyDescent="0.4"/>
    <row r="39" spans="1:13" x14ac:dyDescent="0.35">
      <c r="A39" s="308" t="s">
        <v>289</v>
      </c>
      <c r="B39" s="309" t="s">
        <v>107</v>
      </c>
      <c r="C39" s="311"/>
      <c r="D39" s="311"/>
      <c r="E39" s="311"/>
      <c r="F39" s="312"/>
      <c r="H39" s="308" t="s">
        <v>289</v>
      </c>
      <c r="I39" s="309" t="s">
        <v>107</v>
      </c>
      <c r="J39" s="311"/>
      <c r="K39" s="311"/>
      <c r="L39" s="311"/>
      <c r="M39" s="312"/>
    </row>
    <row r="40" spans="1:13" x14ac:dyDescent="0.35">
      <c r="A40" s="305" t="s">
        <v>290</v>
      </c>
      <c r="B40" t="s">
        <v>202</v>
      </c>
      <c r="C40" s="313"/>
      <c r="D40" s="313"/>
      <c r="E40" s="313"/>
      <c r="F40" s="314"/>
      <c r="H40" s="305" t="s">
        <v>290</v>
      </c>
      <c r="I40" t="s">
        <v>201</v>
      </c>
      <c r="J40" s="313"/>
      <c r="K40" s="313"/>
      <c r="L40" s="313"/>
      <c r="M40" s="314"/>
    </row>
    <row r="41" spans="1:13" x14ac:dyDescent="0.35">
      <c r="A41" s="305" t="s">
        <v>291</v>
      </c>
      <c r="C41" s="313">
        <f>C3</f>
        <v>1</v>
      </c>
      <c r="D41" s="313">
        <f>D3</f>
        <v>1</v>
      </c>
      <c r="E41" s="313">
        <f>E3</f>
        <v>1</v>
      </c>
      <c r="F41" s="314">
        <f>F3</f>
        <v>1</v>
      </c>
      <c r="H41" s="305" t="s">
        <v>291</v>
      </c>
      <c r="J41" s="313">
        <f>C3</f>
        <v>1</v>
      </c>
      <c r="K41" s="313">
        <f>D3</f>
        <v>1</v>
      </c>
      <c r="L41" s="313">
        <f>E3</f>
        <v>1</v>
      </c>
      <c r="M41" s="314">
        <f>F3</f>
        <v>1</v>
      </c>
    </row>
    <row r="42" spans="1:13" x14ac:dyDescent="0.35">
      <c r="A42" s="305" t="s">
        <v>292</v>
      </c>
      <c r="C42" s="313">
        <f>Devices!C32*C3</f>
        <v>0</v>
      </c>
      <c r="D42" s="313">
        <f>Devices!D32*D3</f>
        <v>0</v>
      </c>
      <c r="E42" s="313">
        <f>Devices!E32*E3</f>
        <v>1.5</v>
      </c>
      <c r="F42" s="314">
        <f>Devices!F32*F3</f>
        <v>0</v>
      </c>
      <c r="H42" s="305" t="s">
        <v>292</v>
      </c>
      <c r="J42" s="313">
        <f>Devices!C32*C3</f>
        <v>0</v>
      </c>
      <c r="K42" s="313">
        <f>Devices!D32*D3</f>
        <v>0</v>
      </c>
      <c r="L42" s="313">
        <f>Devices!E32*E3</f>
        <v>1.5</v>
      </c>
      <c r="M42" s="314">
        <f>Devices!F32*F3</f>
        <v>0</v>
      </c>
    </row>
    <row r="43" spans="1:13" x14ac:dyDescent="0.35">
      <c r="A43" s="305" t="s">
        <v>293</v>
      </c>
      <c r="C43" s="313">
        <f>Devices!C1</f>
        <v>1</v>
      </c>
      <c r="D43" s="313">
        <f>Devices!D1</f>
        <v>2</v>
      </c>
      <c r="E43" s="313">
        <f>Devices!E1</f>
        <v>3</v>
      </c>
      <c r="F43" s="314">
        <f>Devices!F1</f>
        <v>4</v>
      </c>
      <c r="H43" s="305" t="s">
        <v>293</v>
      </c>
      <c r="J43" s="313">
        <f>Devices!C1</f>
        <v>1</v>
      </c>
      <c r="K43" s="313">
        <f>Devices!D1</f>
        <v>2</v>
      </c>
      <c r="L43" s="313">
        <f>Devices!E1</f>
        <v>3</v>
      </c>
      <c r="M43" s="314">
        <f>Devices!F1</f>
        <v>4</v>
      </c>
    </row>
    <row r="44" spans="1:13" x14ac:dyDescent="0.35">
      <c r="A44" s="305" t="s">
        <v>294</v>
      </c>
      <c r="C44" s="313"/>
      <c r="D44" s="313"/>
      <c r="E44" s="313"/>
      <c r="F44" s="314"/>
      <c r="H44" s="305" t="s">
        <v>294</v>
      </c>
      <c r="J44" s="313"/>
      <c r="K44" s="313"/>
      <c r="L44" s="313"/>
      <c r="M44" s="314"/>
    </row>
    <row r="45" spans="1:13" ht="29" x14ac:dyDescent="0.35">
      <c r="A45" s="305" t="s">
        <v>295</v>
      </c>
      <c r="C45" s="313">
        <f>Devices!C2</f>
        <v>0</v>
      </c>
      <c r="D45" s="313">
        <f>Devices!D2</f>
        <v>0</v>
      </c>
      <c r="E45" s="313" t="str">
        <f>Devices!E2</f>
        <v>Magallanes</v>
      </c>
      <c r="F45" s="314">
        <f>Devices!F2</f>
        <v>0</v>
      </c>
      <c r="H45" s="305" t="s">
        <v>295</v>
      </c>
      <c r="J45" s="313">
        <f>Devices!C2</f>
        <v>0</v>
      </c>
      <c r="K45" s="313">
        <f>Devices!D2</f>
        <v>0</v>
      </c>
      <c r="L45" s="313" t="str">
        <f>Devices!E2</f>
        <v>Magallanes</v>
      </c>
      <c r="M45" s="314">
        <f>Devices!F2</f>
        <v>0</v>
      </c>
    </row>
    <row r="46" spans="1:13" x14ac:dyDescent="0.35">
      <c r="A46" s="306">
        <v>0</v>
      </c>
      <c r="C46" s="315" t="e">
        <f ca="1">ERM_1!M45*C41</f>
        <v>#DIV/0!</v>
      </c>
      <c r="D46" s="315" t="e">
        <f ca="1">ERM_2!M45*D41</f>
        <v>#DIV/0!</v>
      </c>
      <c r="E46" s="315">
        <f>ERM_3!M45*E41</f>
        <v>34.414204135026587</v>
      </c>
      <c r="F46" s="316" t="e">
        <f ca="1">ERM_4!M45*F41</f>
        <v>#DIV/0!</v>
      </c>
      <c r="H46" s="306">
        <v>0</v>
      </c>
      <c r="J46" s="315" t="e">
        <f ca="1">CRM_1!M45*J41</f>
        <v>#NAME?</v>
      </c>
      <c r="K46" s="315" t="e">
        <f ca="1">CRM_2!M45*K41</f>
        <v>#NAME?</v>
      </c>
      <c r="L46" s="315">
        <f>CRM_3!M45*L41</f>
        <v>31.532956862912524</v>
      </c>
      <c r="M46" s="316" t="e">
        <f ca="1">CRM_4!M45*M41</f>
        <v>#NAME?</v>
      </c>
    </row>
    <row r="47" spans="1:13" x14ac:dyDescent="0.35">
      <c r="A47" s="306">
        <v>0.5</v>
      </c>
      <c r="C47" s="315" t="e">
        <f t="shared" ref="C47:C56" ca="1" si="16">C$46*(1-A47)</f>
        <v>#DIV/0!</v>
      </c>
      <c r="D47" s="315" t="e">
        <f t="shared" ref="D47:D56" ca="1" si="17">D$46*(1-A47)</f>
        <v>#DIV/0!</v>
      </c>
      <c r="E47" s="315">
        <f t="shared" ref="E47:E56" si="18">E$46*(1-A47)</f>
        <v>17.207102067513294</v>
      </c>
      <c r="F47" s="316" t="e">
        <f t="shared" ref="F47:F56" ca="1" si="19">F$46*(1-A47)</f>
        <v>#DIV/0!</v>
      </c>
      <c r="H47" s="306">
        <v>0.5</v>
      </c>
      <c r="J47" s="315" t="e">
        <f t="shared" ref="J47:J56" ca="1" si="20">J$46*(1-H47)</f>
        <v>#NAME?</v>
      </c>
      <c r="K47" s="315" t="e">
        <f t="shared" ref="K47:K56" ca="1" si="21">K$46*(1-H47)</f>
        <v>#NAME?</v>
      </c>
      <c r="L47" s="315">
        <f t="shared" ref="L47:L56" si="22">L$46*(1-H47)</f>
        <v>15.766478431456262</v>
      </c>
      <c r="M47" s="316" t="e">
        <f t="shared" ref="M47:M56" ca="1" si="23">M$46*(1-H47)</f>
        <v>#NAME?</v>
      </c>
    </row>
    <row r="48" spans="1:13" x14ac:dyDescent="0.35">
      <c r="A48" s="306">
        <v>0.9</v>
      </c>
      <c r="C48" s="315" t="e">
        <f t="shared" ca="1" si="16"/>
        <v>#DIV/0!</v>
      </c>
      <c r="D48" s="315" t="e">
        <f t="shared" ca="1" si="17"/>
        <v>#DIV/0!</v>
      </c>
      <c r="E48" s="315">
        <f t="shared" si="18"/>
        <v>3.4414204135026578</v>
      </c>
      <c r="F48" s="316" t="e">
        <f t="shared" ca="1" si="19"/>
        <v>#DIV/0!</v>
      </c>
      <c r="H48" s="306">
        <v>0.9</v>
      </c>
      <c r="J48" s="315" t="e">
        <f t="shared" ca="1" si="20"/>
        <v>#NAME?</v>
      </c>
      <c r="K48" s="315" t="e">
        <f t="shared" ca="1" si="21"/>
        <v>#NAME?</v>
      </c>
      <c r="L48" s="315">
        <f t="shared" si="22"/>
        <v>3.1532956862912518</v>
      </c>
      <c r="M48" s="316" t="e">
        <f t="shared" ca="1" si="23"/>
        <v>#NAME?</v>
      </c>
    </row>
    <row r="49" spans="1:13" x14ac:dyDescent="0.35">
      <c r="A49" s="306">
        <v>0.95</v>
      </c>
      <c r="C49" s="315" t="e">
        <f t="shared" ca="1" si="16"/>
        <v>#DIV/0!</v>
      </c>
      <c r="D49" s="315" t="e">
        <f t="shared" ca="1" si="17"/>
        <v>#DIV/0!</v>
      </c>
      <c r="E49" s="315">
        <f t="shared" si="18"/>
        <v>1.7207102067513309</v>
      </c>
      <c r="F49" s="316" t="e">
        <f t="shared" ca="1" si="19"/>
        <v>#DIV/0!</v>
      </c>
      <c r="H49" s="306">
        <v>0.95</v>
      </c>
      <c r="J49" s="315" t="e">
        <f t="shared" ca="1" si="20"/>
        <v>#NAME?</v>
      </c>
      <c r="K49" s="315" t="e">
        <f t="shared" ca="1" si="21"/>
        <v>#NAME?</v>
      </c>
      <c r="L49" s="315">
        <f t="shared" si="22"/>
        <v>1.5766478431456277</v>
      </c>
      <c r="M49" s="316" t="e">
        <f t="shared" ca="1" si="23"/>
        <v>#NAME?</v>
      </c>
    </row>
    <row r="50" spans="1:13" x14ac:dyDescent="0.35">
      <c r="A50" s="306">
        <v>0.98</v>
      </c>
      <c r="C50" s="315" t="e">
        <f t="shared" ca="1" si="16"/>
        <v>#DIV/0!</v>
      </c>
      <c r="D50" s="315" t="e">
        <f t="shared" ca="1" si="17"/>
        <v>#DIV/0!</v>
      </c>
      <c r="E50" s="315">
        <f t="shared" si="18"/>
        <v>0.68828408270053232</v>
      </c>
      <c r="F50" s="316" t="e">
        <f t="shared" ca="1" si="19"/>
        <v>#DIV/0!</v>
      </c>
      <c r="H50" s="306">
        <v>0.98</v>
      </c>
      <c r="J50" s="315" t="e">
        <f t="shared" ca="1" si="20"/>
        <v>#NAME?</v>
      </c>
      <c r="K50" s="315" t="e">
        <f t="shared" ca="1" si="21"/>
        <v>#NAME?</v>
      </c>
      <c r="L50" s="315">
        <f t="shared" si="22"/>
        <v>0.63065913725825107</v>
      </c>
      <c r="M50" s="316" t="e">
        <f t="shared" ca="1" si="23"/>
        <v>#NAME?</v>
      </c>
    </row>
    <row r="51" spans="1:13" x14ac:dyDescent="0.35">
      <c r="A51" s="307">
        <v>0.98199999999999998</v>
      </c>
      <c r="C51" s="315" t="e">
        <f t="shared" ca="1" si="16"/>
        <v>#DIV/0!</v>
      </c>
      <c r="D51" s="315" t="e">
        <f t="shared" ca="1" si="17"/>
        <v>#DIV/0!</v>
      </c>
      <c r="E51" s="315">
        <f t="shared" si="18"/>
        <v>0.61945567443047911</v>
      </c>
      <c r="F51" s="316" t="e">
        <f t="shared" ca="1" si="19"/>
        <v>#DIV/0!</v>
      </c>
      <c r="H51" s="307">
        <v>0.98199999999999998</v>
      </c>
      <c r="J51" s="315" t="e">
        <f t="shared" ca="1" si="20"/>
        <v>#NAME?</v>
      </c>
      <c r="K51" s="315" t="e">
        <f t="shared" ca="1" si="21"/>
        <v>#NAME?</v>
      </c>
      <c r="L51" s="315">
        <f t="shared" si="22"/>
        <v>0.56759322353242592</v>
      </c>
      <c r="M51" s="316" t="e">
        <f t="shared" ca="1" si="23"/>
        <v>#NAME?</v>
      </c>
    </row>
    <row r="52" spans="1:13" x14ac:dyDescent="0.35">
      <c r="A52" s="307">
        <v>0.98499999999999999</v>
      </c>
      <c r="C52" s="315" t="e">
        <f t="shared" ca="1" si="16"/>
        <v>#DIV/0!</v>
      </c>
      <c r="D52" s="315" t="e">
        <f t="shared" ca="1" si="17"/>
        <v>#DIV/0!</v>
      </c>
      <c r="E52" s="315">
        <f t="shared" si="18"/>
        <v>0.51621306202539929</v>
      </c>
      <c r="F52" s="316" t="e">
        <f t="shared" ca="1" si="19"/>
        <v>#DIV/0!</v>
      </c>
      <c r="H52" s="307">
        <v>0.98499999999999999</v>
      </c>
      <c r="J52" s="315" t="e">
        <f t="shared" ca="1" si="20"/>
        <v>#NAME?</v>
      </c>
      <c r="K52" s="315" t="e">
        <f t="shared" ca="1" si="21"/>
        <v>#NAME?</v>
      </c>
      <c r="L52" s="315">
        <f t="shared" si="22"/>
        <v>0.4729943529436883</v>
      </c>
      <c r="M52" s="316" t="e">
        <f t="shared" ca="1" si="23"/>
        <v>#NAME?</v>
      </c>
    </row>
    <row r="53" spans="1:13" x14ac:dyDescent="0.35">
      <c r="A53" s="307">
        <v>0.98699999999999999</v>
      </c>
      <c r="C53" s="315" t="e">
        <f t="shared" ca="1" si="16"/>
        <v>#DIV/0!</v>
      </c>
      <c r="D53" s="315" t="e">
        <f t="shared" ca="1" si="17"/>
        <v>#DIV/0!</v>
      </c>
      <c r="E53" s="315">
        <f t="shared" si="18"/>
        <v>0.44738465375534603</v>
      </c>
      <c r="F53" s="316" t="e">
        <f t="shared" ca="1" si="19"/>
        <v>#DIV/0!</v>
      </c>
      <c r="H53" s="307">
        <v>0.98699999999999999</v>
      </c>
      <c r="J53" s="315" t="e">
        <f t="shared" ca="1" si="20"/>
        <v>#NAME?</v>
      </c>
      <c r="K53" s="315" t="e">
        <f t="shared" ca="1" si="21"/>
        <v>#NAME?</v>
      </c>
      <c r="L53" s="315">
        <f t="shared" si="22"/>
        <v>0.40992843921786315</v>
      </c>
      <c r="M53" s="316" t="e">
        <f t="shared" ca="1" si="23"/>
        <v>#NAME?</v>
      </c>
    </row>
    <row r="54" spans="1:13" x14ac:dyDescent="0.35">
      <c r="A54" s="306">
        <v>0.99</v>
      </c>
      <c r="C54" s="315" t="e">
        <f t="shared" ca="1" si="16"/>
        <v>#DIV/0!</v>
      </c>
      <c r="D54" s="315" t="e">
        <f t="shared" ca="1" si="17"/>
        <v>#DIV/0!</v>
      </c>
      <c r="E54" s="315">
        <f t="shared" si="18"/>
        <v>0.34414204135026616</v>
      </c>
      <c r="F54" s="316" t="e">
        <f t="shared" ca="1" si="19"/>
        <v>#DIV/0!</v>
      </c>
      <c r="H54" s="306">
        <v>0.99</v>
      </c>
      <c r="J54" s="315" t="e">
        <f t="shared" ca="1" si="20"/>
        <v>#NAME?</v>
      </c>
      <c r="K54" s="315" t="e">
        <f t="shared" ca="1" si="21"/>
        <v>#NAME?</v>
      </c>
      <c r="L54" s="315">
        <f t="shared" si="22"/>
        <v>0.31532956862912553</v>
      </c>
      <c r="M54" s="316" t="e">
        <f t="shared" ca="1" si="23"/>
        <v>#NAME?</v>
      </c>
    </row>
    <row r="55" spans="1:13" x14ac:dyDescent="0.35">
      <c r="A55" s="307">
        <v>0.99299999999999999</v>
      </c>
      <c r="C55" s="315" t="e">
        <f t="shared" ca="1" si="16"/>
        <v>#DIV/0!</v>
      </c>
      <c r="D55" s="315" t="e">
        <f t="shared" ca="1" si="17"/>
        <v>#DIV/0!</v>
      </c>
      <c r="E55" s="315">
        <f t="shared" si="18"/>
        <v>0.24089942894518632</v>
      </c>
      <c r="F55" s="316" t="e">
        <f t="shared" ca="1" si="19"/>
        <v>#DIV/0!</v>
      </c>
      <c r="H55" s="307">
        <v>0.99299999999999999</v>
      </c>
      <c r="J55" s="315" t="e">
        <f t="shared" ca="1" si="20"/>
        <v>#NAME?</v>
      </c>
      <c r="K55" s="315" t="e">
        <f t="shared" ca="1" si="21"/>
        <v>#NAME?</v>
      </c>
      <c r="L55" s="315">
        <f t="shared" si="22"/>
        <v>0.22073069804038786</v>
      </c>
      <c r="M55" s="316" t="e">
        <f t="shared" ca="1" si="23"/>
        <v>#NAME?</v>
      </c>
    </row>
    <row r="56" spans="1:13" ht="15" thickBot="1" x14ac:dyDescent="0.4">
      <c r="A56" s="310">
        <v>0.997</v>
      </c>
      <c r="B56" s="298"/>
      <c r="C56" s="317" t="e">
        <f t="shared" ca="1" si="16"/>
        <v>#DIV/0!</v>
      </c>
      <c r="D56" s="317" t="e">
        <f t="shared" ca="1" si="17"/>
        <v>#DIV/0!</v>
      </c>
      <c r="E56" s="317">
        <f t="shared" si="18"/>
        <v>0.10324261240507986</v>
      </c>
      <c r="F56" s="318" t="e">
        <f t="shared" ca="1" si="19"/>
        <v>#DIV/0!</v>
      </c>
      <c r="H56" s="310">
        <v>0.997</v>
      </c>
      <c r="I56" s="298"/>
      <c r="J56" s="317" t="e">
        <f t="shared" ca="1" si="20"/>
        <v>#NAME?</v>
      </c>
      <c r="K56" s="317" t="e">
        <f t="shared" ca="1" si="21"/>
        <v>#NAME?</v>
      </c>
      <c r="L56" s="317">
        <f t="shared" si="22"/>
        <v>9.4598870588737657E-2</v>
      </c>
      <c r="M56" s="318" t="e">
        <f t="shared" ca="1" si="23"/>
        <v>#NAME?</v>
      </c>
    </row>
    <row r="57" spans="1:13" ht="15" thickBot="1" x14ac:dyDescent="0.4"/>
    <row r="58" spans="1:13" x14ac:dyDescent="0.35">
      <c r="A58" s="308" t="s">
        <v>289</v>
      </c>
      <c r="B58" s="309" t="s">
        <v>78</v>
      </c>
      <c r="C58" s="311"/>
      <c r="D58" s="311"/>
      <c r="E58" s="311"/>
      <c r="F58" s="312"/>
      <c r="H58" s="308" t="s">
        <v>289</v>
      </c>
      <c r="I58" s="309" t="s">
        <v>78</v>
      </c>
      <c r="J58" s="311"/>
      <c r="K58" s="311"/>
      <c r="L58" s="311"/>
      <c r="M58" s="312"/>
    </row>
    <row r="59" spans="1:13" x14ac:dyDescent="0.35">
      <c r="A59" s="305" t="s">
        <v>290</v>
      </c>
      <c r="B59" t="s">
        <v>202</v>
      </c>
      <c r="C59" s="313"/>
      <c r="D59" s="313"/>
      <c r="E59" s="313"/>
      <c r="F59" s="314"/>
      <c r="H59" s="305" t="s">
        <v>290</v>
      </c>
      <c r="I59" t="s">
        <v>201</v>
      </c>
      <c r="J59" s="313"/>
      <c r="K59" s="313"/>
      <c r="L59" s="313"/>
      <c r="M59" s="314"/>
    </row>
    <row r="60" spans="1:13" x14ac:dyDescent="0.35">
      <c r="A60" s="305" t="s">
        <v>291</v>
      </c>
      <c r="C60" s="313">
        <f>C3</f>
        <v>1</v>
      </c>
      <c r="D60" s="313">
        <f>D3</f>
        <v>1</v>
      </c>
      <c r="E60" s="313">
        <f>E3</f>
        <v>1</v>
      </c>
      <c r="F60" s="314">
        <f>F3</f>
        <v>1</v>
      </c>
      <c r="H60" s="305" t="s">
        <v>291</v>
      </c>
      <c r="J60" s="313">
        <f>C3</f>
        <v>1</v>
      </c>
      <c r="K60" s="313">
        <f>D3</f>
        <v>1</v>
      </c>
      <c r="L60" s="313">
        <f>E3</f>
        <v>1</v>
      </c>
      <c r="M60" s="314">
        <f>F3</f>
        <v>1</v>
      </c>
    </row>
    <row r="61" spans="1:13" x14ac:dyDescent="0.35">
      <c r="A61" s="305" t="s">
        <v>292</v>
      </c>
      <c r="C61" s="313">
        <f>Devices!C32*C3</f>
        <v>0</v>
      </c>
      <c r="D61" s="313">
        <f>Devices!D32*D3</f>
        <v>0</v>
      </c>
      <c r="E61" s="313">
        <f>Devices!E32*E3</f>
        <v>1.5</v>
      </c>
      <c r="F61" s="314">
        <f>Devices!F32*F3</f>
        <v>0</v>
      </c>
      <c r="H61" s="305" t="s">
        <v>292</v>
      </c>
      <c r="J61" s="313">
        <f>Devices!C32*C3</f>
        <v>0</v>
      </c>
      <c r="K61" s="313">
        <f>Devices!D32*D3</f>
        <v>0</v>
      </c>
      <c r="L61" s="313">
        <f>Devices!E32*E3</f>
        <v>1.5</v>
      </c>
      <c r="M61" s="314">
        <f>Devices!F32*F3</f>
        <v>0</v>
      </c>
    </row>
    <row r="62" spans="1:13" x14ac:dyDescent="0.35">
      <c r="A62" s="305" t="s">
        <v>293</v>
      </c>
      <c r="C62" s="313">
        <f>Devices!C1</f>
        <v>1</v>
      </c>
      <c r="D62" s="313">
        <f>Devices!D1</f>
        <v>2</v>
      </c>
      <c r="E62" s="313">
        <f>Devices!E1</f>
        <v>3</v>
      </c>
      <c r="F62" s="314">
        <f>Devices!F1</f>
        <v>4</v>
      </c>
      <c r="H62" s="305" t="s">
        <v>293</v>
      </c>
      <c r="J62" s="313">
        <f>Devices!C1</f>
        <v>1</v>
      </c>
      <c r="K62" s="313">
        <f>Devices!D1</f>
        <v>2</v>
      </c>
      <c r="L62" s="313">
        <f>Devices!E1</f>
        <v>3</v>
      </c>
      <c r="M62" s="314">
        <f>Devices!F1</f>
        <v>4</v>
      </c>
    </row>
    <row r="63" spans="1:13" x14ac:dyDescent="0.35">
      <c r="A63" s="305" t="s">
        <v>294</v>
      </c>
      <c r="C63" s="313"/>
      <c r="D63" s="313"/>
      <c r="E63" s="313"/>
      <c r="F63" s="314"/>
      <c r="H63" s="305" t="s">
        <v>294</v>
      </c>
      <c r="J63" s="313"/>
      <c r="K63" s="313"/>
      <c r="L63" s="313"/>
      <c r="M63" s="314"/>
    </row>
    <row r="64" spans="1:13" ht="29" x14ac:dyDescent="0.35">
      <c r="A64" s="305" t="s">
        <v>295</v>
      </c>
      <c r="C64" s="313">
        <f>Devices!C2</f>
        <v>0</v>
      </c>
      <c r="D64" s="313">
        <f>Devices!D2</f>
        <v>0</v>
      </c>
      <c r="E64" s="313" t="str">
        <f>Devices!E2</f>
        <v>Magallanes</v>
      </c>
      <c r="F64" s="314">
        <f>Devices!F2</f>
        <v>0</v>
      </c>
      <c r="H64" s="305" t="s">
        <v>295</v>
      </c>
      <c r="J64" s="313">
        <f>Devices!C2</f>
        <v>0</v>
      </c>
      <c r="K64" s="313">
        <f>Devices!D2</f>
        <v>0</v>
      </c>
      <c r="L64" s="313" t="str">
        <f>Devices!E2</f>
        <v>Magallanes</v>
      </c>
      <c r="M64" s="314">
        <f>Devices!F2</f>
        <v>0</v>
      </c>
    </row>
    <row r="65" spans="1:13" x14ac:dyDescent="0.35">
      <c r="A65" s="306">
        <v>0</v>
      </c>
      <c r="C65" s="315" t="e">
        <f ca="1">ERM_1!O45*C60</f>
        <v>#DIV/0!</v>
      </c>
      <c r="D65" s="315" t="e">
        <f ca="1">ERM_2!O45*D60</f>
        <v>#DIV/0!</v>
      </c>
      <c r="E65" s="315">
        <f>ERM_3!O45*E60</f>
        <v>8.2534286973734101</v>
      </c>
      <c r="F65" s="316" t="e">
        <f ca="1">ERM_4!O45*F60</f>
        <v>#DIV/0!</v>
      </c>
      <c r="H65" s="306">
        <v>0</v>
      </c>
      <c r="J65" s="315" t="e">
        <f ca="1">CRM_1!O45*J60</f>
        <v>#NAME?</v>
      </c>
      <c r="K65" s="315" t="e">
        <f ca="1">CRM_2!O45*K60</f>
        <v>#NAME?</v>
      </c>
      <c r="L65" s="315">
        <f>CRM_3!O45*L60</f>
        <v>7.3559022504019884</v>
      </c>
      <c r="M65" s="316" t="e">
        <f ca="1">CRM_4!O45*M60</f>
        <v>#NAME?</v>
      </c>
    </row>
    <row r="66" spans="1:13" x14ac:dyDescent="0.35">
      <c r="A66" s="306">
        <v>0.5</v>
      </c>
      <c r="C66" s="315" t="e">
        <f t="shared" ref="C66:C75" ca="1" si="24">C$65*(1-A66)</f>
        <v>#DIV/0!</v>
      </c>
      <c r="D66" s="315" t="e">
        <f t="shared" ref="D66:D75" ca="1" si="25">D$65*(1-A66)</f>
        <v>#DIV/0!</v>
      </c>
      <c r="E66" s="315">
        <f t="shared" ref="E66:E75" si="26">E$65*(1-A66)</f>
        <v>4.1267143486867051</v>
      </c>
      <c r="F66" s="316" t="e">
        <f t="shared" ref="F66:F75" ca="1" si="27">F$65*(1-A66)</f>
        <v>#DIV/0!</v>
      </c>
      <c r="H66" s="306">
        <v>0.5</v>
      </c>
      <c r="J66" s="315" t="e">
        <f t="shared" ref="J66:J75" ca="1" si="28">J$65*(1-H66)</f>
        <v>#NAME?</v>
      </c>
      <c r="K66" s="315" t="e">
        <f t="shared" ref="K66:K75" ca="1" si="29">K$65*(1-H66)</f>
        <v>#NAME?</v>
      </c>
      <c r="L66" s="315">
        <f t="shared" ref="L66:L75" si="30">L$65*(1-H66)</f>
        <v>3.6779511252009942</v>
      </c>
      <c r="M66" s="316" t="e">
        <f t="shared" ref="M66:M75" ca="1" si="31">M$65*(1-H66)</f>
        <v>#NAME?</v>
      </c>
    </row>
    <row r="67" spans="1:13" x14ac:dyDescent="0.35">
      <c r="A67" s="306">
        <v>0.9</v>
      </c>
      <c r="C67" s="315" t="e">
        <f t="shared" ca="1" si="24"/>
        <v>#DIV/0!</v>
      </c>
      <c r="D67" s="315" t="e">
        <f t="shared" ca="1" si="25"/>
        <v>#DIV/0!</v>
      </c>
      <c r="E67" s="315">
        <f t="shared" si="26"/>
        <v>0.82534286973734083</v>
      </c>
      <c r="F67" s="316" t="e">
        <f t="shared" ca="1" si="27"/>
        <v>#DIV/0!</v>
      </c>
      <c r="H67" s="306">
        <v>0.9</v>
      </c>
      <c r="J67" s="315" t="e">
        <f t="shared" ca="1" si="28"/>
        <v>#NAME?</v>
      </c>
      <c r="K67" s="315" t="e">
        <f t="shared" ca="1" si="29"/>
        <v>#NAME?</v>
      </c>
      <c r="L67" s="315">
        <f t="shared" si="30"/>
        <v>0.73559022504019866</v>
      </c>
      <c r="M67" s="316" t="e">
        <f t="shared" ca="1" si="31"/>
        <v>#NAME?</v>
      </c>
    </row>
    <row r="68" spans="1:13" x14ac:dyDescent="0.35">
      <c r="A68" s="306">
        <v>0.95</v>
      </c>
      <c r="C68" s="315" t="e">
        <f t="shared" ca="1" si="24"/>
        <v>#DIV/0!</v>
      </c>
      <c r="D68" s="315" t="e">
        <f t="shared" ca="1" si="25"/>
        <v>#DIV/0!</v>
      </c>
      <c r="E68" s="315">
        <f t="shared" si="26"/>
        <v>0.41267143486867086</v>
      </c>
      <c r="F68" s="316" t="e">
        <f t="shared" ca="1" si="27"/>
        <v>#DIV/0!</v>
      </c>
      <c r="H68" s="306">
        <v>0.95</v>
      </c>
      <c r="J68" s="315" t="e">
        <f t="shared" ca="1" si="28"/>
        <v>#NAME?</v>
      </c>
      <c r="K68" s="315" t="e">
        <f t="shared" ca="1" si="29"/>
        <v>#NAME?</v>
      </c>
      <c r="L68" s="315">
        <f t="shared" si="30"/>
        <v>0.36779511252009972</v>
      </c>
      <c r="M68" s="316" t="e">
        <f t="shared" ca="1" si="31"/>
        <v>#NAME?</v>
      </c>
    </row>
    <row r="69" spans="1:13" x14ac:dyDescent="0.35">
      <c r="A69" s="306">
        <v>0.98</v>
      </c>
      <c r="C69" s="315" t="e">
        <f t="shared" ca="1" si="24"/>
        <v>#DIV/0!</v>
      </c>
      <c r="D69" s="315" t="e">
        <f t="shared" ca="1" si="25"/>
        <v>#DIV/0!</v>
      </c>
      <c r="E69" s="315">
        <f t="shared" si="26"/>
        <v>0.16506857394746835</v>
      </c>
      <c r="F69" s="316" t="e">
        <f t="shared" ca="1" si="27"/>
        <v>#DIV/0!</v>
      </c>
      <c r="H69" s="306">
        <v>0.98</v>
      </c>
      <c r="J69" s="315" t="e">
        <f t="shared" ca="1" si="28"/>
        <v>#NAME?</v>
      </c>
      <c r="K69" s="315" t="e">
        <f t="shared" ca="1" si="29"/>
        <v>#NAME?</v>
      </c>
      <c r="L69" s="315">
        <f t="shared" si="30"/>
        <v>0.1471180450080399</v>
      </c>
      <c r="M69" s="316" t="e">
        <f t="shared" ca="1" si="31"/>
        <v>#NAME?</v>
      </c>
    </row>
    <row r="70" spans="1:13" x14ac:dyDescent="0.35">
      <c r="A70" s="307">
        <v>0.98199999999999998</v>
      </c>
      <c r="C70" s="315" t="e">
        <f t="shared" ca="1" si="24"/>
        <v>#DIV/0!</v>
      </c>
      <c r="D70" s="315" t="e">
        <f t="shared" ca="1" si="25"/>
        <v>#DIV/0!</v>
      </c>
      <c r="E70" s="315">
        <f t="shared" si="26"/>
        <v>0.14856171655272152</v>
      </c>
      <c r="F70" s="316" t="e">
        <f t="shared" ca="1" si="27"/>
        <v>#DIV/0!</v>
      </c>
      <c r="H70" s="307">
        <v>0.98199999999999998</v>
      </c>
      <c r="J70" s="315" t="e">
        <f t="shared" ca="1" si="28"/>
        <v>#NAME?</v>
      </c>
      <c r="K70" s="315" t="e">
        <f t="shared" ca="1" si="29"/>
        <v>#NAME?</v>
      </c>
      <c r="L70" s="315">
        <f t="shared" si="30"/>
        <v>0.1324062405072359</v>
      </c>
      <c r="M70" s="316" t="e">
        <f t="shared" ca="1" si="31"/>
        <v>#NAME?</v>
      </c>
    </row>
    <row r="71" spans="1:13" x14ac:dyDescent="0.35">
      <c r="A71" s="307">
        <v>0.98499999999999999</v>
      </c>
      <c r="C71" s="315" t="e">
        <f t="shared" ca="1" si="24"/>
        <v>#DIV/0!</v>
      </c>
      <c r="D71" s="315" t="e">
        <f t="shared" ca="1" si="25"/>
        <v>#DIV/0!</v>
      </c>
      <c r="E71" s="315">
        <f t="shared" si="26"/>
        <v>0.12380143046060126</v>
      </c>
      <c r="F71" s="316" t="e">
        <f t="shared" ca="1" si="27"/>
        <v>#DIV/0!</v>
      </c>
      <c r="H71" s="307">
        <v>0.98499999999999999</v>
      </c>
      <c r="J71" s="315" t="e">
        <f t="shared" ca="1" si="28"/>
        <v>#NAME?</v>
      </c>
      <c r="K71" s="315" t="e">
        <f t="shared" ca="1" si="29"/>
        <v>#NAME?</v>
      </c>
      <c r="L71" s="315">
        <f t="shared" si="30"/>
        <v>0.11033853375602992</v>
      </c>
      <c r="M71" s="316" t="e">
        <f t="shared" ca="1" si="31"/>
        <v>#NAME?</v>
      </c>
    </row>
    <row r="72" spans="1:13" x14ac:dyDescent="0.35">
      <c r="A72" s="307">
        <v>0.98699999999999999</v>
      </c>
      <c r="C72" s="315" t="e">
        <f t="shared" ca="1" si="24"/>
        <v>#DIV/0!</v>
      </c>
      <c r="D72" s="315" t="e">
        <f t="shared" ca="1" si="25"/>
        <v>#DIV/0!</v>
      </c>
      <c r="E72" s="315">
        <f t="shared" si="26"/>
        <v>0.10729457306585442</v>
      </c>
      <c r="F72" s="316" t="e">
        <f t="shared" ca="1" si="27"/>
        <v>#DIV/0!</v>
      </c>
      <c r="H72" s="307">
        <v>0.98699999999999999</v>
      </c>
      <c r="J72" s="315" t="e">
        <f t="shared" ca="1" si="28"/>
        <v>#NAME?</v>
      </c>
      <c r="K72" s="315" t="e">
        <f t="shared" ca="1" si="29"/>
        <v>#NAME?</v>
      </c>
      <c r="L72" s="315">
        <f t="shared" si="30"/>
        <v>9.5626729255225931E-2</v>
      </c>
      <c r="M72" s="316" t="e">
        <f t="shared" ca="1" si="31"/>
        <v>#NAME?</v>
      </c>
    </row>
    <row r="73" spans="1:13" x14ac:dyDescent="0.35">
      <c r="A73" s="306">
        <v>0.99</v>
      </c>
      <c r="C73" s="315" t="e">
        <f t="shared" ca="1" si="24"/>
        <v>#DIV/0!</v>
      </c>
      <c r="D73" s="315" t="e">
        <f t="shared" ca="1" si="25"/>
        <v>#DIV/0!</v>
      </c>
      <c r="E73" s="315">
        <f t="shared" si="26"/>
        <v>8.2534286973734175E-2</v>
      </c>
      <c r="F73" s="316" t="e">
        <f t="shared" ca="1" si="27"/>
        <v>#DIV/0!</v>
      </c>
      <c r="H73" s="306">
        <v>0.99</v>
      </c>
      <c r="J73" s="315" t="e">
        <f t="shared" ca="1" si="28"/>
        <v>#NAME?</v>
      </c>
      <c r="K73" s="315" t="e">
        <f t="shared" ca="1" si="29"/>
        <v>#NAME?</v>
      </c>
      <c r="L73" s="315">
        <f t="shared" si="30"/>
        <v>7.3559022504019952E-2</v>
      </c>
      <c r="M73" s="316" t="e">
        <f t="shared" ca="1" si="31"/>
        <v>#NAME?</v>
      </c>
    </row>
    <row r="74" spans="1:13" x14ac:dyDescent="0.35">
      <c r="A74" s="307">
        <v>0.99299999999999999</v>
      </c>
      <c r="C74" s="315" t="e">
        <f t="shared" ca="1" si="24"/>
        <v>#DIV/0!</v>
      </c>
      <c r="D74" s="315" t="e">
        <f t="shared" ca="1" si="25"/>
        <v>#DIV/0!</v>
      </c>
      <c r="E74" s="315">
        <f t="shared" si="26"/>
        <v>5.777400088161392E-2</v>
      </c>
      <c r="F74" s="316" t="e">
        <f t="shared" ca="1" si="27"/>
        <v>#DIV/0!</v>
      </c>
      <c r="H74" s="307">
        <v>0.99299999999999999</v>
      </c>
      <c r="J74" s="315" t="e">
        <f t="shared" ca="1" si="28"/>
        <v>#NAME?</v>
      </c>
      <c r="K74" s="315" t="e">
        <f t="shared" ca="1" si="29"/>
        <v>#NAME?</v>
      </c>
      <c r="L74" s="315">
        <f t="shared" si="30"/>
        <v>5.1491315752813967E-2</v>
      </c>
      <c r="M74" s="316" t="e">
        <f t="shared" ca="1" si="31"/>
        <v>#NAME?</v>
      </c>
    </row>
    <row r="75" spans="1:13" ht="15" thickBot="1" x14ac:dyDescent="0.4">
      <c r="A75" s="310">
        <v>0.997</v>
      </c>
      <c r="B75" s="298"/>
      <c r="C75" s="317" t="e">
        <f t="shared" ca="1" si="24"/>
        <v>#DIV/0!</v>
      </c>
      <c r="D75" s="317" t="e">
        <f t="shared" ca="1" si="25"/>
        <v>#DIV/0!</v>
      </c>
      <c r="E75" s="317">
        <f t="shared" si="26"/>
        <v>2.4760286092120252E-2</v>
      </c>
      <c r="F75" s="318" t="e">
        <f t="shared" ca="1" si="27"/>
        <v>#DIV/0!</v>
      </c>
      <c r="H75" s="310">
        <v>0.997</v>
      </c>
      <c r="I75" s="298"/>
      <c r="J75" s="317" t="e">
        <f t="shared" ca="1" si="28"/>
        <v>#NAME?</v>
      </c>
      <c r="K75" s="317" t="e">
        <f t="shared" ca="1" si="29"/>
        <v>#NAME?</v>
      </c>
      <c r="L75" s="317">
        <f t="shared" si="30"/>
        <v>2.2067706751205986E-2</v>
      </c>
      <c r="M75" s="318" t="e">
        <f t="shared" ca="1" si="31"/>
        <v>#NAME?</v>
      </c>
    </row>
    <row r="76" spans="1:13" ht="15" thickBot="1" x14ac:dyDescent="0.4"/>
    <row r="77" spans="1:13" x14ac:dyDescent="0.35">
      <c r="A77" s="308" t="s">
        <v>289</v>
      </c>
      <c r="B77" s="309" t="s">
        <v>188</v>
      </c>
      <c r="C77" s="311"/>
      <c r="D77" s="311"/>
      <c r="E77" s="311"/>
      <c r="F77" s="312"/>
      <c r="H77" s="308" t="s">
        <v>289</v>
      </c>
      <c r="I77" s="309" t="s">
        <v>188</v>
      </c>
      <c r="J77" s="311"/>
      <c r="K77" s="311"/>
      <c r="L77" s="311"/>
      <c r="M77" s="312"/>
    </row>
    <row r="78" spans="1:13" x14ac:dyDescent="0.35">
      <c r="A78" s="305" t="s">
        <v>290</v>
      </c>
      <c r="B78" t="s">
        <v>202</v>
      </c>
      <c r="C78" s="313"/>
      <c r="D78" s="313"/>
      <c r="E78" s="313"/>
      <c r="F78" s="314"/>
      <c r="H78" s="305" t="s">
        <v>290</v>
      </c>
      <c r="I78" t="s">
        <v>201</v>
      </c>
      <c r="J78" s="313"/>
      <c r="K78" s="313"/>
      <c r="L78" s="313"/>
      <c r="M78" s="314"/>
    </row>
    <row r="79" spans="1:13" x14ac:dyDescent="0.35">
      <c r="A79" s="305" t="s">
        <v>291</v>
      </c>
      <c r="C79" s="313">
        <f>C3</f>
        <v>1</v>
      </c>
      <c r="D79" s="313">
        <f>D3</f>
        <v>1</v>
      </c>
      <c r="E79" s="313">
        <f>E3</f>
        <v>1</v>
      </c>
      <c r="F79" s="314">
        <f>F3</f>
        <v>1</v>
      </c>
      <c r="H79" s="305" t="s">
        <v>291</v>
      </c>
      <c r="J79" s="313">
        <f>C3</f>
        <v>1</v>
      </c>
      <c r="K79" s="313">
        <f>D3</f>
        <v>1</v>
      </c>
      <c r="L79" s="313">
        <f>E3</f>
        <v>1</v>
      </c>
      <c r="M79" s="314">
        <f>F3</f>
        <v>1</v>
      </c>
    </row>
    <row r="80" spans="1:13" x14ac:dyDescent="0.35">
      <c r="A80" s="305" t="s">
        <v>292</v>
      </c>
      <c r="C80" s="313">
        <f>Devices!C32*C3</f>
        <v>0</v>
      </c>
      <c r="D80" s="313">
        <f>Devices!D32*D3</f>
        <v>0</v>
      </c>
      <c r="E80" s="313">
        <f>Devices!E32*E3</f>
        <v>1.5</v>
      </c>
      <c r="F80" s="314">
        <f>Devices!F32*F3</f>
        <v>0</v>
      </c>
      <c r="H80" s="305" t="s">
        <v>292</v>
      </c>
      <c r="J80" s="313">
        <f>Devices!C32*C3</f>
        <v>0</v>
      </c>
      <c r="K80" s="313">
        <f>Devices!D32*D3</f>
        <v>0</v>
      </c>
      <c r="L80" s="313">
        <f>Devices!E32*E3</f>
        <v>1.5</v>
      </c>
      <c r="M80" s="314">
        <f>Devices!F32*F3</f>
        <v>0</v>
      </c>
    </row>
    <row r="81" spans="1:13" x14ac:dyDescent="0.35">
      <c r="A81" s="305" t="s">
        <v>293</v>
      </c>
      <c r="C81" s="313">
        <f>Devices!C1</f>
        <v>1</v>
      </c>
      <c r="D81" s="313">
        <f>Devices!D1</f>
        <v>2</v>
      </c>
      <c r="E81" s="313">
        <f>Devices!E1</f>
        <v>3</v>
      </c>
      <c r="F81" s="314">
        <f>Devices!F1</f>
        <v>4</v>
      </c>
      <c r="H81" s="305" t="s">
        <v>293</v>
      </c>
      <c r="J81" s="313">
        <f>Devices!C1</f>
        <v>1</v>
      </c>
      <c r="K81" s="313">
        <f>Devices!D1</f>
        <v>2</v>
      </c>
      <c r="L81" s="313">
        <f>Devices!E1</f>
        <v>3</v>
      </c>
      <c r="M81" s="314">
        <f>Devices!F1</f>
        <v>4</v>
      </c>
    </row>
    <row r="82" spans="1:13" x14ac:dyDescent="0.35">
      <c r="A82" s="305" t="s">
        <v>294</v>
      </c>
      <c r="C82" s="313"/>
      <c r="D82" s="313"/>
      <c r="E82" s="313"/>
      <c r="F82" s="314"/>
      <c r="H82" s="305" t="s">
        <v>294</v>
      </c>
      <c r="J82" s="313"/>
      <c r="K82" s="313"/>
      <c r="L82" s="313"/>
      <c r="M82" s="314"/>
    </row>
    <row r="83" spans="1:13" ht="29" x14ac:dyDescent="0.35">
      <c r="A83" s="305" t="s">
        <v>295</v>
      </c>
      <c r="C83" s="313">
        <f>Devices!C2</f>
        <v>0</v>
      </c>
      <c r="D83" s="313">
        <f>Devices!D2</f>
        <v>0</v>
      </c>
      <c r="E83" s="313" t="str">
        <f>Devices!E2</f>
        <v>Magallanes</v>
      </c>
      <c r="F83" s="314">
        <f>Devices!F2</f>
        <v>0</v>
      </c>
      <c r="H83" s="305" t="s">
        <v>295</v>
      </c>
      <c r="J83" s="313">
        <f>Devices!C2</f>
        <v>0</v>
      </c>
      <c r="K83" s="313">
        <f>Devices!D2</f>
        <v>0</v>
      </c>
      <c r="L83" s="313" t="str">
        <f>Devices!E2</f>
        <v>Magallanes</v>
      </c>
      <c r="M83" s="314">
        <f>Devices!F2</f>
        <v>0</v>
      </c>
    </row>
    <row r="84" spans="1:13" x14ac:dyDescent="0.35">
      <c r="A84" s="306">
        <v>0</v>
      </c>
      <c r="C84" s="315" t="e">
        <f ca="1">ERM_1!Q45*C79</f>
        <v>#DIV/0!</v>
      </c>
      <c r="D84" s="315" t="e">
        <f ca="1">ERM_2!Q45*D79</f>
        <v>#DIV/0!</v>
      </c>
      <c r="E84" s="315">
        <f>ERM_3!Q45*E79</f>
        <v>2.8581011301525394</v>
      </c>
      <c r="F84" s="316" t="e">
        <f ca="1">ERM_4!Q45*F79</f>
        <v>#DIV/0!</v>
      </c>
      <c r="H84" s="306">
        <v>0</v>
      </c>
      <c r="J84" s="315" t="e">
        <f ca="1">CRM_1!Q45*J79</f>
        <v>#NAME?</v>
      </c>
      <c r="K84" s="315" t="e">
        <f ca="1">CRM_2!Q45*K79</f>
        <v>#NAME?</v>
      </c>
      <c r="L84" s="315">
        <f>CRM_3!Q45*L79</f>
        <v>3.2888530909007678</v>
      </c>
      <c r="M84" s="316" t="e">
        <f ca="1">CRM_4!Q45*M79</f>
        <v>#NAME?</v>
      </c>
    </row>
    <row r="85" spans="1:13" x14ac:dyDescent="0.35">
      <c r="A85" s="306">
        <v>0.5</v>
      </c>
      <c r="C85" s="315" t="e">
        <f t="shared" ref="C85:C94" ca="1" si="32">C$84*(1-A85)</f>
        <v>#DIV/0!</v>
      </c>
      <c r="D85" s="315" t="e">
        <f t="shared" ref="D85:D94" ca="1" si="33">D$84*(1-A85)</f>
        <v>#DIV/0!</v>
      </c>
      <c r="E85" s="315">
        <f t="shared" ref="E85:E94" si="34">E$84*(1-A85)</f>
        <v>1.4290505650762697</v>
      </c>
      <c r="F85" s="316" t="e">
        <f t="shared" ref="F85:F94" ca="1" si="35">F$84*(1-A85)</f>
        <v>#DIV/0!</v>
      </c>
      <c r="H85" s="306">
        <v>0.5</v>
      </c>
      <c r="J85" s="315" t="e">
        <f t="shared" ref="J85:J94" ca="1" si="36">J$84*(1-H85)</f>
        <v>#NAME?</v>
      </c>
      <c r="K85" s="315" t="e">
        <f t="shared" ref="K85:K94" ca="1" si="37">K$84*(1-H85)</f>
        <v>#NAME?</v>
      </c>
      <c r="L85" s="315">
        <f t="shared" ref="L85:L94" si="38">L$84*(1-H85)</f>
        <v>1.6444265454503839</v>
      </c>
      <c r="M85" s="316" t="e">
        <f t="shared" ref="M85:M94" ca="1" si="39">M$84*(1-H85)</f>
        <v>#NAME?</v>
      </c>
    </row>
    <row r="86" spans="1:13" x14ac:dyDescent="0.35">
      <c r="A86" s="306">
        <v>0.9</v>
      </c>
      <c r="C86" s="315" t="e">
        <f t="shared" ca="1" si="32"/>
        <v>#DIV/0!</v>
      </c>
      <c r="D86" s="315" t="e">
        <f t="shared" ca="1" si="33"/>
        <v>#DIV/0!</v>
      </c>
      <c r="E86" s="315">
        <f t="shared" si="34"/>
        <v>0.28581011301525389</v>
      </c>
      <c r="F86" s="316" t="e">
        <f t="shared" ca="1" si="35"/>
        <v>#DIV/0!</v>
      </c>
      <c r="H86" s="306">
        <v>0.9</v>
      </c>
      <c r="J86" s="315" t="e">
        <f t="shared" ca="1" si="36"/>
        <v>#NAME?</v>
      </c>
      <c r="K86" s="315" t="e">
        <f t="shared" ca="1" si="37"/>
        <v>#NAME?</v>
      </c>
      <c r="L86" s="315">
        <f t="shared" si="38"/>
        <v>0.32888530909007668</v>
      </c>
      <c r="M86" s="316" t="e">
        <f t="shared" ca="1" si="39"/>
        <v>#NAME?</v>
      </c>
    </row>
    <row r="87" spans="1:13" x14ac:dyDescent="0.35">
      <c r="A87" s="306">
        <v>0.95</v>
      </c>
      <c r="C87" s="315" t="e">
        <f t="shared" ca="1" si="32"/>
        <v>#DIV/0!</v>
      </c>
      <c r="D87" s="315" t="e">
        <f t="shared" ca="1" si="33"/>
        <v>#DIV/0!</v>
      </c>
      <c r="E87" s="315">
        <f t="shared" si="34"/>
        <v>0.14290505650762711</v>
      </c>
      <c r="F87" s="316" t="e">
        <f t="shared" ca="1" si="35"/>
        <v>#DIV/0!</v>
      </c>
      <c r="H87" s="306">
        <v>0.95</v>
      </c>
      <c r="J87" s="315" t="e">
        <f t="shared" ca="1" si="36"/>
        <v>#NAME?</v>
      </c>
      <c r="K87" s="315" t="e">
        <f t="shared" ca="1" si="37"/>
        <v>#NAME?</v>
      </c>
      <c r="L87" s="315">
        <f t="shared" si="38"/>
        <v>0.16444265454503854</v>
      </c>
      <c r="M87" s="316" t="e">
        <f t="shared" ca="1" si="39"/>
        <v>#NAME?</v>
      </c>
    </row>
    <row r="88" spans="1:13" x14ac:dyDescent="0.35">
      <c r="A88" s="306">
        <v>0.98</v>
      </c>
      <c r="C88" s="315" t="e">
        <f t="shared" ca="1" si="32"/>
        <v>#DIV/0!</v>
      </c>
      <c r="D88" s="315" t="e">
        <f t="shared" ca="1" si="33"/>
        <v>#DIV/0!</v>
      </c>
      <c r="E88" s="315">
        <f t="shared" si="34"/>
        <v>5.7162022603050838E-2</v>
      </c>
      <c r="F88" s="316" t="e">
        <f t="shared" ca="1" si="35"/>
        <v>#DIV/0!</v>
      </c>
      <c r="H88" s="306">
        <v>0.98</v>
      </c>
      <c r="J88" s="315" t="e">
        <f t="shared" ca="1" si="36"/>
        <v>#NAME?</v>
      </c>
      <c r="K88" s="315" t="e">
        <f t="shared" ca="1" si="37"/>
        <v>#NAME?</v>
      </c>
      <c r="L88" s="315">
        <f t="shared" si="38"/>
        <v>6.5777061818015417E-2</v>
      </c>
      <c r="M88" s="316" t="e">
        <f t="shared" ca="1" si="39"/>
        <v>#NAME?</v>
      </c>
    </row>
    <row r="89" spans="1:13" x14ac:dyDescent="0.35">
      <c r="A89" s="307">
        <v>0.98199999999999998</v>
      </c>
      <c r="C89" s="315" t="e">
        <f t="shared" ca="1" si="32"/>
        <v>#DIV/0!</v>
      </c>
      <c r="D89" s="315" t="e">
        <f t="shared" ca="1" si="33"/>
        <v>#DIV/0!</v>
      </c>
      <c r="E89" s="315">
        <f t="shared" si="34"/>
        <v>5.1445820342745759E-2</v>
      </c>
      <c r="F89" s="316" t="e">
        <f t="shared" ca="1" si="35"/>
        <v>#DIV/0!</v>
      </c>
      <c r="H89" s="307">
        <v>0.98199999999999998</v>
      </c>
      <c r="J89" s="315" t="e">
        <f t="shared" ca="1" si="36"/>
        <v>#NAME?</v>
      </c>
      <c r="K89" s="315" t="e">
        <f t="shared" ca="1" si="37"/>
        <v>#NAME?</v>
      </c>
      <c r="L89" s="315">
        <f t="shared" si="38"/>
        <v>5.9199355636213875E-2</v>
      </c>
      <c r="M89" s="316" t="e">
        <f t="shared" ca="1" si="39"/>
        <v>#NAME?</v>
      </c>
    </row>
    <row r="90" spans="1:13" x14ac:dyDescent="0.35">
      <c r="A90" s="307">
        <v>0.98499999999999999</v>
      </c>
      <c r="C90" s="315" t="e">
        <f t="shared" ca="1" si="32"/>
        <v>#DIV/0!</v>
      </c>
      <c r="D90" s="315" t="e">
        <f t="shared" ca="1" si="33"/>
        <v>#DIV/0!</v>
      </c>
      <c r="E90" s="315">
        <f t="shared" si="34"/>
        <v>4.2871516952288129E-2</v>
      </c>
      <c r="F90" s="316" t="e">
        <f t="shared" ca="1" si="35"/>
        <v>#DIV/0!</v>
      </c>
      <c r="H90" s="307">
        <v>0.98499999999999999</v>
      </c>
      <c r="J90" s="315" t="e">
        <f t="shared" ca="1" si="36"/>
        <v>#NAME?</v>
      </c>
      <c r="K90" s="315" t="e">
        <f t="shared" ca="1" si="37"/>
        <v>#NAME?</v>
      </c>
      <c r="L90" s="315">
        <f t="shared" si="38"/>
        <v>4.9332796363511559E-2</v>
      </c>
      <c r="M90" s="316" t="e">
        <f t="shared" ca="1" si="39"/>
        <v>#NAME?</v>
      </c>
    </row>
    <row r="91" spans="1:13" x14ac:dyDescent="0.35">
      <c r="A91" s="307">
        <v>0.98699999999999999</v>
      </c>
      <c r="C91" s="315" t="e">
        <f t="shared" ca="1" si="32"/>
        <v>#DIV/0!</v>
      </c>
      <c r="D91" s="315" t="e">
        <f t="shared" ca="1" si="33"/>
        <v>#DIV/0!</v>
      </c>
      <c r="E91" s="315">
        <f t="shared" si="34"/>
        <v>3.7155314691983042E-2</v>
      </c>
      <c r="F91" s="316" t="e">
        <f t="shared" ca="1" si="35"/>
        <v>#DIV/0!</v>
      </c>
      <c r="H91" s="307">
        <v>0.98699999999999999</v>
      </c>
      <c r="J91" s="315" t="e">
        <f t="shared" ca="1" si="36"/>
        <v>#NAME?</v>
      </c>
      <c r="K91" s="315" t="e">
        <f t="shared" ca="1" si="37"/>
        <v>#NAME?</v>
      </c>
      <c r="L91" s="315">
        <f t="shared" si="38"/>
        <v>4.2755090181710018E-2</v>
      </c>
      <c r="M91" s="316" t="e">
        <f t="shared" ca="1" si="39"/>
        <v>#NAME?</v>
      </c>
    </row>
    <row r="92" spans="1:13" x14ac:dyDescent="0.35">
      <c r="A92" s="306">
        <v>0.99</v>
      </c>
      <c r="C92" s="315" t="e">
        <f t="shared" ca="1" si="32"/>
        <v>#DIV/0!</v>
      </c>
      <c r="D92" s="315" t="e">
        <f t="shared" ca="1" si="33"/>
        <v>#DIV/0!</v>
      </c>
      <c r="E92" s="315">
        <f t="shared" si="34"/>
        <v>2.8581011301525419E-2</v>
      </c>
      <c r="F92" s="316" t="e">
        <f t="shared" ca="1" si="35"/>
        <v>#DIV/0!</v>
      </c>
      <c r="H92" s="306">
        <v>0.99</v>
      </c>
      <c r="J92" s="315" t="e">
        <f t="shared" ca="1" si="36"/>
        <v>#NAME?</v>
      </c>
      <c r="K92" s="315" t="e">
        <f t="shared" ca="1" si="37"/>
        <v>#NAME?</v>
      </c>
      <c r="L92" s="315">
        <f t="shared" si="38"/>
        <v>3.2888530909007709E-2</v>
      </c>
      <c r="M92" s="316" t="e">
        <f t="shared" ca="1" si="39"/>
        <v>#NAME?</v>
      </c>
    </row>
    <row r="93" spans="1:13" x14ac:dyDescent="0.35">
      <c r="A93" s="307">
        <v>0.99299999999999999</v>
      </c>
      <c r="C93" s="315" t="e">
        <f t="shared" ca="1" si="32"/>
        <v>#DIV/0!</v>
      </c>
      <c r="D93" s="315" t="e">
        <f t="shared" ca="1" si="33"/>
        <v>#DIV/0!</v>
      </c>
      <c r="E93" s="315">
        <f t="shared" si="34"/>
        <v>2.0006707911067793E-2</v>
      </c>
      <c r="F93" s="316" t="e">
        <f t="shared" ca="1" si="35"/>
        <v>#DIV/0!</v>
      </c>
      <c r="H93" s="307">
        <v>0.99299999999999999</v>
      </c>
      <c r="J93" s="315" t="e">
        <f t="shared" ca="1" si="36"/>
        <v>#NAME?</v>
      </c>
      <c r="K93" s="315" t="e">
        <f t="shared" ca="1" si="37"/>
        <v>#NAME?</v>
      </c>
      <c r="L93" s="315">
        <f t="shared" si="38"/>
        <v>2.3021971636305396E-2</v>
      </c>
      <c r="M93" s="316" t="e">
        <f t="shared" ca="1" si="39"/>
        <v>#NAME?</v>
      </c>
    </row>
    <row r="94" spans="1:13" ht="15" thickBot="1" x14ac:dyDescent="0.4">
      <c r="A94" s="310">
        <v>0.997</v>
      </c>
      <c r="B94" s="298"/>
      <c r="C94" s="317" t="e">
        <f t="shared" ca="1" si="32"/>
        <v>#DIV/0!</v>
      </c>
      <c r="D94" s="317" t="e">
        <f t="shared" ca="1" si="33"/>
        <v>#DIV/0!</v>
      </c>
      <c r="E94" s="317">
        <f t="shared" si="34"/>
        <v>8.5743033904576264E-3</v>
      </c>
      <c r="F94" s="318" t="e">
        <f t="shared" ca="1" si="35"/>
        <v>#DIV/0!</v>
      </c>
      <c r="H94" s="310">
        <v>0.997</v>
      </c>
      <c r="I94" s="298"/>
      <c r="J94" s="317" t="e">
        <f t="shared" ca="1" si="36"/>
        <v>#NAME?</v>
      </c>
      <c r="K94" s="317" t="e">
        <f t="shared" ca="1" si="37"/>
        <v>#NAME?</v>
      </c>
      <c r="L94" s="317">
        <f t="shared" si="38"/>
        <v>9.8665592727023126E-3</v>
      </c>
      <c r="M94" s="318" t="e">
        <f t="shared" ca="1" si="39"/>
        <v>#NAME?</v>
      </c>
    </row>
    <row r="95" spans="1:13" ht="15" thickBot="1" x14ac:dyDescent="0.4"/>
    <row r="96" spans="1:13" x14ac:dyDescent="0.35">
      <c r="A96" s="308" t="s">
        <v>289</v>
      </c>
      <c r="B96" s="309" t="s">
        <v>189</v>
      </c>
      <c r="C96" s="311"/>
      <c r="D96" s="311"/>
      <c r="E96" s="311"/>
      <c r="F96" s="312"/>
      <c r="H96" s="308" t="s">
        <v>289</v>
      </c>
      <c r="I96" s="309" t="s">
        <v>189</v>
      </c>
      <c r="J96" s="311"/>
      <c r="K96" s="311"/>
      <c r="L96" s="311"/>
      <c r="M96" s="312"/>
    </row>
    <row r="97" spans="1:13" x14ac:dyDescent="0.35">
      <c r="A97" s="305" t="s">
        <v>290</v>
      </c>
      <c r="B97" t="s">
        <v>202</v>
      </c>
      <c r="C97" s="313"/>
      <c r="D97" s="313"/>
      <c r="E97" s="313"/>
      <c r="F97" s="314"/>
      <c r="H97" s="305" t="s">
        <v>290</v>
      </c>
      <c r="I97" t="s">
        <v>201</v>
      </c>
      <c r="J97" s="313"/>
      <c r="K97" s="313"/>
      <c r="L97" s="313"/>
      <c r="M97" s="314"/>
    </row>
    <row r="98" spans="1:13" x14ac:dyDescent="0.35">
      <c r="A98" s="305" t="s">
        <v>291</v>
      </c>
      <c r="C98" s="313">
        <f>C3</f>
        <v>1</v>
      </c>
      <c r="D98" s="313">
        <f>D3</f>
        <v>1</v>
      </c>
      <c r="E98" s="313">
        <f>E3</f>
        <v>1</v>
      </c>
      <c r="F98" s="314">
        <f>F3</f>
        <v>1</v>
      </c>
      <c r="H98" s="305" t="s">
        <v>291</v>
      </c>
      <c r="J98" s="313">
        <f>C3</f>
        <v>1</v>
      </c>
      <c r="K98" s="313">
        <f>D3</f>
        <v>1</v>
      </c>
      <c r="L98" s="313">
        <f>E3</f>
        <v>1</v>
      </c>
      <c r="M98" s="314">
        <f>F3</f>
        <v>1</v>
      </c>
    </row>
    <row r="99" spans="1:13" x14ac:dyDescent="0.35">
      <c r="A99" s="305" t="s">
        <v>292</v>
      </c>
      <c r="C99" s="313">
        <f>Devices!C32*C3</f>
        <v>0</v>
      </c>
      <c r="D99" s="313">
        <f>Devices!D32*D3</f>
        <v>0</v>
      </c>
      <c r="E99" s="313">
        <f>Devices!E32*E3</f>
        <v>1.5</v>
      </c>
      <c r="F99" s="314">
        <f>Devices!F32*F3</f>
        <v>0</v>
      </c>
      <c r="H99" s="305" t="s">
        <v>292</v>
      </c>
      <c r="J99" s="313">
        <f>Devices!C32*C3</f>
        <v>0</v>
      </c>
      <c r="K99" s="313">
        <f>Devices!D32*D3</f>
        <v>0</v>
      </c>
      <c r="L99" s="313">
        <f>Devices!E32*E3</f>
        <v>1.5</v>
      </c>
      <c r="M99" s="314">
        <f>Devices!F32*F3</f>
        <v>0</v>
      </c>
    </row>
    <row r="100" spans="1:13" x14ac:dyDescent="0.35">
      <c r="A100" s="305" t="s">
        <v>293</v>
      </c>
      <c r="C100" s="313">
        <f>Devices!C1</f>
        <v>1</v>
      </c>
      <c r="D100" s="313">
        <f>Devices!D1</f>
        <v>2</v>
      </c>
      <c r="E100" s="313">
        <f>Devices!E1</f>
        <v>3</v>
      </c>
      <c r="F100" s="314">
        <f>Devices!F1</f>
        <v>4</v>
      </c>
      <c r="H100" s="305" t="s">
        <v>293</v>
      </c>
      <c r="J100" s="313">
        <f>Devices!C1</f>
        <v>1</v>
      </c>
      <c r="K100" s="313">
        <f>Devices!D1</f>
        <v>2</v>
      </c>
      <c r="L100" s="313">
        <f>Devices!E1</f>
        <v>3</v>
      </c>
      <c r="M100" s="314">
        <f>Devices!F1</f>
        <v>4</v>
      </c>
    </row>
    <row r="101" spans="1:13" x14ac:dyDescent="0.35">
      <c r="A101" s="305" t="s">
        <v>294</v>
      </c>
      <c r="C101" s="313"/>
      <c r="D101" s="313"/>
      <c r="E101" s="313"/>
      <c r="F101" s="314"/>
      <c r="H101" s="305" t="s">
        <v>294</v>
      </c>
      <c r="J101" s="313"/>
      <c r="K101" s="313"/>
      <c r="L101" s="313"/>
      <c r="M101" s="314"/>
    </row>
    <row r="102" spans="1:13" ht="29" x14ac:dyDescent="0.35">
      <c r="A102" s="305" t="s">
        <v>295</v>
      </c>
      <c r="C102" s="313">
        <f>Devices!C2</f>
        <v>0</v>
      </c>
      <c r="D102" s="313">
        <f>Devices!D2</f>
        <v>0</v>
      </c>
      <c r="E102" s="313" t="str">
        <f>Devices!E2</f>
        <v>Magallanes</v>
      </c>
      <c r="F102" s="314">
        <f>Devices!F2</f>
        <v>0</v>
      </c>
      <c r="H102" s="305" t="s">
        <v>295</v>
      </c>
      <c r="J102" s="313">
        <f>Devices!C2</f>
        <v>0</v>
      </c>
      <c r="K102" s="313">
        <f>Devices!D2</f>
        <v>0</v>
      </c>
      <c r="L102" s="313" t="str">
        <f>Devices!E2</f>
        <v>Magallanes</v>
      </c>
      <c r="M102" s="314">
        <f>Devices!F2</f>
        <v>0</v>
      </c>
    </row>
    <row r="103" spans="1:13" x14ac:dyDescent="0.35">
      <c r="A103" s="306">
        <v>0</v>
      </c>
      <c r="C103" s="315" t="e">
        <f ca="1">ERM_1!S45*C98</f>
        <v>#DIV/0!</v>
      </c>
      <c r="D103" s="315" t="e">
        <f ca="1">ERM_2!S45*D98</f>
        <v>#DIV/0!</v>
      </c>
      <c r="E103" s="315">
        <f>ERM_3!S45*E98</f>
        <v>5.1781192566694472</v>
      </c>
      <c r="F103" s="316" t="e">
        <f ca="1">ERM_4!S45*F98</f>
        <v>#DIV/0!</v>
      </c>
      <c r="H103" s="306">
        <v>0</v>
      </c>
      <c r="J103" s="315" t="e">
        <f ca="1">CRM_1!S45*J98</f>
        <v>#NAME?</v>
      </c>
      <c r="K103" s="315" t="e">
        <f ca="1">CRM_2!S45*K98</f>
        <v>#NAME?</v>
      </c>
      <c r="L103" s="315">
        <f>CRM_3!S45*L98</f>
        <v>5.8437463243292456</v>
      </c>
      <c r="M103" s="316" t="e">
        <f ca="1">CRM_4!S45*M98</f>
        <v>#NAME?</v>
      </c>
    </row>
    <row r="104" spans="1:13" x14ac:dyDescent="0.35">
      <c r="A104" s="306">
        <v>0.5</v>
      </c>
      <c r="C104" s="315" t="e">
        <f t="shared" ref="C104:C113" ca="1" si="40">C$103*(1-A104)</f>
        <v>#DIV/0!</v>
      </c>
      <c r="D104" s="315" t="e">
        <f t="shared" ref="D104:D113" ca="1" si="41">D$103*(1-A104)</f>
        <v>#DIV/0!</v>
      </c>
      <c r="E104" s="315">
        <f t="shared" ref="E104:E113" si="42">E$103*(1-A104)</f>
        <v>2.5890596283347236</v>
      </c>
      <c r="F104" s="316" t="e">
        <f t="shared" ref="F104:F113" ca="1" si="43">F$103*(1-A104)</f>
        <v>#DIV/0!</v>
      </c>
      <c r="H104" s="306">
        <v>0.5</v>
      </c>
      <c r="J104" s="315" t="e">
        <f t="shared" ref="J104:J113" ca="1" si="44">J$103*(1-H104)</f>
        <v>#NAME?</v>
      </c>
      <c r="K104" s="315" t="e">
        <f t="shared" ref="K104:K113" ca="1" si="45">K$103*(1-H104)</f>
        <v>#NAME?</v>
      </c>
      <c r="L104" s="315">
        <f t="shared" ref="L104:L113" si="46">L$103*(1-H104)</f>
        <v>2.9218731621646228</v>
      </c>
      <c r="M104" s="316" t="e">
        <f t="shared" ref="M104:M113" ca="1" si="47">M$103*(1-H104)</f>
        <v>#NAME?</v>
      </c>
    </row>
    <row r="105" spans="1:13" x14ac:dyDescent="0.35">
      <c r="A105" s="306">
        <v>0.9</v>
      </c>
      <c r="C105" s="315" t="e">
        <f t="shared" ca="1" si="40"/>
        <v>#DIV/0!</v>
      </c>
      <c r="D105" s="315" t="e">
        <f t="shared" ca="1" si="41"/>
        <v>#DIV/0!</v>
      </c>
      <c r="E105" s="315">
        <f t="shared" si="42"/>
        <v>0.51781192566694456</v>
      </c>
      <c r="F105" s="316" t="e">
        <f t="shared" ca="1" si="43"/>
        <v>#DIV/0!</v>
      </c>
      <c r="H105" s="306">
        <v>0.9</v>
      </c>
      <c r="J105" s="315" t="e">
        <f t="shared" ca="1" si="44"/>
        <v>#NAME?</v>
      </c>
      <c r="K105" s="315" t="e">
        <f t="shared" ca="1" si="45"/>
        <v>#NAME?</v>
      </c>
      <c r="L105" s="315">
        <f t="shared" si="46"/>
        <v>0.58437463243292442</v>
      </c>
      <c r="M105" s="316" t="e">
        <f t="shared" ca="1" si="47"/>
        <v>#NAME?</v>
      </c>
    </row>
    <row r="106" spans="1:13" x14ac:dyDescent="0.35">
      <c r="A106" s="306">
        <v>0.95</v>
      </c>
      <c r="C106" s="315" t="e">
        <f t="shared" ca="1" si="40"/>
        <v>#DIV/0!</v>
      </c>
      <c r="D106" s="315" t="e">
        <f t="shared" ca="1" si="41"/>
        <v>#DIV/0!</v>
      </c>
      <c r="E106" s="315">
        <f t="shared" si="42"/>
        <v>0.25890596283347261</v>
      </c>
      <c r="F106" s="316" t="e">
        <f t="shared" ca="1" si="43"/>
        <v>#DIV/0!</v>
      </c>
      <c r="H106" s="306">
        <v>0.95</v>
      </c>
      <c r="J106" s="315" t="e">
        <f t="shared" ca="1" si="44"/>
        <v>#NAME?</v>
      </c>
      <c r="K106" s="315" t="e">
        <f t="shared" ca="1" si="45"/>
        <v>#NAME?</v>
      </c>
      <c r="L106" s="315">
        <f t="shared" si="46"/>
        <v>0.29218731621646254</v>
      </c>
      <c r="M106" s="316" t="e">
        <f t="shared" ca="1" si="47"/>
        <v>#NAME?</v>
      </c>
    </row>
    <row r="107" spans="1:13" x14ac:dyDescent="0.35">
      <c r="A107" s="306">
        <v>0.98</v>
      </c>
      <c r="C107" s="315" t="e">
        <f t="shared" ca="1" si="40"/>
        <v>#DIV/0!</v>
      </c>
      <c r="D107" s="315" t="e">
        <f t="shared" ca="1" si="41"/>
        <v>#DIV/0!</v>
      </c>
      <c r="E107" s="315">
        <f t="shared" si="42"/>
        <v>0.10356238513338903</v>
      </c>
      <c r="F107" s="316" t="e">
        <f t="shared" ca="1" si="43"/>
        <v>#DIV/0!</v>
      </c>
      <c r="H107" s="306">
        <v>0.98</v>
      </c>
      <c r="J107" s="315" t="e">
        <f t="shared" ca="1" si="44"/>
        <v>#NAME?</v>
      </c>
      <c r="K107" s="315" t="e">
        <f t="shared" ca="1" si="45"/>
        <v>#NAME?</v>
      </c>
      <c r="L107" s="315">
        <f t="shared" si="46"/>
        <v>0.11687492648658501</v>
      </c>
      <c r="M107" s="316" t="e">
        <f t="shared" ca="1" si="47"/>
        <v>#NAME?</v>
      </c>
    </row>
    <row r="108" spans="1:13" x14ac:dyDescent="0.35">
      <c r="A108" s="307">
        <v>0.98199999999999998</v>
      </c>
      <c r="C108" s="315" t="e">
        <f t="shared" ca="1" si="40"/>
        <v>#DIV/0!</v>
      </c>
      <c r="D108" s="315" t="e">
        <f t="shared" ca="1" si="41"/>
        <v>#DIV/0!</v>
      </c>
      <c r="E108" s="315">
        <f t="shared" si="42"/>
        <v>9.3206146620050126E-2</v>
      </c>
      <c r="F108" s="316" t="e">
        <f t="shared" ca="1" si="43"/>
        <v>#DIV/0!</v>
      </c>
      <c r="H108" s="307">
        <v>0.98199999999999998</v>
      </c>
      <c r="J108" s="315" t="e">
        <f t="shared" ca="1" si="44"/>
        <v>#NAME?</v>
      </c>
      <c r="K108" s="315" t="e">
        <f t="shared" ca="1" si="45"/>
        <v>#NAME?</v>
      </c>
      <c r="L108" s="315">
        <f t="shared" si="46"/>
        <v>0.10518743383792652</v>
      </c>
      <c r="M108" s="316" t="e">
        <f t="shared" ca="1" si="47"/>
        <v>#NAME?</v>
      </c>
    </row>
    <row r="109" spans="1:13" x14ac:dyDescent="0.35">
      <c r="A109" s="307">
        <v>0.98499999999999999</v>
      </c>
      <c r="C109" s="315" t="e">
        <f t="shared" ca="1" si="40"/>
        <v>#DIV/0!</v>
      </c>
      <c r="D109" s="315" t="e">
        <f t="shared" ca="1" si="41"/>
        <v>#DIV/0!</v>
      </c>
      <c r="E109" s="315">
        <f t="shared" si="42"/>
        <v>7.7671788850041779E-2</v>
      </c>
      <c r="F109" s="316" t="e">
        <f t="shared" ca="1" si="43"/>
        <v>#DIV/0!</v>
      </c>
      <c r="H109" s="307">
        <v>0.98499999999999999</v>
      </c>
      <c r="J109" s="315" t="e">
        <f t="shared" ca="1" si="44"/>
        <v>#NAME?</v>
      </c>
      <c r="K109" s="315" t="e">
        <f t="shared" ca="1" si="45"/>
        <v>#NAME?</v>
      </c>
      <c r="L109" s="315">
        <f t="shared" si="46"/>
        <v>8.7656194864938766E-2</v>
      </c>
      <c r="M109" s="316" t="e">
        <f t="shared" ca="1" si="47"/>
        <v>#NAME?</v>
      </c>
    </row>
    <row r="110" spans="1:13" x14ac:dyDescent="0.35">
      <c r="A110" s="307">
        <v>0.98699999999999999</v>
      </c>
      <c r="C110" s="315" t="e">
        <f t="shared" ca="1" si="40"/>
        <v>#DIV/0!</v>
      </c>
      <c r="D110" s="315" t="e">
        <f t="shared" ca="1" si="41"/>
        <v>#DIV/0!</v>
      </c>
      <c r="E110" s="315">
        <f t="shared" si="42"/>
        <v>6.7315550336702876E-2</v>
      </c>
      <c r="F110" s="316" t="e">
        <f t="shared" ca="1" si="43"/>
        <v>#DIV/0!</v>
      </c>
      <c r="H110" s="307">
        <v>0.98699999999999999</v>
      </c>
      <c r="J110" s="315" t="e">
        <f t="shared" ca="1" si="44"/>
        <v>#NAME?</v>
      </c>
      <c r="K110" s="315" t="e">
        <f t="shared" ca="1" si="45"/>
        <v>#NAME?</v>
      </c>
      <c r="L110" s="315">
        <f t="shared" si="46"/>
        <v>7.5968702216280257E-2</v>
      </c>
      <c r="M110" s="316" t="e">
        <f t="shared" ca="1" si="47"/>
        <v>#NAME?</v>
      </c>
    </row>
    <row r="111" spans="1:13" x14ac:dyDescent="0.35">
      <c r="A111" s="306">
        <v>0.99</v>
      </c>
      <c r="C111" s="315" t="e">
        <f t="shared" ca="1" si="40"/>
        <v>#DIV/0!</v>
      </c>
      <c r="D111" s="315" t="e">
        <f t="shared" ca="1" si="41"/>
        <v>#DIV/0!</v>
      </c>
      <c r="E111" s="315">
        <f t="shared" si="42"/>
        <v>5.1781192566694514E-2</v>
      </c>
      <c r="F111" s="316" t="e">
        <f t="shared" ca="1" si="43"/>
        <v>#DIV/0!</v>
      </c>
      <c r="H111" s="306">
        <v>0.99</v>
      </c>
      <c r="J111" s="315" t="e">
        <f t="shared" ca="1" si="44"/>
        <v>#NAME?</v>
      </c>
      <c r="K111" s="315" t="e">
        <f t="shared" ca="1" si="45"/>
        <v>#NAME?</v>
      </c>
      <c r="L111" s="315">
        <f t="shared" si="46"/>
        <v>5.8437463243292506E-2</v>
      </c>
      <c r="M111" s="316" t="e">
        <f t="shared" ca="1" si="47"/>
        <v>#NAME?</v>
      </c>
    </row>
    <row r="112" spans="1:13" x14ac:dyDescent="0.35">
      <c r="A112" s="307">
        <v>0.99299999999999999</v>
      </c>
      <c r="C112" s="315" t="e">
        <f t="shared" ca="1" si="40"/>
        <v>#DIV/0!</v>
      </c>
      <c r="D112" s="315" t="e">
        <f t="shared" ca="1" si="41"/>
        <v>#DIV/0!</v>
      </c>
      <c r="E112" s="315">
        <f t="shared" si="42"/>
        <v>3.624683479668616E-2</v>
      </c>
      <c r="F112" s="316" t="e">
        <f t="shared" ca="1" si="43"/>
        <v>#DIV/0!</v>
      </c>
      <c r="H112" s="307">
        <v>0.99299999999999999</v>
      </c>
      <c r="J112" s="315" t="e">
        <f t="shared" ca="1" si="44"/>
        <v>#NAME?</v>
      </c>
      <c r="K112" s="315" t="e">
        <f t="shared" ca="1" si="45"/>
        <v>#NAME?</v>
      </c>
      <c r="L112" s="315">
        <f t="shared" si="46"/>
        <v>4.0906224270304756E-2</v>
      </c>
      <c r="M112" s="316" t="e">
        <f t="shared" ca="1" si="47"/>
        <v>#NAME?</v>
      </c>
    </row>
    <row r="113" spans="1:13" ht="15" thickBot="1" x14ac:dyDescent="0.4">
      <c r="A113" s="310">
        <v>0.997</v>
      </c>
      <c r="B113" s="298"/>
      <c r="C113" s="317" t="e">
        <f t="shared" ca="1" si="40"/>
        <v>#DIV/0!</v>
      </c>
      <c r="D113" s="317" t="e">
        <f t="shared" ca="1" si="41"/>
        <v>#DIV/0!</v>
      </c>
      <c r="E113" s="317">
        <f t="shared" si="42"/>
        <v>1.5534357770008356E-2</v>
      </c>
      <c r="F113" s="318" t="e">
        <f t="shared" ca="1" si="43"/>
        <v>#DIV/0!</v>
      </c>
      <c r="H113" s="310">
        <v>0.997</v>
      </c>
      <c r="I113" s="298"/>
      <c r="J113" s="317" t="e">
        <f t="shared" ca="1" si="44"/>
        <v>#NAME?</v>
      </c>
      <c r="K113" s="317" t="e">
        <f t="shared" ca="1" si="45"/>
        <v>#NAME?</v>
      </c>
      <c r="L113" s="317">
        <f t="shared" si="46"/>
        <v>1.7531238972987754E-2</v>
      </c>
      <c r="M113" s="318" t="e">
        <f t="shared" ca="1" si="47"/>
        <v>#NAME?</v>
      </c>
    </row>
    <row r="114" spans="1:13" ht="15" thickBot="1" x14ac:dyDescent="0.4"/>
    <row r="115" spans="1:13" x14ac:dyDescent="0.35">
      <c r="A115" s="308" t="s">
        <v>289</v>
      </c>
      <c r="B115" s="309" t="s">
        <v>199</v>
      </c>
      <c r="C115" s="311"/>
      <c r="D115" s="311"/>
      <c r="E115" s="311"/>
      <c r="F115" s="312"/>
      <c r="H115" s="308" t="s">
        <v>289</v>
      </c>
      <c r="I115" s="309" t="s">
        <v>199</v>
      </c>
      <c r="J115" s="311"/>
      <c r="K115" s="311"/>
      <c r="L115" s="311"/>
      <c r="M115" s="312"/>
    </row>
    <row r="116" spans="1:13" x14ac:dyDescent="0.35">
      <c r="A116" s="305" t="s">
        <v>290</v>
      </c>
      <c r="B116" t="s">
        <v>202</v>
      </c>
      <c r="C116" s="313"/>
      <c r="D116" s="313"/>
      <c r="E116" s="313"/>
      <c r="F116" s="314"/>
      <c r="H116" s="305" t="s">
        <v>290</v>
      </c>
      <c r="I116" t="s">
        <v>201</v>
      </c>
      <c r="J116" s="313"/>
      <c r="K116" s="313"/>
      <c r="L116" s="313"/>
      <c r="M116" s="314"/>
    </row>
    <row r="117" spans="1:13" x14ac:dyDescent="0.35">
      <c r="A117" s="305" t="s">
        <v>291</v>
      </c>
      <c r="C117" s="313">
        <f>C3</f>
        <v>1</v>
      </c>
      <c r="D117" s="313">
        <f>D3</f>
        <v>1</v>
      </c>
      <c r="E117" s="313">
        <f>E3</f>
        <v>1</v>
      </c>
      <c r="F117" s="314">
        <f>F3</f>
        <v>1</v>
      </c>
      <c r="H117" s="305" t="s">
        <v>291</v>
      </c>
      <c r="J117" s="313">
        <f>C3</f>
        <v>1</v>
      </c>
      <c r="K117" s="313">
        <f>D3</f>
        <v>1</v>
      </c>
      <c r="L117" s="313">
        <f>E3</f>
        <v>1</v>
      </c>
      <c r="M117" s="314">
        <f>F3</f>
        <v>1</v>
      </c>
    </row>
    <row r="118" spans="1:13" x14ac:dyDescent="0.35">
      <c r="A118" s="305" t="s">
        <v>292</v>
      </c>
      <c r="C118" s="313">
        <f>Devices!C32*C3</f>
        <v>0</v>
      </c>
      <c r="D118" s="313">
        <f>Devices!D32*D3</f>
        <v>0</v>
      </c>
      <c r="E118" s="313">
        <f>Devices!E32*E3</f>
        <v>1.5</v>
      </c>
      <c r="F118" s="314">
        <f>Devices!F32*F3</f>
        <v>0</v>
      </c>
      <c r="H118" s="305" t="s">
        <v>292</v>
      </c>
      <c r="J118" s="313">
        <f>Devices!C32*C3</f>
        <v>0</v>
      </c>
      <c r="K118" s="313">
        <f>Devices!D32*D3</f>
        <v>0</v>
      </c>
      <c r="L118" s="313">
        <f>Devices!E32*E3</f>
        <v>1.5</v>
      </c>
      <c r="M118" s="314">
        <f>Devices!F32*F3</f>
        <v>0</v>
      </c>
    </row>
    <row r="119" spans="1:13" x14ac:dyDescent="0.35">
      <c r="A119" s="305" t="s">
        <v>293</v>
      </c>
      <c r="C119" s="313">
        <f>Devices!C1</f>
        <v>1</v>
      </c>
      <c r="D119" s="313">
        <f>Devices!D1</f>
        <v>2</v>
      </c>
      <c r="E119" s="313">
        <f>Devices!E1</f>
        <v>3</v>
      </c>
      <c r="F119" s="314">
        <f>Devices!F1</f>
        <v>4</v>
      </c>
      <c r="H119" s="305" t="s">
        <v>293</v>
      </c>
      <c r="J119" s="313">
        <f>Devices!C1</f>
        <v>1</v>
      </c>
      <c r="K119" s="313">
        <f>Devices!D1</f>
        <v>2</v>
      </c>
      <c r="L119" s="313">
        <f>Devices!E1</f>
        <v>3</v>
      </c>
      <c r="M119" s="314">
        <f>Devices!F1</f>
        <v>4</v>
      </c>
    </row>
    <row r="120" spans="1:13" x14ac:dyDescent="0.35">
      <c r="A120" s="305" t="s">
        <v>294</v>
      </c>
      <c r="C120" s="313"/>
      <c r="D120" s="313"/>
      <c r="E120" s="313"/>
      <c r="F120" s="314"/>
      <c r="H120" s="305" t="s">
        <v>294</v>
      </c>
      <c r="J120" s="313"/>
      <c r="K120" s="313"/>
      <c r="L120" s="313"/>
      <c r="M120" s="314"/>
    </row>
    <row r="121" spans="1:13" ht="29" x14ac:dyDescent="0.35">
      <c r="A121" s="305" t="s">
        <v>295</v>
      </c>
      <c r="C121" s="313">
        <f>Devices!C2</f>
        <v>0</v>
      </c>
      <c r="D121" s="313">
        <f>Devices!D2</f>
        <v>0</v>
      </c>
      <c r="E121" s="313" t="str">
        <f>Devices!E2</f>
        <v>Magallanes</v>
      </c>
      <c r="F121" s="314">
        <f>Devices!F2</f>
        <v>0</v>
      </c>
      <c r="H121" s="305" t="s">
        <v>295</v>
      </c>
      <c r="J121" s="313">
        <f>Devices!C2</f>
        <v>0</v>
      </c>
      <c r="K121" s="313">
        <f>Devices!D2</f>
        <v>0</v>
      </c>
      <c r="L121" s="313" t="str">
        <f>Devices!E2</f>
        <v>Magallanes</v>
      </c>
      <c r="M121" s="314">
        <f>Devices!F2</f>
        <v>0</v>
      </c>
    </row>
    <row r="122" spans="1:13" x14ac:dyDescent="0.35">
      <c r="A122" s="306">
        <v>0</v>
      </c>
      <c r="C122" s="315" t="e">
        <f ca="1">ERM_1!U45*C117</f>
        <v>#DIV/0!</v>
      </c>
      <c r="D122" s="315" t="e">
        <f ca="1">ERM_2!U45*D117</f>
        <v>#DIV/0!</v>
      </c>
      <c r="E122" s="315">
        <f>ERM_3!U45*E117</f>
        <v>1.1320203857620059</v>
      </c>
      <c r="F122" s="316" t="e">
        <f ca="1">ERM_4!U45*F117</f>
        <v>#DIV/0!</v>
      </c>
      <c r="H122" s="306">
        <v>0</v>
      </c>
      <c r="J122" s="315" t="e">
        <f ca="1">CRM_1!U45*J117</f>
        <v>#NAME?</v>
      </c>
      <c r="K122" s="315" t="e">
        <f ca="1">CRM_2!U45*K117</f>
        <v>#NAME?</v>
      </c>
      <c r="L122" s="315">
        <f>CRM_3!U45*L117</f>
        <v>1.092897548674667</v>
      </c>
      <c r="M122" s="316" t="e">
        <f ca="1">CRM_4!U45*M117</f>
        <v>#NAME?</v>
      </c>
    </row>
    <row r="123" spans="1:13" x14ac:dyDescent="0.35">
      <c r="A123" s="306">
        <v>0.5</v>
      </c>
      <c r="C123" s="315" t="e">
        <f t="shared" ref="C123:C132" ca="1" si="48">C$122*(1-A123)</f>
        <v>#DIV/0!</v>
      </c>
      <c r="D123" s="315" t="e">
        <f t="shared" ref="D123:D132" ca="1" si="49">D$122*(1-A123)</f>
        <v>#DIV/0!</v>
      </c>
      <c r="E123" s="315">
        <f t="shared" ref="E123:E132" si="50">E$122*(1-A123)</f>
        <v>0.56601019288100296</v>
      </c>
      <c r="F123" s="316" t="e">
        <f t="shared" ref="F123:F132" ca="1" si="51">F$122*(1-A123)</f>
        <v>#DIV/0!</v>
      </c>
      <c r="H123" s="306">
        <v>0.5</v>
      </c>
      <c r="J123" s="315" t="e">
        <f t="shared" ref="J123:J132" ca="1" si="52">J$122*(1-H123)</f>
        <v>#NAME?</v>
      </c>
      <c r="K123" s="315" t="e">
        <f t="shared" ref="K123:K132" ca="1" si="53">K$122*(1-H123)</f>
        <v>#NAME?</v>
      </c>
      <c r="L123" s="315">
        <f t="shared" ref="L123:L132" si="54">L$122*(1-H123)</f>
        <v>0.54644877433733352</v>
      </c>
      <c r="M123" s="316" t="e">
        <f t="shared" ref="M123:M132" ca="1" si="55">M$122*(1-H123)</f>
        <v>#NAME?</v>
      </c>
    </row>
    <row r="124" spans="1:13" x14ac:dyDescent="0.35">
      <c r="A124" s="306">
        <v>0.9</v>
      </c>
      <c r="C124" s="315" t="e">
        <f t="shared" ca="1" si="48"/>
        <v>#DIV/0!</v>
      </c>
      <c r="D124" s="315" t="e">
        <f t="shared" ca="1" si="49"/>
        <v>#DIV/0!</v>
      </c>
      <c r="E124" s="315">
        <f t="shared" si="50"/>
        <v>0.11320203857620056</v>
      </c>
      <c r="F124" s="316" t="e">
        <f t="shared" ca="1" si="51"/>
        <v>#DIV/0!</v>
      </c>
      <c r="H124" s="306">
        <v>0.9</v>
      </c>
      <c r="J124" s="315" t="e">
        <f t="shared" ca="1" si="52"/>
        <v>#NAME?</v>
      </c>
      <c r="K124" s="315" t="e">
        <f t="shared" ca="1" si="53"/>
        <v>#NAME?</v>
      </c>
      <c r="L124" s="315">
        <f t="shared" si="54"/>
        <v>0.10928975486746668</v>
      </c>
      <c r="M124" s="316" t="e">
        <f t="shared" ca="1" si="55"/>
        <v>#NAME?</v>
      </c>
    </row>
    <row r="125" spans="1:13" x14ac:dyDescent="0.35">
      <c r="A125" s="306">
        <v>0.95</v>
      </c>
      <c r="C125" s="315" t="e">
        <f t="shared" ca="1" si="48"/>
        <v>#DIV/0!</v>
      </c>
      <c r="D125" s="315" t="e">
        <f t="shared" ca="1" si="49"/>
        <v>#DIV/0!</v>
      </c>
      <c r="E125" s="315">
        <f t="shared" si="50"/>
        <v>5.6601019288100345E-2</v>
      </c>
      <c r="F125" s="316" t="e">
        <f t="shared" ca="1" si="51"/>
        <v>#DIV/0!</v>
      </c>
      <c r="H125" s="306">
        <v>0.95</v>
      </c>
      <c r="J125" s="315" t="e">
        <f t="shared" ca="1" si="52"/>
        <v>#NAME?</v>
      </c>
      <c r="K125" s="315" t="e">
        <f t="shared" ca="1" si="53"/>
        <v>#NAME?</v>
      </c>
      <c r="L125" s="315">
        <f t="shared" si="54"/>
        <v>5.4644877433733398E-2</v>
      </c>
      <c r="M125" s="316" t="e">
        <f t="shared" ca="1" si="55"/>
        <v>#NAME?</v>
      </c>
    </row>
    <row r="126" spans="1:13" x14ac:dyDescent="0.35">
      <c r="A126" s="306">
        <v>0.98</v>
      </c>
      <c r="C126" s="315" t="e">
        <f t="shared" ca="1" si="48"/>
        <v>#DIV/0!</v>
      </c>
      <c r="D126" s="315" t="e">
        <f t="shared" ca="1" si="49"/>
        <v>#DIV/0!</v>
      </c>
      <c r="E126" s="315">
        <f t="shared" si="50"/>
        <v>2.2640407715240139E-2</v>
      </c>
      <c r="F126" s="316" t="e">
        <f t="shared" ca="1" si="51"/>
        <v>#DIV/0!</v>
      </c>
      <c r="H126" s="306">
        <v>0.98</v>
      </c>
      <c r="J126" s="315" t="e">
        <f t="shared" ca="1" si="52"/>
        <v>#NAME?</v>
      </c>
      <c r="K126" s="315" t="e">
        <f t="shared" ca="1" si="53"/>
        <v>#NAME?</v>
      </c>
      <c r="L126" s="315">
        <f t="shared" si="54"/>
        <v>2.185795097349336E-2</v>
      </c>
      <c r="M126" s="316" t="e">
        <f t="shared" ca="1" si="55"/>
        <v>#NAME?</v>
      </c>
    </row>
    <row r="127" spans="1:13" x14ac:dyDescent="0.35">
      <c r="A127" s="307">
        <v>0.98199999999999998</v>
      </c>
      <c r="C127" s="315" t="e">
        <f t="shared" ca="1" si="48"/>
        <v>#DIV/0!</v>
      </c>
      <c r="D127" s="315" t="e">
        <f t="shared" ca="1" si="49"/>
        <v>#DIV/0!</v>
      </c>
      <c r="E127" s="315">
        <f t="shared" si="50"/>
        <v>2.0376366943716126E-2</v>
      </c>
      <c r="F127" s="316" t="e">
        <f t="shared" ca="1" si="51"/>
        <v>#DIV/0!</v>
      </c>
      <c r="H127" s="307">
        <v>0.98199999999999998</v>
      </c>
      <c r="J127" s="315" t="e">
        <f t="shared" ca="1" si="52"/>
        <v>#NAME?</v>
      </c>
      <c r="K127" s="315" t="e">
        <f t="shared" ca="1" si="53"/>
        <v>#NAME?</v>
      </c>
      <c r="L127" s="315">
        <f t="shared" si="54"/>
        <v>1.9672155876144026E-2</v>
      </c>
      <c r="M127" s="316" t="e">
        <f t="shared" ca="1" si="55"/>
        <v>#NAME?</v>
      </c>
    </row>
    <row r="128" spans="1:13" x14ac:dyDescent="0.35">
      <c r="A128" s="307">
        <v>0.98499999999999999</v>
      </c>
      <c r="C128" s="315" t="e">
        <f t="shared" ca="1" si="48"/>
        <v>#DIV/0!</v>
      </c>
      <c r="D128" s="315" t="e">
        <f t="shared" ca="1" si="49"/>
        <v>#DIV/0!</v>
      </c>
      <c r="E128" s="315">
        <f t="shared" si="50"/>
        <v>1.6980305786430103E-2</v>
      </c>
      <c r="F128" s="316" t="e">
        <f t="shared" ca="1" si="51"/>
        <v>#DIV/0!</v>
      </c>
      <c r="H128" s="307">
        <v>0.98499999999999999</v>
      </c>
      <c r="J128" s="315" t="e">
        <f t="shared" ca="1" si="52"/>
        <v>#NAME?</v>
      </c>
      <c r="K128" s="315" t="e">
        <f t="shared" ca="1" si="53"/>
        <v>#NAME?</v>
      </c>
      <c r="L128" s="315">
        <f t="shared" si="54"/>
        <v>1.6393463230120021E-2</v>
      </c>
      <c r="M128" s="316" t="e">
        <f t="shared" ca="1" si="55"/>
        <v>#NAME?</v>
      </c>
    </row>
    <row r="129" spans="1:13" x14ac:dyDescent="0.35">
      <c r="A129" s="307">
        <v>0.98699999999999999</v>
      </c>
      <c r="C129" s="315" t="e">
        <f t="shared" ca="1" si="48"/>
        <v>#DIV/0!</v>
      </c>
      <c r="D129" s="315" t="e">
        <f t="shared" ca="1" si="49"/>
        <v>#DIV/0!</v>
      </c>
      <c r="E129" s="315">
        <f t="shared" si="50"/>
        <v>1.4716265014906089E-2</v>
      </c>
      <c r="F129" s="316" t="e">
        <f t="shared" ca="1" si="51"/>
        <v>#DIV/0!</v>
      </c>
      <c r="H129" s="307">
        <v>0.98699999999999999</v>
      </c>
      <c r="J129" s="315" t="e">
        <f t="shared" ca="1" si="52"/>
        <v>#NAME?</v>
      </c>
      <c r="K129" s="315" t="e">
        <f t="shared" ca="1" si="53"/>
        <v>#NAME?</v>
      </c>
      <c r="L129" s="315">
        <f t="shared" si="54"/>
        <v>1.4207668132770685E-2</v>
      </c>
      <c r="M129" s="316" t="e">
        <f t="shared" ca="1" si="55"/>
        <v>#NAME?</v>
      </c>
    </row>
    <row r="130" spans="1:13" x14ac:dyDescent="0.35">
      <c r="A130" s="306">
        <v>0.99</v>
      </c>
      <c r="C130" s="315" t="e">
        <f t="shared" ca="1" si="48"/>
        <v>#DIV/0!</v>
      </c>
      <c r="D130" s="315" t="e">
        <f t="shared" ca="1" si="49"/>
        <v>#DIV/0!</v>
      </c>
      <c r="E130" s="315">
        <f t="shared" si="50"/>
        <v>1.132020385762007E-2</v>
      </c>
      <c r="F130" s="316" t="e">
        <f t="shared" ca="1" si="51"/>
        <v>#DIV/0!</v>
      </c>
      <c r="H130" s="306">
        <v>0.99</v>
      </c>
      <c r="J130" s="315" t="e">
        <f t="shared" ca="1" si="52"/>
        <v>#NAME?</v>
      </c>
      <c r="K130" s="315" t="e">
        <f t="shared" ca="1" si="53"/>
        <v>#NAME?</v>
      </c>
      <c r="L130" s="315">
        <f t="shared" si="54"/>
        <v>1.092897548674668E-2</v>
      </c>
      <c r="M130" s="316" t="e">
        <f t="shared" ca="1" si="55"/>
        <v>#NAME?</v>
      </c>
    </row>
    <row r="131" spans="1:13" x14ac:dyDescent="0.35">
      <c r="A131" s="307">
        <v>0.99299999999999999</v>
      </c>
      <c r="C131" s="315" t="e">
        <f t="shared" ca="1" si="48"/>
        <v>#DIV/0!</v>
      </c>
      <c r="D131" s="315" t="e">
        <f t="shared" ca="1" si="49"/>
        <v>#DIV/0!</v>
      </c>
      <c r="E131" s="315">
        <f t="shared" si="50"/>
        <v>7.924142700334048E-3</v>
      </c>
      <c r="F131" s="316" t="e">
        <f t="shared" ca="1" si="51"/>
        <v>#DIV/0!</v>
      </c>
      <c r="H131" s="307">
        <v>0.99299999999999999</v>
      </c>
      <c r="J131" s="315" t="e">
        <f t="shared" ca="1" si="52"/>
        <v>#NAME?</v>
      </c>
      <c r="K131" s="315" t="e">
        <f t="shared" ca="1" si="53"/>
        <v>#NAME?</v>
      </c>
      <c r="L131" s="315">
        <f t="shared" si="54"/>
        <v>7.6502828407226759E-3</v>
      </c>
      <c r="M131" s="316" t="e">
        <f t="shared" ca="1" si="55"/>
        <v>#NAME?</v>
      </c>
    </row>
    <row r="132" spans="1:13" ht="15" thickBot="1" x14ac:dyDescent="0.4">
      <c r="A132" s="310">
        <v>0.997</v>
      </c>
      <c r="B132" s="298"/>
      <c r="C132" s="317" t="e">
        <f t="shared" ca="1" si="48"/>
        <v>#DIV/0!</v>
      </c>
      <c r="D132" s="317" t="e">
        <f t="shared" ca="1" si="49"/>
        <v>#DIV/0!</v>
      </c>
      <c r="E132" s="317">
        <f t="shared" si="50"/>
        <v>3.3960611572860207E-3</v>
      </c>
      <c r="F132" s="318" t="e">
        <f t="shared" ca="1" si="51"/>
        <v>#DIV/0!</v>
      </c>
      <c r="H132" s="310">
        <v>0.997</v>
      </c>
      <c r="I132" s="298"/>
      <c r="J132" s="317" t="e">
        <f t="shared" ca="1" si="52"/>
        <v>#NAME?</v>
      </c>
      <c r="K132" s="317" t="e">
        <f t="shared" ca="1" si="53"/>
        <v>#NAME?</v>
      </c>
      <c r="L132" s="317">
        <f t="shared" si="54"/>
        <v>3.278692646024004E-3</v>
      </c>
      <c r="M132" s="318" t="e">
        <f t="shared" ca="1" si="55"/>
        <v>#NAME?</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CE7BB-52D5-4914-B138-A798DFBF6711}">
  <dimension ref="A1:M132"/>
  <sheetViews>
    <sheetView tabSelected="1" workbookViewId="0">
      <selection activeCell="P6" sqref="P6"/>
    </sheetView>
  </sheetViews>
  <sheetFormatPr defaultRowHeight="14.5" x14ac:dyDescent="0.35"/>
  <cols>
    <col min="3" max="4" width="0" hidden="1" customWidth="1"/>
    <col min="6" max="6" width="0" hidden="1" customWidth="1"/>
    <col min="10" max="11" width="0" hidden="1" customWidth="1"/>
    <col min="13" max="13" width="0" hidden="1" customWidth="1"/>
  </cols>
  <sheetData>
    <row r="1" spans="1:13" x14ac:dyDescent="0.35">
      <c r="A1" s="308" t="s">
        <v>289</v>
      </c>
      <c r="B1" s="309" t="s">
        <v>77</v>
      </c>
      <c r="C1" s="311"/>
      <c r="D1" s="311"/>
      <c r="E1" s="311"/>
      <c r="F1" s="312"/>
      <c r="H1" s="308" t="s">
        <v>289</v>
      </c>
      <c r="I1" s="309" t="s">
        <v>77</v>
      </c>
      <c r="J1" s="311"/>
      <c r="K1" s="311"/>
      <c r="L1" s="311"/>
      <c r="M1" s="312"/>
    </row>
    <row r="2" spans="1:13" x14ac:dyDescent="0.35">
      <c r="A2" s="305" t="s">
        <v>290</v>
      </c>
      <c r="B2" t="s">
        <v>202</v>
      </c>
      <c r="C2" s="313"/>
      <c r="D2" s="313"/>
      <c r="E2" s="313"/>
      <c r="F2" s="314"/>
      <c r="H2" s="305" t="s">
        <v>290</v>
      </c>
      <c r="I2" t="s">
        <v>201</v>
      </c>
      <c r="J2" s="313"/>
      <c r="K2" s="313"/>
      <c r="L2" s="313"/>
      <c r="M2" s="314"/>
    </row>
    <row r="3" spans="1:13" x14ac:dyDescent="0.35">
      <c r="A3" s="305" t="s">
        <v>291</v>
      </c>
      <c r="C3" s="313">
        <f>Devices!C33</f>
        <v>0</v>
      </c>
      <c r="D3" s="319">
        <f>Devices!D33</f>
        <v>0</v>
      </c>
      <c r="E3" s="319">
        <f>Devices!E33</f>
        <v>4</v>
      </c>
      <c r="F3" s="320">
        <f>Devices!F33</f>
        <v>0</v>
      </c>
      <c r="H3" s="305" t="s">
        <v>291</v>
      </c>
      <c r="J3" s="313">
        <f>C3</f>
        <v>0</v>
      </c>
      <c r="K3" s="319">
        <f>D3</f>
        <v>0</v>
      </c>
      <c r="L3" s="319">
        <f>E3</f>
        <v>4</v>
      </c>
      <c r="M3" s="320">
        <f>F3</f>
        <v>0</v>
      </c>
    </row>
    <row r="4" spans="1:13" x14ac:dyDescent="0.35">
      <c r="A4" s="305" t="s">
        <v>292</v>
      </c>
      <c r="C4" s="313">
        <f>Devices!C32*C3</f>
        <v>0</v>
      </c>
      <c r="D4" s="313">
        <f>Devices!D32*D3</f>
        <v>0</v>
      </c>
      <c r="E4" s="313">
        <f>Devices!E32*E3</f>
        <v>6</v>
      </c>
      <c r="F4" s="314">
        <f>Devices!F32*F3</f>
        <v>0</v>
      </c>
      <c r="H4" s="305" t="s">
        <v>292</v>
      </c>
      <c r="J4" s="313">
        <f>Devices!C32*C3</f>
        <v>0</v>
      </c>
      <c r="K4" s="313">
        <f>Devices!D32*D3</f>
        <v>0</v>
      </c>
      <c r="L4" s="313">
        <f>Devices!E32*E3</f>
        <v>6</v>
      </c>
      <c r="M4" s="314">
        <f>Devices!F32*F3</f>
        <v>0</v>
      </c>
    </row>
    <row r="5" spans="1:13" x14ac:dyDescent="0.35">
      <c r="A5" s="305" t="s">
        <v>293</v>
      </c>
      <c r="C5" s="313">
        <f>Devices!C1</f>
        <v>1</v>
      </c>
      <c r="D5" s="313">
        <f>Devices!D1</f>
        <v>2</v>
      </c>
      <c r="E5" s="313">
        <f>Devices!E1</f>
        <v>3</v>
      </c>
      <c r="F5" s="314">
        <f>Devices!F1</f>
        <v>4</v>
      </c>
      <c r="H5" s="305" t="s">
        <v>293</v>
      </c>
      <c r="J5" s="313">
        <f>Devices!C1</f>
        <v>1</v>
      </c>
      <c r="K5" s="313">
        <f>Devices!D1</f>
        <v>2</v>
      </c>
      <c r="L5" s="313">
        <f>Devices!E1</f>
        <v>3</v>
      </c>
      <c r="M5" s="314">
        <f>Devices!F1</f>
        <v>4</v>
      </c>
    </row>
    <row r="6" spans="1:13" x14ac:dyDescent="0.35">
      <c r="A6" s="305" t="s">
        <v>294</v>
      </c>
      <c r="C6" s="313"/>
      <c r="D6" s="313"/>
      <c r="E6" s="313"/>
      <c r="F6" s="314"/>
      <c r="H6" s="305" t="s">
        <v>294</v>
      </c>
      <c r="J6" s="313"/>
      <c r="K6" s="313"/>
      <c r="L6" s="313"/>
      <c r="M6" s="314"/>
    </row>
    <row r="7" spans="1:13" ht="29" x14ac:dyDescent="0.35">
      <c r="A7" s="305" t="s">
        <v>295</v>
      </c>
      <c r="C7" s="313">
        <f>Devices!C2</f>
        <v>0</v>
      </c>
      <c r="D7" s="313">
        <f>Devices!D2</f>
        <v>0</v>
      </c>
      <c r="E7" s="313" t="str">
        <f>Devices!E2</f>
        <v>Magallanes</v>
      </c>
      <c r="F7" s="314">
        <f>Devices!F2</f>
        <v>0</v>
      </c>
      <c r="H7" s="305" t="s">
        <v>295</v>
      </c>
      <c r="J7" s="313">
        <f>Devices!C2</f>
        <v>0</v>
      </c>
      <c r="K7" s="313">
        <f>Devices!D2</f>
        <v>0</v>
      </c>
      <c r="L7" s="313" t="str">
        <f>Devices!E2</f>
        <v>Magallanes</v>
      </c>
      <c r="M7" s="314">
        <f>Devices!F2</f>
        <v>0</v>
      </c>
    </row>
    <row r="8" spans="1:13" x14ac:dyDescent="0.35">
      <c r="A8" s="306">
        <v>0</v>
      </c>
      <c r="C8" s="315" t="e">
        <f ca="1">ERM_1!I45*C3</f>
        <v>#DIV/0!</v>
      </c>
      <c r="D8" s="315" t="e">
        <f ca="1">ERM_2!I45*D3</f>
        <v>#DIV/0!</v>
      </c>
      <c r="E8" s="315">
        <f>ERM_3!I45*E3</f>
        <v>549.05965307765518</v>
      </c>
      <c r="F8" s="316" t="e">
        <f ca="1">ERM_4!I45*F3</f>
        <v>#DIV/0!</v>
      </c>
      <c r="H8" s="306">
        <v>0</v>
      </c>
      <c r="J8" s="315" t="e">
        <f ca="1">CRM_1!I45*J3</f>
        <v>#NAME?</v>
      </c>
      <c r="K8" s="315" t="e">
        <f ca="1">CRM_2!I45*K3</f>
        <v>#NAME?</v>
      </c>
      <c r="L8" s="315">
        <f>CRM_3!I45*L3</f>
        <v>475.72438007058952</v>
      </c>
      <c r="M8" s="316" t="e">
        <f ca="1">CRM_4!I45*M3</f>
        <v>#NAME?</v>
      </c>
    </row>
    <row r="9" spans="1:13" x14ac:dyDescent="0.35">
      <c r="A9" s="306">
        <v>0.5</v>
      </c>
      <c r="C9" s="315" t="e">
        <f t="shared" ref="C9:C18" ca="1" si="0">C$8*(1-A9)</f>
        <v>#DIV/0!</v>
      </c>
      <c r="D9" s="315" t="e">
        <f t="shared" ref="D9:D18" ca="1" si="1">D$8*(1-A9)</f>
        <v>#DIV/0!</v>
      </c>
      <c r="E9" s="315">
        <f t="shared" ref="E9:E18" si="2">E$8*(1-A9)</f>
        <v>274.52982653882759</v>
      </c>
      <c r="F9" s="316" t="e">
        <f t="shared" ref="F9:F18" ca="1" si="3">F$8*(1-A9)</f>
        <v>#DIV/0!</v>
      </c>
      <c r="H9" s="306">
        <v>0.5</v>
      </c>
      <c r="J9" s="315" t="e">
        <f t="shared" ref="J9:J18" ca="1" si="4">J$8*(1-H9)</f>
        <v>#NAME?</v>
      </c>
      <c r="K9" s="315" t="e">
        <f t="shared" ref="K9:K18" ca="1" si="5">K$8*(1-H9)</f>
        <v>#NAME?</v>
      </c>
      <c r="L9" s="315">
        <f t="shared" ref="L9:L18" si="6">L$8*(1-H9)</f>
        <v>237.86219003529476</v>
      </c>
      <c r="M9" s="316" t="e">
        <f t="shared" ref="M9:M18" ca="1" si="7">M$8*(1-H9)</f>
        <v>#NAME?</v>
      </c>
    </row>
    <row r="10" spans="1:13" x14ac:dyDescent="0.35">
      <c r="A10" s="306">
        <v>0.9</v>
      </c>
      <c r="C10" s="315" t="e">
        <f t="shared" ca="1" si="0"/>
        <v>#DIV/0!</v>
      </c>
      <c r="D10" s="315" t="e">
        <f t="shared" ca="1" si="1"/>
        <v>#DIV/0!</v>
      </c>
      <c r="E10" s="315">
        <f t="shared" si="2"/>
        <v>54.905965307765506</v>
      </c>
      <c r="F10" s="316" t="e">
        <f t="shared" ca="1" si="3"/>
        <v>#DIV/0!</v>
      </c>
      <c r="H10" s="306">
        <v>0.9</v>
      </c>
      <c r="J10" s="315" t="e">
        <f t="shared" ca="1" si="4"/>
        <v>#NAME?</v>
      </c>
      <c r="K10" s="315" t="e">
        <f t="shared" ca="1" si="5"/>
        <v>#NAME?</v>
      </c>
      <c r="L10" s="315">
        <f t="shared" si="6"/>
        <v>47.572438007058942</v>
      </c>
      <c r="M10" s="316" t="e">
        <f t="shared" ca="1" si="7"/>
        <v>#NAME?</v>
      </c>
    </row>
    <row r="11" spans="1:13" x14ac:dyDescent="0.35">
      <c r="A11" s="306">
        <v>0.95</v>
      </c>
      <c r="C11" s="315" t="e">
        <f t="shared" ca="1" si="0"/>
        <v>#DIV/0!</v>
      </c>
      <c r="D11" s="315" t="e">
        <f t="shared" ca="1" si="1"/>
        <v>#DIV/0!</v>
      </c>
      <c r="E11" s="315">
        <f t="shared" si="2"/>
        <v>27.452982653882785</v>
      </c>
      <c r="F11" s="316" t="e">
        <f t="shared" ca="1" si="3"/>
        <v>#DIV/0!</v>
      </c>
      <c r="H11" s="306">
        <v>0.95</v>
      </c>
      <c r="J11" s="315" t="e">
        <f t="shared" ca="1" si="4"/>
        <v>#NAME?</v>
      </c>
      <c r="K11" s="315" t="e">
        <f t="shared" ca="1" si="5"/>
        <v>#NAME?</v>
      </c>
      <c r="L11" s="315">
        <f t="shared" si="6"/>
        <v>23.786219003529496</v>
      </c>
      <c r="M11" s="316" t="e">
        <f t="shared" ca="1" si="7"/>
        <v>#NAME?</v>
      </c>
    </row>
    <row r="12" spans="1:13" x14ac:dyDescent="0.35">
      <c r="A12" s="306">
        <v>0.98</v>
      </c>
      <c r="C12" s="315" t="e">
        <f t="shared" ca="1" si="0"/>
        <v>#DIV/0!</v>
      </c>
      <c r="D12" s="315" t="e">
        <f t="shared" ca="1" si="1"/>
        <v>#DIV/0!</v>
      </c>
      <c r="E12" s="315">
        <f t="shared" si="2"/>
        <v>10.981193061553114</v>
      </c>
      <c r="F12" s="316" t="e">
        <f t="shared" ca="1" si="3"/>
        <v>#DIV/0!</v>
      </c>
      <c r="H12" s="306">
        <v>0.98</v>
      </c>
      <c r="J12" s="315" t="e">
        <f t="shared" ca="1" si="4"/>
        <v>#NAME?</v>
      </c>
      <c r="K12" s="315" t="e">
        <f t="shared" ca="1" si="5"/>
        <v>#NAME?</v>
      </c>
      <c r="L12" s="315">
        <f t="shared" si="6"/>
        <v>9.5144876014117994</v>
      </c>
      <c r="M12" s="316" t="e">
        <f t="shared" ca="1" si="7"/>
        <v>#NAME?</v>
      </c>
    </row>
    <row r="13" spans="1:13" x14ac:dyDescent="0.35">
      <c r="A13" s="307">
        <v>0.98199999999999998</v>
      </c>
      <c r="C13" s="315" t="e">
        <f t="shared" ca="1" si="0"/>
        <v>#DIV/0!</v>
      </c>
      <c r="D13" s="315" t="e">
        <f t="shared" ca="1" si="1"/>
        <v>#DIV/0!</v>
      </c>
      <c r="E13" s="315">
        <f t="shared" si="2"/>
        <v>9.8830737553978025</v>
      </c>
      <c r="F13" s="316" t="e">
        <f t="shared" ca="1" si="3"/>
        <v>#DIV/0!</v>
      </c>
      <c r="H13" s="307">
        <v>0.98199999999999998</v>
      </c>
      <c r="J13" s="315" t="e">
        <f t="shared" ca="1" si="4"/>
        <v>#NAME?</v>
      </c>
      <c r="K13" s="315" t="e">
        <f t="shared" ca="1" si="5"/>
        <v>#NAME?</v>
      </c>
      <c r="L13" s="315">
        <f t="shared" si="6"/>
        <v>8.5630388412706182</v>
      </c>
      <c r="M13" s="316" t="e">
        <f t="shared" ca="1" si="7"/>
        <v>#NAME?</v>
      </c>
    </row>
    <row r="14" spans="1:13" x14ac:dyDescent="0.35">
      <c r="A14" s="307">
        <v>0.98499999999999999</v>
      </c>
      <c r="C14" s="315" t="e">
        <f t="shared" ca="1" si="0"/>
        <v>#DIV/0!</v>
      </c>
      <c r="D14" s="315" t="e">
        <f t="shared" ca="1" si="1"/>
        <v>#DIV/0!</v>
      </c>
      <c r="E14" s="315">
        <f t="shared" si="2"/>
        <v>8.2358947961648354</v>
      </c>
      <c r="F14" s="316" t="e">
        <f t="shared" ca="1" si="3"/>
        <v>#DIV/0!</v>
      </c>
      <c r="H14" s="307">
        <v>0.98499999999999999</v>
      </c>
      <c r="J14" s="315" t="e">
        <f t="shared" ca="1" si="4"/>
        <v>#NAME?</v>
      </c>
      <c r="K14" s="315" t="e">
        <f t="shared" ca="1" si="5"/>
        <v>#NAME?</v>
      </c>
      <c r="L14" s="315">
        <f t="shared" si="6"/>
        <v>7.1358657010588491</v>
      </c>
      <c r="M14" s="316" t="e">
        <f t="shared" ca="1" si="7"/>
        <v>#NAME?</v>
      </c>
    </row>
    <row r="15" spans="1:13" x14ac:dyDescent="0.35">
      <c r="A15" s="307">
        <v>0.98699999999999999</v>
      </c>
      <c r="C15" s="315" t="e">
        <f t="shared" ca="1" si="0"/>
        <v>#DIV/0!</v>
      </c>
      <c r="D15" s="315" t="e">
        <f t="shared" ca="1" si="1"/>
        <v>#DIV/0!</v>
      </c>
      <c r="E15" s="315">
        <f t="shared" si="2"/>
        <v>7.137775490009524</v>
      </c>
      <c r="F15" s="316" t="e">
        <f t="shared" ca="1" si="3"/>
        <v>#DIV/0!</v>
      </c>
      <c r="H15" s="307">
        <v>0.98699999999999999</v>
      </c>
      <c r="J15" s="315" t="e">
        <f t="shared" ca="1" si="4"/>
        <v>#NAME?</v>
      </c>
      <c r="K15" s="315" t="e">
        <f t="shared" ca="1" si="5"/>
        <v>#NAME?</v>
      </c>
      <c r="L15" s="315">
        <f t="shared" si="6"/>
        <v>6.1844169409176688</v>
      </c>
      <c r="M15" s="316" t="e">
        <f t="shared" ca="1" si="7"/>
        <v>#NAME?</v>
      </c>
    </row>
    <row r="16" spans="1:13" x14ac:dyDescent="0.35">
      <c r="A16" s="306">
        <v>0.99</v>
      </c>
      <c r="C16" s="315" t="e">
        <f t="shared" ca="1" si="0"/>
        <v>#DIV/0!</v>
      </c>
      <c r="D16" s="315" t="e">
        <f t="shared" ca="1" si="1"/>
        <v>#DIV/0!</v>
      </c>
      <c r="E16" s="315">
        <f t="shared" si="2"/>
        <v>5.490596530776557</v>
      </c>
      <c r="F16" s="316" t="e">
        <f t="shared" ca="1" si="3"/>
        <v>#DIV/0!</v>
      </c>
      <c r="H16" s="306">
        <v>0.99</v>
      </c>
      <c r="J16" s="315" t="e">
        <f t="shared" ca="1" si="4"/>
        <v>#NAME?</v>
      </c>
      <c r="K16" s="315" t="e">
        <f t="shared" ca="1" si="5"/>
        <v>#NAME?</v>
      </c>
      <c r="L16" s="315">
        <f t="shared" si="6"/>
        <v>4.7572438007058997</v>
      </c>
      <c r="M16" s="316" t="e">
        <f t="shared" ca="1" si="7"/>
        <v>#NAME?</v>
      </c>
    </row>
    <row r="17" spans="1:13" x14ac:dyDescent="0.35">
      <c r="A17" s="307">
        <v>0.99299999999999999</v>
      </c>
      <c r="C17" s="315" t="e">
        <f t="shared" ca="1" si="0"/>
        <v>#DIV/0!</v>
      </c>
      <c r="D17" s="315" t="e">
        <f t="shared" ca="1" si="1"/>
        <v>#DIV/0!</v>
      </c>
      <c r="E17" s="315">
        <f t="shared" si="2"/>
        <v>3.8434175715435899</v>
      </c>
      <c r="F17" s="316" t="e">
        <f t="shared" ca="1" si="3"/>
        <v>#DIV/0!</v>
      </c>
      <c r="H17" s="307">
        <v>0.99299999999999999</v>
      </c>
      <c r="J17" s="315" t="e">
        <f t="shared" ca="1" si="4"/>
        <v>#NAME?</v>
      </c>
      <c r="K17" s="315" t="e">
        <f t="shared" ca="1" si="5"/>
        <v>#NAME?</v>
      </c>
      <c r="L17" s="315">
        <f t="shared" si="6"/>
        <v>3.3300706604941297</v>
      </c>
      <c r="M17" s="316" t="e">
        <f t="shared" ca="1" si="7"/>
        <v>#NAME?</v>
      </c>
    </row>
    <row r="18" spans="1:13" ht="15" thickBot="1" x14ac:dyDescent="0.4">
      <c r="A18" s="310">
        <v>0.997</v>
      </c>
      <c r="B18" s="298"/>
      <c r="C18" s="317" t="e">
        <f t="shared" ca="1" si="0"/>
        <v>#DIV/0!</v>
      </c>
      <c r="D18" s="317" t="e">
        <f t="shared" ca="1" si="1"/>
        <v>#DIV/0!</v>
      </c>
      <c r="E18" s="317">
        <f t="shared" si="2"/>
        <v>1.6471789592329671</v>
      </c>
      <c r="F18" s="318" t="e">
        <f t="shared" ca="1" si="3"/>
        <v>#DIV/0!</v>
      </c>
      <c r="H18" s="310">
        <v>0.997</v>
      </c>
      <c r="I18" s="298"/>
      <c r="J18" s="317" t="e">
        <f t="shared" ca="1" si="4"/>
        <v>#NAME?</v>
      </c>
      <c r="K18" s="317" t="e">
        <f t="shared" ca="1" si="5"/>
        <v>#NAME?</v>
      </c>
      <c r="L18" s="317">
        <f t="shared" si="6"/>
        <v>1.4271731402117698</v>
      </c>
      <c r="M18" s="318" t="e">
        <f t="shared" ca="1" si="7"/>
        <v>#NAME?</v>
      </c>
    </row>
    <row r="19" spans="1:13" ht="15" thickBot="1" x14ac:dyDescent="0.4"/>
    <row r="20" spans="1:13" x14ac:dyDescent="0.35">
      <c r="A20" s="308" t="s">
        <v>289</v>
      </c>
      <c r="B20" s="309" t="s">
        <v>143</v>
      </c>
      <c r="C20" s="311"/>
      <c r="D20" s="311"/>
      <c r="E20" s="311"/>
      <c r="F20" s="312"/>
      <c r="H20" s="308" t="s">
        <v>289</v>
      </c>
      <c r="I20" s="309" t="s">
        <v>143</v>
      </c>
      <c r="J20" s="311"/>
      <c r="K20" s="311"/>
      <c r="L20" s="311"/>
      <c r="M20" s="312"/>
    </row>
    <row r="21" spans="1:13" x14ac:dyDescent="0.35">
      <c r="A21" s="305" t="s">
        <v>290</v>
      </c>
      <c r="B21" t="s">
        <v>202</v>
      </c>
      <c r="C21" s="313"/>
      <c r="D21" s="313"/>
      <c r="E21" s="313"/>
      <c r="F21" s="314"/>
      <c r="H21" s="305" t="s">
        <v>290</v>
      </c>
      <c r="I21" t="s">
        <v>201</v>
      </c>
      <c r="J21" s="313"/>
      <c r="K21" s="313"/>
      <c r="L21" s="313"/>
      <c r="M21" s="314"/>
    </row>
    <row r="22" spans="1:13" x14ac:dyDescent="0.35">
      <c r="A22" s="305" t="s">
        <v>291</v>
      </c>
      <c r="C22" s="313">
        <f>C3</f>
        <v>0</v>
      </c>
      <c r="D22" s="319">
        <f>D3</f>
        <v>0</v>
      </c>
      <c r="E22" s="319">
        <f>E3</f>
        <v>4</v>
      </c>
      <c r="F22" s="320">
        <f>F3</f>
        <v>0</v>
      </c>
      <c r="H22" s="305" t="s">
        <v>291</v>
      </c>
      <c r="J22" s="313">
        <f>C3</f>
        <v>0</v>
      </c>
      <c r="K22" s="319">
        <f>D3</f>
        <v>0</v>
      </c>
      <c r="L22" s="319">
        <f>E3</f>
        <v>4</v>
      </c>
      <c r="M22" s="320">
        <f>F3</f>
        <v>0</v>
      </c>
    </row>
    <row r="23" spans="1:13" x14ac:dyDescent="0.35">
      <c r="A23" s="305" t="s">
        <v>292</v>
      </c>
      <c r="C23" s="313">
        <f>Devices!C32*C3</f>
        <v>0</v>
      </c>
      <c r="D23" s="313">
        <f>Devices!D32*D3</f>
        <v>0</v>
      </c>
      <c r="E23" s="313">
        <f>Devices!E32*E3</f>
        <v>6</v>
      </c>
      <c r="F23" s="314">
        <f>Devices!F32*F3</f>
        <v>0</v>
      </c>
      <c r="H23" s="305" t="s">
        <v>292</v>
      </c>
      <c r="J23" s="313">
        <f>Devices!C32*C3</f>
        <v>0</v>
      </c>
      <c r="K23" s="313">
        <f>Devices!D32*D3</f>
        <v>0</v>
      </c>
      <c r="L23" s="313">
        <f>Devices!E32*E3</f>
        <v>6</v>
      </c>
      <c r="M23" s="314">
        <f>Devices!F32*F3</f>
        <v>0</v>
      </c>
    </row>
    <row r="24" spans="1:13" x14ac:dyDescent="0.35">
      <c r="A24" s="305" t="s">
        <v>293</v>
      </c>
      <c r="C24" s="313">
        <f>Devices!C1</f>
        <v>1</v>
      </c>
      <c r="D24" s="313">
        <f>Devices!D1</f>
        <v>2</v>
      </c>
      <c r="E24" s="313">
        <f>Devices!E1</f>
        <v>3</v>
      </c>
      <c r="F24" s="314">
        <f>Devices!F1</f>
        <v>4</v>
      </c>
      <c r="H24" s="305" t="s">
        <v>293</v>
      </c>
      <c r="J24" s="313">
        <f>Devices!C1</f>
        <v>1</v>
      </c>
      <c r="K24" s="313">
        <f>Devices!D1</f>
        <v>2</v>
      </c>
      <c r="L24" s="313">
        <f>Devices!E1</f>
        <v>3</v>
      </c>
      <c r="M24" s="314">
        <f>Devices!F1</f>
        <v>4</v>
      </c>
    </row>
    <row r="25" spans="1:13" x14ac:dyDescent="0.35">
      <c r="A25" s="305" t="s">
        <v>294</v>
      </c>
      <c r="C25" s="313"/>
      <c r="D25" s="313"/>
      <c r="E25" s="313"/>
      <c r="F25" s="314"/>
      <c r="H25" s="305" t="s">
        <v>294</v>
      </c>
      <c r="J25" s="313"/>
      <c r="K25" s="313"/>
      <c r="L25" s="313"/>
      <c r="M25" s="314"/>
    </row>
    <row r="26" spans="1:13" ht="29" x14ac:dyDescent="0.35">
      <c r="A26" s="305" t="s">
        <v>295</v>
      </c>
      <c r="C26" s="313">
        <f>Devices!C2</f>
        <v>0</v>
      </c>
      <c r="D26" s="313">
        <f>Devices!D2</f>
        <v>0</v>
      </c>
      <c r="E26" s="313" t="str">
        <f>Devices!E2</f>
        <v>Magallanes</v>
      </c>
      <c r="F26" s="314">
        <f>Devices!F2</f>
        <v>0</v>
      </c>
      <c r="H26" s="305" t="s">
        <v>295</v>
      </c>
      <c r="J26" s="313">
        <f>Devices!C2</f>
        <v>0</v>
      </c>
      <c r="K26" s="313">
        <f>Devices!D2</f>
        <v>0</v>
      </c>
      <c r="L26" s="313" t="str">
        <f>Devices!E2</f>
        <v>Magallanes</v>
      </c>
      <c r="M26" s="314">
        <f>Devices!F2</f>
        <v>0</v>
      </c>
    </row>
    <row r="27" spans="1:13" x14ac:dyDescent="0.35">
      <c r="A27" s="306">
        <v>0</v>
      </c>
      <c r="C27" s="315" t="e">
        <f ca="1">ERM_1!K45*C22</f>
        <v>#DIV/0!</v>
      </c>
      <c r="D27" s="315" t="e">
        <f ca="1">ERM_2!K45*D22</f>
        <v>#DIV/0!</v>
      </c>
      <c r="E27" s="315">
        <f>ERM_3!K45*E22</f>
        <v>0.58147304659020826</v>
      </c>
      <c r="F27" s="316" t="e">
        <f ca="1">ERM_4!K45*F22</f>
        <v>#DIV/0!</v>
      </c>
      <c r="H27" s="306">
        <v>0</v>
      </c>
      <c r="J27" s="315" t="e">
        <f ca="1">CRM_1!K45*J22</f>
        <v>#NAME?</v>
      </c>
      <c r="K27" s="315" t="e">
        <f ca="1">CRM_2!K45*K22</f>
        <v>#NAME?</v>
      </c>
      <c r="L27" s="315">
        <f>CRM_3!K45*L22</f>
        <v>0.54134390233841434</v>
      </c>
      <c r="M27" s="316" t="e">
        <f ca="1">CRM_4!K45*M22</f>
        <v>#NAME?</v>
      </c>
    </row>
    <row r="28" spans="1:13" x14ac:dyDescent="0.35">
      <c r="A28" s="306">
        <v>0.5</v>
      </c>
      <c r="C28" s="315" t="e">
        <f t="shared" ref="C28:C37" ca="1" si="8">C$27*(1-A28)</f>
        <v>#DIV/0!</v>
      </c>
      <c r="D28" s="315" t="e">
        <f t="shared" ref="D28:D37" ca="1" si="9">D$27*(1-A28)</f>
        <v>#DIV/0!</v>
      </c>
      <c r="E28" s="315">
        <f t="shared" ref="E28:E37" si="10">E$27*(1-A28)</f>
        <v>0.29073652329510413</v>
      </c>
      <c r="F28" s="316" t="e">
        <f t="shared" ref="F28:F37" ca="1" si="11">F$27*(1-A28)</f>
        <v>#DIV/0!</v>
      </c>
      <c r="H28" s="306">
        <v>0.5</v>
      </c>
      <c r="J28" s="315" t="e">
        <f t="shared" ref="J28:J37" ca="1" si="12">J$27*(1-H28)</f>
        <v>#NAME?</v>
      </c>
      <c r="K28" s="315" t="e">
        <f t="shared" ref="K28:K37" ca="1" si="13">K$27*(1-H28)</f>
        <v>#NAME?</v>
      </c>
      <c r="L28" s="315">
        <f t="shared" ref="L28:L37" si="14">L$27*(1-H28)</f>
        <v>0.27067195116920717</v>
      </c>
      <c r="M28" s="316" t="e">
        <f t="shared" ref="M28:M37" ca="1" si="15">M$27*(1-H28)</f>
        <v>#NAME?</v>
      </c>
    </row>
    <row r="29" spans="1:13" x14ac:dyDescent="0.35">
      <c r="A29" s="306">
        <v>0.9</v>
      </c>
      <c r="C29" s="315" t="e">
        <f t="shared" ca="1" si="8"/>
        <v>#DIV/0!</v>
      </c>
      <c r="D29" s="315" t="e">
        <f t="shared" ca="1" si="9"/>
        <v>#DIV/0!</v>
      </c>
      <c r="E29" s="315">
        <f t="shared" si="10"/>
        <v>5.8147304659020814E-2</v>
      </c>
      <c r="F29" s="316" t="e">
        <f t="shared" ca="1" si="11"/>
        <v>#DIV/0!</v>
      </c>
      <c r="H29" s="306">
        <v>0.9</v>
      </c>
      <c r="J29" s="315" t="e">
        <f t="shared" ca="1" si="12"/>
        <v>#NAME?</v>
      </c>
      <c r="K29" s="315" t="e">
        <f t="shared" ca="1" si="13"/>
        <v>#NAME?</v>
      </c>
      <c r="L29" s="315">
        <f t="shared" si="14"/>
        <v>5.4134390233841423E-2</v>
      </c>
      <c r="M29" s="316" t="e">
        <f t="shared" ca="1" si="15"/>
        <v>#NAME?</v>
      </c>
    </row>
    <row r="30" spans="1:13" x14ac:dyDescent="0.35">
      <c r="A30" s="306">
        <v>0.95</v>
      </c>
      <c r="C30" s="315" t="e">
        <f t="shared" ca="1" si="8"/>
        <v>#DIV/0!</v>
      </c>
      <c r="D30" s="315" t="e">
        <f t="shared" ca="1" si="9"/>
        <v>#DIV/0!</v>
      </c>
      <c r="E30" s="315">
        <f t="shared" si="10"/>
        <v>2.9073652329510438E-2</v>
      </c>
      <c r="F30" s="316" t="e">
        <f t="shared" ca="1" si="11"/>
        <v>#DIV/0!</v>
      </c>
      <c r="H30" s="306">
        <v>0.95</v>
      </c>
      <c r="J30" s="315" t="e">
        <f t="shared" ca="1" si="12"/>
        <v>#NAME?</v>
      </c>
      <c r="K30" s="315" t="e">
        <f t="shared" ca="1" si="13"/>
        <v>#NAME?</v>
      </c>
      <c r="L30" s="315">
        <f t="shared" si="14"/>
        <v>2.7067195116920743E-2</v>
      </c>
      <c r="M30" s="316" t="e">
        <f t="shared" ca="1" si="15"/>
        <v>#NAME?</v>
      </c>
    </row>
    <row r="31" spans="1:13" x14ac:dyDescent="0.35">
      <c r="A31" s="306">
        <v>0.98</v>
      </c>
      <c r="C31" s="315" t="e">
        <f t="shared" ca="1" si="8"/>
        <v>#DIV/0!</v>
      </c>
      <c r="D31" s="315" t="e">
        <f t="shared" ca="1" si="9"/>
        <v>#DIV/0!</v>
      </c>
      <c r="E31" s="315">
        <f t="shared" si="10"/>
        <v>1.1629460931804175E-2</v>
      </c>
      <c r="F31" s="316" t="e">
        <f t="shared" ca="1" si="11"/>
        <v>#DIV/0!</v>
      </c>
      <c r="H31" s="306">
        <v>0.98</v>
      </c>
      <c r="J31" s="315" t="e">
        <f t="shared" ca="1" si="12"/>
        <v>#NAME?</v>
      </c>
      <c r="K31" s="315" t="e">
        <f t="shared" ca="1" si="13"/>
        <v>#NAME?</v>
      </c>
      <c r="L31" s="315">
        <f t="shared" si="14"/>
        <v>1.0826878046768296E-2</v>
      </c>
      <c r="M31" s="316" t="e">
        <f t="shared" ca="1" si="15"/>
        <v>#NAME?</v>
      </c>
    </row>
    <row r="32" spans="1:13" x14ac:dyDescent="0.35">
      <c r="A32" s="307">
        <v>0.98199999999999998</v>
      </c>
      <c r="C32" s="315" t="e">
        <f t="shared" ca="1" si="8"/>
        <v>#DIV/0!</v>
      </c>
      <c r="D32" s="315" t="e">
        <f t="shared" ca="1" si="9"/>
        <v>#DIV/0!</v>
      </c>
      <c r="E32" s="315">
        <f t="shared" si="10"/>
        <v>1.0466514838623759E-2</v>
      </c>
      <c r="F32" s="316" t="e">
        <f t="shared" ca="1" si="11"/>
        <v>#DIV/0!</v>
      </c>
      <c r="H32" s="307">
        <v>0.98199999999999998</v>
      </c>
      <c r="J32" s="315" t="e">
        <f t="shared" ca="1" si="12"/>
        <v>#NAME?</v>
      </c>
      <c r="K32" s="315" t="e">
        <f t="shared" ca="1" si="13"/>
        <v>#NAME?</v>
      </c>
      <c r="L32" s="315">
        <f t="shared" si="14"/>
        <v>9.7441902420914665E-3</v>
      </c>
      <c r="M32" s="316" t="e">
        <f t="shared" ca="1" si="15"/>
        <v>#NAME?</v>
      </c>
    </row>
    <row r="33" spans="1:13" x14ac:dyDescent="0.35">
      <c r="A33" s="307">
        <v>0.98499999999999999</v>
      </c>
      <c r="C33" s="315" t="e">
        <f t="shared" ca="1" si="8"/>
        <v>#DIV/0!</v>
      </c>
      <c r="D33" s="315" t="e">
        <f t="shared" ca="1" si="9"/>
        <v>#DIV/0!</v>
      </c>
      <c r="E33" s="315">
        <f t="shared" si="10"/>
        <v>8.7220956988531325E-3</v>
      </c>
      <c r="F33" s="316" t="e">
        <f t="shared" ca="1" si="11"/>
        <v>#DIV/0!</v>
      </c>
      <c r="H33" s="307">
        <v>0.98499999999999999</v>
      </c>
      <c r="J33" s="315" t="e">
        <f t="shared" ca="1" si="12"/>
        <v>#NAME?</v>
      </c>
      <c r="K33" s="315" t="e">
        <f t="shared" ca="1" si="13"/>
        <v>#NAME?</v>
      </c>
      <c r="L33" s="315">
        <f t="shared" si="14"/>
        <v>8.1201585350762218E-3</v>
      </c>
      <c r="M33" s="316" t="e">
        <f t="shared" ca="1" si="15"/>
        <v>#NAME?</v>
      </c>
    </row>
    <row r="34" spans="1:13" x14ac:dyDescent="0.35">
      <c r="A34" s="307">
        <v>0.98699999999999999</v>
      </c>
      <c r="C34" s="315" t="e">
        <f t="shared" ca="1" si="8"/>
        <v>#DIV/0!</v>
      </c>
      <c r="D34" s="315" t="e">
        <f t="shared" ca="1" si="9"/>
        <v>#DIV/0!</v>
      </c>
      <c r="E34" s="315">
        <f t="shared" si="10"/>
        <v>7.5591496056727145E-3</v>
      </c>
      <c r="F34" s="316" t="e">
        <f t="shared" ca="1" si="11"/>
        <v>#DIV/0!</v>
      </c>
      <c r="H34" s="307">
        <v>0.98699999999999999</v>
      </c>
      <c r="J34" s="315" t="e">
        <f t="shared" ca="1" si="12"/>
        <v>#NAME?</v>
      </c>
      <c r="K34" s="315" t="e">
        <f t="shared" ca="1" si="13"/>
        <v>#NAME?</v>
      </c>
      <c r="L34" s="315">
        <f t="shared" si="14"/>
        <v>7.0374707303993925E-3</v>
      </c>
      <c r="M34" s="316" t="e">
        <f t="shared" ca="1" si="15"/>
        <v>#NAME?</v>
      </c>
    </row>
    <row r="35" spans="1:13" x14ac:dyDescent="0.35">
      <c r="A35" s="306">
        <v>0.99</v>
      </c>
      <c r="C35" s="315" t="e">
        <f t="shared" ca="1" si="8"/>
        <v>#DIV/0!</v>
      </c>
      <c r="D35" s="315" t="e">
        <f t="shared" ca="1" si="9"/>
        <v>#DIV/0!</v>
      </c>
      <c r="E35" s="315">
        <f t="shared" si="10"/>
        <v>5.8147304659020875E-3</v>
      </c>
      <c r="F35" s="316" t="e">
        <f t="shared" ca="1" si="11"/>
        <v>#DIV/0!</v>
      </c>
      <c r="H35" s="306">
        <v>0.99</v>
      </c>
      <c r="J35" s="315" t="e">
        <f t="shared" ca="1" si="12"/>
        <v>#NAME?</v>
      </c>
      <c r="K35" s="315" t="e">
        <f t="shared" ca="1" si="13"/>
        <v>#NAME?</v>
      </c>
      <c r="L35" s="315">
        <f t="shared" si="14"/>
        <v>5.4134390233841478E-3</v>
      </c>
      <c r="M35" s="316" t="e">
        <f t="shared" ca="1" si="15"/>
        <v>#NAME?</v>
      </c>
    </row>
    <row r="36" spans="1:13" x14ac:dyDescent="0.35">
      <c r="A36" s="307">
        <v>0.99299999999999999</v>
      </c>
      <c r="C36" s="315" t="e">
        <f t="shared" ca="1" si="8"/>
        <v>#DIV/0!</v>
      </c>
      <c r="D36" s="315" t="e">
        <f t="shared" ca="1" si="9"/>
        <v>#DIV/0!</v>
      </c>
      <c r="E36" s="315">
        <f t="shared" si="10"/>
        <v>4.0703113261314613E-3</v>
      </c>
      <c r="F36" s="316" t="e">
        <f t="shared" ca="1" si="11"/>
        <v>#DIV/0!</v>
      </c>
      <c r="H36" s="307">
        <v>0.99299999999999999</v>
      </c>
      <c r="J36" s="315" t="e">
        <f t="shared" ca="1" si="12"/>
        <v>#NAME?</v>
      </c>
      <c r="K36" s="315" t="e">
        <f t="shared" ca="1" si="13"/>
        <v>#NAME?</v>
      </c>
      <c r="L36" s="315">
        <f t="shared" si="14"/>
        <v>3.7894073163689036E-3</v>
      </c>
      <c r="M36" s="316" t="e">
        <f t="shared" ca="1" si="15"/>
        <v>#NAME?</v>
      </c>
    </row>
    <row r="37" spans="1:13" ht="15" thickBot="1" x14ac:dyDescent="0.4">
      <c r="A37" s="310">
        <v>0.997</v>
      </c>
      <c r="B37" s="298"/>
      <c r="C37" s="317" t="e">
        <f t="shared" ca="1" si="8"/>
        <v>#DIV/0!</v>
      </c>
      <c r="D37" s="317" t="e">
        <f t="shared" ca="1" si="9"/>
        <v>#DIV/0!</v>
      </c>
      <c r="E37" s="317">
        <f t="shared" si="10"/>
        <v>1.7444191397706264E-3</v>
      </c>
      <c r="F37" s="318" t="e">
        <f t="shared" ca="1" si="11"/>
        <v>#DIV/0!</v>
      </c>
      <c r="H37" s="310">
        <v>0.997</v>
      </c>
      <c r="I37" s="298"/>
      <c r="J37" s="317" t="e">
        <f t="shared" ca="1" si="12"/>
        <v>#NAME?</v>
      </c>
      <c r="K37" s="317" t="e">
        <f t="shared" ca="1" si="13"/>
        <v>#NAME?</v>
      </c>
      <c r="L37" s="317">
        <f t="shared" si="14"/>
        <v>1.6240317070152445E-3</v>
      </c>
      <c r="M37" s="318" t="e">
        <f t="shared" ca="1" si="15"/>
        <v>#NAME?</v>
      </c>
    </row>
    <row r="38" spans="1:13" ht="15" thickBot="1" x14ac:dyDescent="0.4"/>
    <row r="39" spans="1:13" x14ac:dyDescent="0.35">
      <c r="A39" s="308" t="s">
        <v>289</v>
      </c>
      <c r="B39" s="309" t="s">
        <v>107</v>
      </c>
      <c r="C39" s="311"/>
      <c r="D39" s="311"/>
      <c r="E39" s="311"/>
      <c r="F39" s="312"/>
      <c r="H39" s="308" t="s">
        <v>289</v>
      </c>
      <c r="I39" s="309" t="s">
        <v>107</v>
      </c>
      <c r="J39" s="311"/>
      <c r="K39" s="311"/>
      <c r="L39" s="311"/>
      <c r="M39" s="312"/>
    </row>
    <row r="40" spans="1:13" x14ac:dyDescent="0.35">
      <c r="A40" s="305" t="s">
        <v>290</v>
      </c>
      <c r="B40" t="s">
        <v>202</v>
      </c>
      <c r="C40" s="313"/>
      <c r="D40" s="313"/>
      <c r="E40" s="313"/>
      <c r="F40" s="314"/>
      <c r="H40" s="305" t="s">
        <v>290</v>
      </c>
      <c r="I40" t="s">
        <v>201</v>
      </c>
      <c r="J40" s="313"/>
      <c r="K40" s="313"/>
      <c r="L40" s="313"/>
      <c r="M40" s="314"/>
    </row>
    <row r="41" spans="1:13" x14ac:dyDescent="0.35">
      <c r="A41" s="305" t="s">
        <v>291</v>
      </c>
      <c r="C41" s="313">
        <f>C3</f>
        <v>0</v>
      </c>
      <c r="D41" s="319">
        <f>D3</f>
        <v>0</v>
      </c>
      <c r="E41" s="319">
        <f>E3</f>
        <v>4</v>
      </c>
      <c r="F41" s="320">
        <f>F3</f>
        <v>0</v>
      </c>
      <c r="H41" s="305" t="s">
        <v>291</v>
      </c>
      <c r="J41" s="313">
        <f>C3</f>
        <v>0</v>
      </c>
      <c r="K41" s="319">
        <f>D3</f>
        <v>0</v>
      </c>
      <c r="L41" s="319">
        <f>E3</f>
        <v>4</v>
      </c>
      <c r="M41" s="320">
        <f>F3</f>
        <v>0</v>
      </c>
    </row>
    <row r="42" spans="1:13" x14ac:dyDescent="0.35">
      <c r="A42" s="305" t="s">
        <v>292</v>
      </c>
      <c r="C42" s="313">
        <f>Devices!C32*C3</f>
        <v>0</v>
      </c>
      <c r="D42" s="313">
        <f>Devices!D32*D3</f>
        <v>0</v>
      </c>
      <c r="E42" s="313">
        <f>Devices!E32*E3</f>
        <v>6</v>
      </c>
      <c r="F42" s="314">
        <f>Devices!F32*F3</f>
        <v>0</v>
      </c>
      <c r="H42" s="305" t="s">
        <v>292</v>
      </c>
      <c r="J42" s="313">
        <f>Devices!C32*C3</f>
        <v>0</v>
      </c>
      <c r="K42" s="313">
        <f>Devices!D32*D3</f>
        <v>0</v>
      </c>
      <c r="L42" s="313">
        <f>Devices!E32*E3</f>
        <v>6</v>
      </c>
      <c r="M42" s="314">
        <f>Devices!F32*F3</f>
        <v>0</v>
      </c>
    </row>
    <row r="43" spans="1:13" x14ac:dyDescent="0.35">
      <c r="A43" s="305" t="s">
        <v>293</v>
      </c>
      <c r="C43" s="313">
        <f>Devices!C1</f>
        <v>1</v>
      </c>
      <c r="D43" s="313">
        <f>Devices!D1</f>
        <v>2</v>
      </c>
      <c r="E43" s="313">
        <f>Devices!E1</f>
        <v>3</v>
      </c>
      <c r="F43" s="314">
        <f>Devices!F1</f>
        <v>4</v>
      </c>
      <c r="H43" s="305" t="s">
        <v>293</v>
      </c>
      <c r="J43" s="313">
        <f>Devices!C1</f>
        <v>1</v>
      </c>
      <c r="K43" s="313">
        <f>Devices!D1</f>
        <v>2</v>
      </c>
      <c r="L43" s="313">
        <f>Devices!E1</f>
        <v>3</v>
      </c>
      <c r="M43" s="314">
        <f>Devices!F1</f>
        <v>4</v>
      </c>
    </row>
    <row r="44" spans="1:13" x14ac:dyDescent="0.35">
      <c r="A44" s="305" t="s">
        <v>294</v>
      </c>
      <c r="C44" s="313"/>
      <c r="D44" s="313"/>
      <c r="E44" s="313"/>
      <c r="F44" s="314"/>
      <c r="H44" s="305" t="s">
        <v>294</v>
      </c>
      <c r="J44" s="313"/>
      <c r="K44" s="313"/>
      <c r="L44" s="313"/>
      <c r="M44" s="314"/>
    </row>
    <row r="45" spans="1:13" ht="29" x14ac:dyDescent="0.35">
      <c r="A45" s="305" t="s">
        <v>295</v>
      </c>
      <c r="C45" s="313">
        <f>Devices!C2</f>
        <v>0</v>
      </c>
      <c r="D45" s="313">
        <f>Devices!D2</f>
        <v>0</v>
      </c>
      <c r="E45" s="313" t="str">
        <f>Devices!E2</f>
        <v>Magallanes</v>
      </c>
      <c r="F45" s="314">
        <f>Devices!F2</f>
        <v>0</v>
      </c>
      <c r="H45" s="305" t="s">
        <v>295</v>
      </c>
      <c r="J45" s="313">
        <f>Devices!C2</f>
        <v>0</v>
      </c>
      <c r="K45" s="313">
        <f>Devices!D2</f>
        <v>0</v>
      </c>
      <c r="L45" s="313" t="str">
        <f>Devices!E2</f>
        <v>Magallanes</v>
      </c>
      <c r="M45" s="314">
        <f>Devices!F2</f>
        <v>0</v>
      </c>
    </row>
    <row r="46" spans="1:13" x14ac:dyDescent="0.35">
      <c r="A46" s="306">
        <v>0</v>
      </c>
      <c r="C46" s="315" t="e">
        <f ca="1">ERM_1!M45*C41</f>
        <v>#DIV/0!</v>
      </c>
      <c r="D46" s="315" t="e">
        <f ca="1">ERM_2!M45*D41</f>
        <v>#DIV/0!</v>
      </c>
      <c r="E46" s="315">
        <f>ERM_3!M45*E41</f>
        <v>137.65681654010635</v>
      </c>
      <c r="F46" s="316" t="e">
        <f ca="1">ERM_4!M45*F41</f>
        <v>#DIV/0!</v>
      </c>
      <c r="H46" s="306">
        <v>0</v>
      </c>
      <c r="J46" s="315" t="e">
        <f ca="1">CRM_1!M45*J41</f>
        <v>#NAME?</v>
      </c>
      <c r="K46" s="315" t="e">
        <f ca="1">CRM_2!M45*K41</f>
        <v>#NAME?</v>
      </c>
      <c r="L46" s="315">
        <f>CRM_3!M45*L41</f>
        <v>126.1318274516501</v>
      </c>
      <c r="M46" s="316" t="e">
        <f ca="1">CRM_4!M45*M41</f>
        <v>#NAME?</v>
      </c>
    </row>
    <row r="47" spans="1:13" x14ac:dyDescent="0.35">
      <c r="A47" s="306">
        <v>0.5</v>
      </c>
      <c r="C47" s="315" t="e">
        <f t="shared" ref="C47:C56" ca="1" si="16">C$46*(1-A47)</f>
        <v>#DIV/0!</v>
      </c>
      <c r="D47" s="315" t="e">
        <f t="shared" ref="D47:D56" ca="1" si="17">D$46*(1-A47)</f>
        <v>#DIV/0!</v>
      </c>
      <c r="E47" s="315">
        <f t="shared" ref="E47:E56" si="18">E$46*(1-A47)</f>
        <v>68.828408270053174</v>
      </c>
      <c r="F47" s="316" t="e">
        <f t="shared" ref="F47:F56" ca="1" si="19">F$46*(1-A47)</f>
        <v>#DIV/0!</v>
      </c>
      <c r="H47" s="306">
        <v>0.5</v>
      </c>
      <c r="J47" s="315" t="e">
        <f t="shared" ref="J47:J56" ca="1" si="20">J$46*(1-H47)</f>
        <v>#NAME?</v>
      </c>
      <c r="K47" s="315" t="e">
        <f t="shared" ref="K47:K56" ca="1" si="21">K$46*(1-H47)</f>
        <v>#NAME?</v>
      </c>
      <c r="L47" s="315">
        <f t="shared" ref="L47:L56" si="22">L$46*(1-H47)</f>
        <v>63.065913725825048</v>
      </c>
      <c r="M47" s="316" t="e">
        <f t="shared" ref="M47:M56" ca="1" si="23">M$46*(1-H47)</f>
        <v>#NAME?</v>
      </c>
    </row>
    <row r="48" spans="1:13" x14ac:dyDescent="0.35">
      <c r="A48" s="306">
        <v>0.9</v>
      </c>
      <c r="C48" s="315" t="e">
        <f t="shared" ca="1" si="16"/>
        <v>#DIV/0!</v>
      </c>
      <c r="D48" s="315" t="e">
        <f t="shared" ca="1" si="17"/>
        <v>#DIV/0!</v>
      </c>
      <c r="E48" s="315">
        <f t="shared" si="18"/>
        <v>13.765681654010631</v>
      </c>
      <c r="F48" s="316" t="e">
        <f t="shared" ca="1" si="19"/>
        <v>#DIV/0!</v>
      </c>
      <c r="H48" s="306">
        <v>0.9</v>
      </c>
      <c r="J48" s="315" t="e">
        <f t="shared" ca="1" si="20"/>
        <v>#NAME?</v>
      </c>
      <c r="K48" s="315" t="e">
        <f t="shared" ca="1" si="21"/>
        <v>#NAME?</v>
      </c>
      <c r="L48" s="315">
        <f t="shared" si="22"/>
        <v>12.613182745165007</v>
      </c>
      <c r="M48" s="316" t="e">
        <f t="shared" ca="1" si="23"/>
        <v>#NAME?</v>
      </c>
    </row>
    <row r="49" spans="1:13" x14ac:dyDescent="0.35">
      <c r="A49" s="306">
        <v>0.95</v>
      </c>
      <c r="C49" s="315" t="e">
        <f t="shared" ca="1" si="16"/>
        <v>#DIV/0!</v>
      </c>
      <c r="D49" s="315" t="e">
        <f t="shared" ca="1" si="17"/>
        <v>#DIV/0!</v>
      </c>
      <c r="E49" s="315">
        <f t="shared" si="18"/>
        <v>6.8828408270053236</v>
      </c>
      <c r="F49" s="316" t="e">
        <f t="shared" ca="1" si="19"/>
        <v>#DIV/0!</v>
      </c>
      <c r="H49" s="306">
        <v>0.95</v>
      </c>
      <c r="J49" s="315" t="e">
        <f t="shared" ca="1" si="20"/>
        <v>#NAME?</v>
      </c>
      <c r="K49" s="315" t="e">
        <f t="shared" ca="1" si="21"/>
        <v>#NAME?</v>
      </c>
      <c r="L49" s="315">
        <f t="shared" si="22"/>
        <v>6.3065913725825107</v>
      </c>
      <c r="M49" s="316" t="e">
        <f t="shared" ca="1" si="23"/>
        <v>#NAME?</v>
      </c>
    </row>
    <row r="50" spans="1:13" x14ac:dyDescent="0.35">
      <c r="A50" s="306">
        <v>0.98</v>
      </c>
      <c r="C50" s="315" t="e">
        <f t="shared" ca="1" si="16"/>
        <v>#DIV/0!</v>
      </c>
      <c r="D50" s="315" t="e">
        <f t="shared" ca="1" si="17"/>
        <v>#DIV/0!</v>
      </c>
      <c r="E50" s="315">
        <f t="shared" si="18"/>
        <v>2.7531363308021293</v>
      </c>
      <c r="F50" s="316" t="e">
        <f t="shared" ca="1" si="19"/>
        <v>#DIV/0!</v>
      </c>
      <c r="H50" s="306">
        <v>0.98</v>
      </c>
      <c r="J50" s="315" t="e">
        <f t="shared" ca="1" si="20"/>
        <v>#NAME?</v>
      </c>
      <c r="K50" s="315" t="e">
        <f t="shared" ca="1" si="21"/>
        <v>#NAME?</v>
      </c>
      <c r="L50" s="315">
        <f t="shared" si="22"/>
        <v>2.5226365490330043</v>
      </c>
      <c r="M50" s="316" t="e">
        <f t="shared" ca="1" si="23"/>
        <v>#NAME?</v>
      </c>
    </row>
    <row r="51" spans="1:13" x14ac:dyDescent="0.35">
      <c r="A51" s="307">
        <v>0.98199999999999998</v>
      </c>
      <c r="C51" s="315" t="e">
        <f t="shared" ca="1" si="16"/>
        <v>#DIV/0!</v>
      </c>
      <c r="D51" s="315" t="e">
        <f t="shared" ca="1" si="17"/>
        <v>#DIV/0!</v>
      </c>
      <c r="E51" s="315">
        <f t="shared" si="18"/>
        <v>2.4778226977219164</v>
      </c>
      <c r="F51" s="316" t="e">
        <f t="shared" ca="1" si="19"/>
        <v>#DIV/0!</v>
      </c>
      <c r="H51" s="307">
        <v>0.98199999999999998</v>
      </c>
      <c r="J51" s="315" t="e">
        <f t="shared" ca="1" si="20"/>
        <v>#NAME?</v>
      </c>
      <c r="K51" s="315" t="e">
        <f t="shared" ca="1" si="21"/>
        <v>#NAME?</v>
      </c>
      <c r="L51" s="315">
        <f t="shared" si="22"/>
        <v>2.2703728941297037</v>
      </c>
      <c r="M51" s="316" t="e">
        <f t="shared" ca="1" si="23"/>
        <v>#NAME?</v>
      </c>
    </row>
    <row r="52" spans="1:13" x14ac:dyDescent="0.35">
      <c r="A52" s="307">
        <v>0.98499999999999999</v>
      </c>
      <c r="C52" s="315" t="e">
        <f t="shared" ca="1" si="16"/>
        <v>#DIV/0!</v>
      </c>
      <c r="D52" s="315" t="e">
        <f t="shared" ca="1" si="17"/>
        <v>#DIV/0!</v>
      </c>
      <c r="E52" s="315">
        <f t="shared" si="18"/>
        <v>2.0648522481015972</v>
      </c>
      <c r="F52" s="316" t="e">
        <f t="shared" ca="1" si="19"/>
        <v>#DIV/0!</v>
      </c>
      <c r="H52" s="307">
        <v>0.98499999999999999</v>
      </c>
      <c r="J52" s="315" t="e">
        <f t="shared" ca="1" si="20"/>
        <v>#NAME?</v>
      </c>
      <c r="K52" s="315" t="e">
        <f t="shared" ca="1" si="21"/>
        <v>#NAME?</v>
      </c>
      <c r="L52" s="315">
        <f t="shared" si="22"/>
        <v>1.8919774117747532</v>
      </c>
      <c r="M52" s="316" t="e">
        <f t="shared" ca="1" si="23"/>
        <v>#NAME?</v>
      </c>
    </row>
    <row r="53" spans="1:13" x14ac:dyDescent="0.35">
      <c r="A53" s="307">
        <v>0.98699999999999999</v>
      </c>
      <c r="C53" s="315" t="e">
        <f t="shared" ca="1" si="16"/>
        <v>#DIV/0!</v>
      </c>
      <c r="D53" s="315" t="e">
        <f t="shared" ca="1" si="17"/>
        <v>#DIV/0!</v>
      </c>
      <c r="E53" s="315">
        <f t="shared" si="18"/>
        <v>1.7895386150213841</v>
      </c>
      <c r="F53" s="316" t="e">
        <f t="shared" ca="1" si="19"/>
        <v>#DIV/0!</v>
      </c>
      <c r="H53" s="307">
        <v>0.98699999999999999</v>
      </c>
      <c r="J53" s="315" t="e">
        <f t="shared" ca="1" si="20"/>
        <v>#NAME?</v>
      </c>
      <c r="K53" s="315" t="e">
        <f t="shared" ca="1" si="21"/>
        <v>#NAME?</v>
      </c>
      <c r="L53" s="315">
        <f t="shared" si="22"/>
        <v>1.6397137568714526</v>
      </c>
      <c r="M53" s="316" t="e">
        <f t="shared" ca="1" si="23"/>
        <v>#NAME?</v>
      </c>
    </row>
    <row r="54" spans="1:13" x14ac:dyDescent="0.35">
      <c r="A54" s="306">
        <v>0.99</v>
      </c>
      <c r="C54" s="315" t="e">
        <f t="shared" ca="1" si="16"/>
        <v>#DIV/0!</v>
      </c>
      <c r="D54" s="315" t="e">
        <f t="shared" ca="1" si="17"/>
        <v>#DIV/0!</v>
      </c>
      <c r="E54" s="315">
        <f t="shared" si="18"/>
        <v>1.3765681654010646</v>
      </c>
      <c r="F54" s="316" t="e">
        <f t="shared" ca="1" si="19"/>
        <v>#DIV/0!</v>
      </c>
      <c r="H54" s="306">
        <v>0.99</v>
      </c>
      <c r="J54" s="315" t="e">
        <f t="shared" ca="1" si="20"/>
        <v>#NAME?</v>
      </c>
      <c r="K54" s="315" t="e">
        <f t="shared" ca="1" si="21"/>
        <v>#NAME?</v>
      </c>
      <c r="L54" s="315">
        <f t="shared" si="22"/>
        <v>1.2613182745165021</v>
      </c>
      <c r="M54" s="316" t="e">
        <f t="shared" ca="1" si="23"/>
        <v>#NAME?</v>
      </c>
    </row>
    <row r="55" spans="1:13" x14ac:dyDescent="0.35">
      <c r="A55" s="307">
        <v>0.99299999999999999</v>
      </c>
      <c r="C55" s="315" t="e">
        <f t="shared" ca="1" si="16"/>
        <v>#DIV/0!</v>
      </c>
      <c r="D55" s="315" t="e">
        <f t="shared" ca="1" si="17"/>
        <v>#DIV/0!</v>
      </c>
      <c r="E55" s="315">
        <f t="shared" si="18"/>
        <v>0.96359771578074527</v>
      </c>
      <c r="F55" s="316" t="e">
        <f t="shared" ca="1" si="19"/>
        <v>#DIV/0!</v>
      </c>
      <c r="H55" s="307">
        <v>0.99299999999999999</v>
      </c>
      <c r="J55" s="315" t="e">
        <f t="shared" ca="1" si="20"/>
        <v>#NAME?</v>
      </c>
      <c r="K55" s="315" t="e">
        <f t="shared" ca="1" si="21"/>
        <v>#NAME?</v>
      </c>
      <c r="L55" s="315">
        <f t="shared" si="22"/>
        <v>0.88292279216155145</v>
      </c>
      <c r="M55" s="316" t="e">
        <f t="shared" ca="1" si="23"/>
        <v>#NAME?</v>
      </c>
    </row>
    <row r="56" spans="1:13" ht="15" thickBot="1" x14ac:dyDescent="0.4">
      <c r="A56" s="310">
        <v>0.997</v>
      </c>
      <c r="B56" s="298"/>
      <c r="C56" s="317" t="e">
        <f t="shared" ca="1" si="16"/>
        <v>#DIV/0!</v>
      </c>
      <c r="D56" s="317" t="e">
        <f t="shared" ca="1" si="17"/>
        <v>#DIV/0!</v>
      </c>
      <c r="E56" s="317">
        <f t="shared" si="18"/>
        <v>0.41297044962031942</v>
      </c>
      <c r="F56" s="318" t="e">
        <f t="shared" ca="1" si="19"/>
        <v>#DIV/0!</v>
      </c>
      <c r="H56" s="310">
        <v>0.997</v>
      </c>
      <c r="I56" s="298"/>
      <c r="J56" s="317" t="e">
        <f t="shared" ca="1" si="20"/>
        <v>#NAME?</v>
      </c>
      <c r="K56" s="317" t="e">
        <f t="shared" ca="1" si="21"/>
        <v>#NAME?</v>
      </c>
      <c r="L56" s="317">
        <f t="shared" si="22"/>
        <v>0.37839548235495063</v>
      </c>
      <c r="M56" s="318" t="e">
        <f t="shared" ca="1" si="23"/>
        <v>#NAME?</v>
      </c>
    </row>
    <row r="57" spans="1:13" ht="15" thickBot="1" x14ac:dyDescent="0.4"/>
    <row r="58" spans="1:13" x14ac:dyDescent="0.35">
      <c r="A58" s="308" t="s">
        <v>289</v>
      </c>
      <c r="B58" s="309" t="s">
        <v>78</v>
      </c>
      <c r="C58" s="311"/>
      <c r="D58" s="311"/>
      <c r="E58" s="311"/>
      <c r="F58" s="312"/>
      <c r="H58" s="308" t="s">
        <v>289</v>
      </c>
      <c r="I58" s="309" t="s">
        <v>78</v>
      </c>
      <c r="J58" s="311"/>
      <c r="K58" s="311"/>
      <c r="L58" s="311"/>
      <c r="M58" s="312"/>
    </row>
    <row r="59" spans="1:13" x14ac:dyDescent="0.35">
      <c r="A59" s="305" t="s">
        <v>290</v>
      </c>
      <c r="B59" t="s">
        <v>202</v>
      </c>
      <c r="C59" s="313"/>
      <c r="D59" s="313"/>
      <c r="E59" s="313"/>
      <c r="F59" s="314"/>
      <c r="H59" s="305" t="s">
        <v>290</v>
      </c>
      <c r="I59" t="s">
        <v>201</v>
      </c>
      <c r="J59" s="313"/>
      <c r="K59" s="313"/>
      <c r="L59" s="313"/>
      <c r="M59" s="314"/>
    </row>
    <row r="60" spans="1:13" x14ac:dyDescent="0.35">
      <c r="A60" s="305" t="s">
        <v>291</v>
      </c>
      <c r="C60" s="313">
        <f>C3</f>
        <v>0</v>
      </c>
      <c r="D60" s="319">
        <f>D3</f>
        <v>0</v>
      </c>
      <c r="E60" s="319">
        <f>E3</f>
        <v>4</v>
      </c>
      <c r="F60" s="320">
        <f>F3</f>
        <v>0</v>
      </c>
      <c r="H60" s="305" t="s">
        <v>291</v>
      </c>
      <c r="J60" s="313">
        <f>C3</f>
        <v>0</v>
      </c>
      <c r="K60" s="319">
        <f>D3</f>
        <v>0</v>
      </c>
      <c r="L60" s="319">
        <f>E3</f>
        <v>4</v>
      </c>
      <c r="M60" s="320">
        <f>F3</f>
        <v>0</v>
      </c>
    </row>
    <row r="61" spans="1:13" x14ac:dyDescent="0.35">
      <c r="A61" s="305" t="s">
        <v>292</v>
      </c>
      <c r="C61" s="313">
        <f>Devices!C32*C3</f>
        <v>0</v>
      </c>
      <c r="D61" s="313">
        <f>Devices!D32*D3</f>
        <v>0</v>
      </c>
      <c r="E61" s="313">
        <f>Devices!E32*E3</f>
        <v>6</v>
      </c>
      <c r="F61" s="314">
        <f>Devices!F32*F3</f>
        <v>0</v>
      </c>
      <c r="H61" s="305" t="s">
        <v>292</v>
      </c>
      <c r="J61" s="313">
        <f>Devices!C32*C3</f>
        <v>0</v>
      </c>
      <c r="K61" s="313">
        <f>Devices!D32*D3</f>
        <v>0</v>
      </c>
      <c r="L61" s="313">
        <f>Devices!E32*E3</f>
        <v>6</v>
      </c>
      <c r="M61" s="314">
        <f>Devices!F32*F3</f>
        <v>0</v>
      </c>
    </row>
    <row r="62" spans="1:13" x14ac:dyDescent="0.35">
      <c r="A62" s="305" t="s">
        <v>293</v>
      </c>
      <c r="C62" s="313">
        <f>Devices!C1</f>
        <v>1</v>
      </c>
      <c r="D62" s="313">
        <f>Devices!D1</f>
        <v>2</v>
      </c>
      <c r="E62" s="313">
        <f>Devices!E1</f>
        <v>3</v>
      </c>
      <c r="F62" s="314">
        <f>Devices!F1</f>
        <v>4</v>
      </c>
      <c r="H62" s="305" t="s">
        <v>293</v>
      </c>
      <c r="J62" s="313">
        <f>Devices!C1</f>
        <v>1</v>
      </c>
      <c r="K62" s="313">
        <f>Devices!D1</f>
        <v>2</v>
      </c>
      <c r="L62" s="313">
        <f>Devices!E1</f>
        <v>3</v>
      </c>
      <c r="M62" s="314">
        <f>Devices!F1</f>
        <v>4</v>
      </c>
    </row>
    <row r="63" spans="1:13" x14ac:dyDescent="0.35">
      <c r="A63" s="305" t="s">
        <v>294</v>
      </c>
      <c r="C63" s="313"/>
      <c r="D63" s="313"/>
      <c r="E63" s="313"/>
      <c r="F63" s="314"/>
      <c r="H63" s="305" t="s">
        <v>294</v>
      </c>
      <c r="J63" s="313"/>
      <c r="K63" s="313"/>
      <c r="L63" s="313"/>
      <c r="M63" s="314"/>
    </row>
    <row r="64" spans="1:13" ht="29" x14ac:dyDescent="0.35">
      <c r="A64" s="305" t="s">
        <v>295</v>
      </c>
      <c r="C64" s="313">
        <f>Devices!C2</f>
        <v>0</v>
      </c>
      <c r="D64" s="313">
        <f>Devices!D2</f>
        <v>0</v>
      </c>
      <c r="E64" s="313" t="str">
        <f>Devices!E2</f>
        <v>Magallanes</v>
      </c>
      <c r="F64" s="314">
        <f>Devices!F2</f>
        <v>0</v>
      </c>
      <c r="H64" s="305" t="s">
        <v>295</v>
      </c>
      <c r="J64" s="313">
        <f>Devices!C2</f>
        <v>0</v>
      </c>
      <c r="K64" s="313">
        <f>Devices!D2</f>
        <v>0</v>
      </c>
      <c r="L64" s="313" t="str">
        <f>Devices!E2</f>
        <v>Magallanes</v>
      </c>
      <c r="M64" s="314">
        <f>Devices!F2</f>
        <v>0</v>
      </c>
    </row>
    <row r="65" spans="1:13" x14ac:dyDescent="0.35">
      <c r="A65" s="306">
        <v>0</v>
      </c>
      <c r="C65" s="315" t="e">
        <f ca="1">ERM_1!O45*C60</f>
        <v>#DIV/0!</v>
      </c>
      <c r="D65" s="315" t="e">
        <f ca="1">ERM_2!O45*D60</f>
        <v>#DIV/0!</v>
      </c>
      <c r="E65" s="315">
        <f>ERM_3!O45*E60</f>
        <v>33.01371478949364</v>
      </c>
      <c r="F65" s="316" t="e">
        <f ca="1">ERM_4!O45*F60</f>
        <v>#DIV/0!</v>
      </c>
      <c r="H65" s="306">
        <v>0</v>
      </c>
      <c r="J65" s="315" t="e">
        <f ca="1">CRM_1!O45*J60</f>
        <v>#NAME?</v>
      </c>
      <c r="K65" s="315" t="e">
        <f ca="1">CRM_2!O45*K60</f>
        <v>#NAME?</v>
      </c>
      <c r="L65" s="315">
        <f>CRM_3!O45*L60</f>
        <v>29.423609001607954</v>
      </c>
      <c r="M65" s="316" t="e">
        <f ca="1">CRM_4!O45*M60</f>
        <v>#NAME?</v>
      </c>
    </row>
    <row r="66" spans="1:13" x14ac:dyDescent="0.35">
      <c r="A66" s="306">
        <v>0.5</v>
      </c>
      <c r="C66" s="315" t="e">
        <f t="shared" ref="C66:C75" ca="1" si="24">C$65*(1-A66)</f>
        <v>#DIV/0!</v>
      </c>
      <c r="D66" s="315" t="e">
        <f t="shared" ref="D66:D75" ca="1" si="25">D$65*(1-A66)</f>
        <v>#DIV/0!</v>
      </c>
      <c r="E66" s="315">
        <f t="shared" ref="E66:E75" si="26">E$65*(1-A66)</f>
        <v>16.50685739474682</v>
      </c>
      <c r="F66" s="316" t="e">
        <f t="shared" ref="F66:F75" ca="1" si="27">F$65*(1-A66)</f>
        <v>#DIV/0!</v>
      </c>
      <c r="H66" s="306">
        <v>0.5</v>
      </c>
      <c r="J66" s="315" t="e">
        <f t="shared" ref="J66:J75" ca="1" si="28">J$65*(1-H66)</f>
        <v>#NAME?</v>
      </c>
      <c r="K66" s="315" t="e">
        <f t="shared" ref="K66:K75" ca="1" si="29">K$65*(1-H66)</f>
        <v>#NAME?</v>
      </c>
      <c r="L66" s="315">
        <f t="shared" ref="L66:L75" si="30">L$65*(1-H66)</f>
        <v>14.711804500803977</v>
      </c>
      <c r="M66" s="316" t="e">
        <f t="shared" ref="M66:M75" ca="1" si="31">M$65*(1-H66)</f>
        <v>#NAME?</v>
      </c>
    </row>
    <row r="67" spans="1:13" x14ac:dyDescent="0.35">
      <c r="A67" s="306">
        <v>0.9</v>
      </c>
      <c r="C67" s="315" t="e">
        <f t="shared" ca="1" si="24"/>
        <v>#DIV/0!</v>
      </c>
      <c r="D67" s="315" t="e">
        <f t="shared" ca="1" si="25"/>
        <v>#DIV/0!</v>
      </c>
      <c r="E67" s="315">
        <f t="shared" si="26"/>
        <v>3.3013714789493633</v>
      </c>
      <c r="F67" s="316" t="e">
        <f t="shared" ca="1" si="27"/>
        <v>#DIV/0!</v>
      </c>
      <c r="H67" s="306">
        <v>0.9</v>
      </c>
      <c r="J67" s="315" t="e">
        <f t="shared" ca="1" si="28"/>
        <v>#NAME?</v>
      </c>
      <c r="K67" s="315" t="e">
        <f t="shared" ca="1" si="29"/>
        <v>#NAME?</v>
      </c>
      <c r="L67" s="315">
        <f t="shared" si="30"/>
        <v>2.9423609001607947</v>
      </c>
      <c r="M67" s="316" t="e">
        <f t="shared" ca="1" si="31"/>
        <v>#NAME?</v>
      </c>
    </row>
    <row r="68" spans="1:13" x14ac:dyDescent="0.35">
      <c r="A68" s="306">
        <v>0.95</v>
      </c>
      <c r="C68" s="315" t="e">
        <f t="shared" ca="1" si="24"/>
        <v>#DIV/0!</v>
      </c>
      <c r="D68" s="315" t="e">
        <f t="shared" ca="1" si="25"/>
        <v>#DIV/0!</v>
      </c>
      <c r="E68" s="315">
        <f t="shared" si="26"/>
        <v>1.6506857394746834</v>
      </c>
      <c r="F68" s="316" t="e">
        <f t="shared" ca="1" si="27"/>
        <v>#DIV/0!</v>
      </c>
      <c r="H68" s="306">
        <v>0.95</v>
      </c>
      <c r="J68" s="315" t="e">
        <f t="shared" ca="1" si="28"/>
        <v>#NAME?</v>
      </c>
      <c r="K68" s="315" t="e">
        <f t="shared" ca="1" si="29"/>
        <v>#NAME?</v>
      </c>
      <c r="L68" s="315">
        <f t="shared" si="30"/>
        <v>1.4711804500803989</v>
      </c>
      <c r="M68" s="316" t="e">
        <f t="shared" ca="1" si="31"/>
        <v>#NAME?</v>
      </c>
    </row>
    <row r="69" spans="1:13" x14ac:dyDescent="0.35">
      <c r="A69" s="306">
        <v>0.98</v>
      </c>
      <c r="C69" s="315" t="e">
        <f t="shared" ca="1" si="24"/>
        <v>#DIV/0!</v>
      </c>
      <c r="D69" s="315" t="e">
        <f t="shared" ca="1" si="25"/>
        <v>#DIV/0!</v>
      </c>
      <c r="E69" s="315">
        <f t="shared" si="26"/>
        <v>0.6602742957898734</v>
      </c>
      <c r="F69" s="316" t="e">
        <f t="shared" ca="1" si="27"/>
        <v>#DIV/0!</v>
      </c>
      <c r="H69" s="306">
        <v>0.98</v>
      </c>
      <c r="J69" s="315" t="e">
        <f t="shared" ca="1" si="28"/>
        <v>#NAME?</v>
      </c>
      <c r="K69" s="315" t="e">
        <f t="shared" ca="1" si="29"/>
        <v>#NAME?</v>
      </c>
      <c r="L69" s="315">
        <f t="shared" si="30"/>
        <v>0.58847218003215962</v>
      </c>
      <c r="M69" s="316" t="e">
        <f t="shared" ca="1" si="31"/>
        <v>#NAME?</v>
      </c>
    </row>
    <row r="70" spans="1:13" x14ac:dyDescent="0.35">
      <c r="A70" s="307">
        <v>0.98199999999999998</v>
      </c>
      <c r="C70" s="315" t="e">
        <f t="shared" ca="1" si="24"/>
        <v>#DIV/0!</v>
      </c>
      <c r="D70" s="315" t="e">
        <f t="shared" ca="1" si="25"/>
        <v>#DIV/0!</v>
      </c>
      <c r="E70" s="315">
        <f t="shared" si="26"/>
        <v>0.59424686621088607</v>
      </c>
      <c r="F70" s="316" t="e">
        <f t="shared" ca="1" si="27"/>
        <v>#DIV/0!</v>
      </c>
      <c r="H70" s="307">
        <v>0.98199999999999998</v>
      </c>
      <c r="J70" s="315" t="e">
        <f t="shared" ca="1" si="28"/>
        <v>#NAME?</v>
      </c>
      <c r="K70" s="315" t="e">
        <f t="shared" ca="1" si="29"/>
        <v>#NAME?</v>
      </c>
      <c r="L70" s="315">
        <f t="shared" si="30"/>
        <v>0.5296249620289436</v>
      </c>
      <c r="M70" s="316" t="e">
        <f t="shared" ca="1" si="31"/>
        <v>#NAME?</v>
      </c>
    </row>
    <row r="71" spans="1:13" x14ac:dyDescent="0.35">
      <c r="A71" s="307">
        <v>0.98499999999999999</v>
      </c>
      <c r="C71" s="315" t="e">
        <f t="shared" ca="1" si="24"/>
        <v>#DIV/0!</v>
      </c>
      <c r="D71" s="315" t="e">
        <f t="shared" ca="1" si="25"/>
        <v>#DIV/0!</v>
      </c>
      <c r="E71" s="315">
        <f t="shared" si="26"/>
        <v>0.49520572184240502</v>
      </c>
      <c r="F71" s="316" t="e">
        <f t="shared" ca="1" si="27"/>
        <v>#DIV/0!</v>
      </c>
      <c r="H71" s="307">
        <v>0.98499999999999999</v>
      </c>
      <c r="J71" s="315" t="e">
        <f t="shared" ca="1" si="28"/>
        <v>#NAME?</v>
      </c>
      <c r="K71" s="315" t="e">
        <f t="shared" ca="1" si="29"/>
        <v>#NAME?</v>
      </c>
      <c r="L71" s="315">
        <f t="shared" si="30"/>
        <v>0.44135413502411969</v>
      </c>
      <c r="M71" s="316" t="e">
        <f t="shared" ca="1" si="31"/>
        <v>#NAME?</v>
      </c>
    </row>
    <row r="72" spans="1:13" x14ac:dyDescent="0.35">
      <c r="A72" s="307">
        <v>0.98699999999999999</v>
      </c>
      <c r="C72" s="315" t="e">
        <f t="shared" ca="1" si="24"/>
        <v>#DIV/0!</v>
      </c>
      <c r="D72" s="315" t="e">
        <f t="shared" ca="1" si="25"/>
        <v>#DIV/0!</v>
      </c>
      <c r="E72" s="315">
        <f t="shared" si="26"/>
        <v>0.42917829226341769</v>
      </c>
      <c r="F72" s="316" t="e">
        <f t="shared" ca="1" si="27"/>
        <v>#DIV/0!</v>
      </c>
      <c r="H72" s="307">
        <v>0.98699999999999999</v>
      </c>
      <c r="J72" s="315" t="e">
        <f t="shared" ca="1" si="28"/>
        <v>#NAME?</v>
      </c>
      <c r="K72" s="315" t="e">
        <f t="shared" ca="1" si="29"/>
        <v>#NAME?</v>
      </c>
      <c r="L72" s="315">
        <f t="shared" si="30"/>
        <v>0.38250691702090373</v>
      </c>
      <c r="M72" s="316" t="e">
        <f t="shared" ca="1" si="31"/>
        <v>#NAME?</v>
      </c>
    </row>
    <row r="73" spans="1:13" x14ac:dyDescent="0.35">
      <c r="A73" s="306">
        <v>0.99</v>
      </c>
      <c r="C73" s="315" t="e">
        <f t="shared" ca="1" si="24"/>
        <v>#DIV/0!</v>
      </c>
      <c r="D73" s="315" t="e">
        <f t="shared" ca="1" si="25"/>
        <v>#DIV/0!</v>
      </c>
      <c r="E73" s="315">
        <f t="shared" si="26"/>
        <v>0.3301371478949367</v>
      </c>
      <c r="F73" s="316" t="e">
        <f t="shared" ca="1" si="27"/>
        <v>#DIV/0!</v>
      </c>
      <c r="H73" s="306">
        <v>0.99</v>
      </c>
      <c r="J73" s="315" t="e">
        <f t="shared" ca="1" si="28"/>
        <v>#NAME?</v>
      </c>
      <c r="K73" s="315" t="e">
        <f t="shared" ca="1" si="29"/>
        <v>#NAME?</v>
      </c>
      <c r="L73" s="315">
        <f t="shared" si="30"/>
        <v>0.29423609001607981</v>
      </c>
      <c r="M73" s="316" t="e">
        <f t="shared" ca="1" si="31"/>
        <v>#NAME?</v>
      </c>
    </row>
    <row r="74" spans="1:13" x14ac:dyDescent="0.35">
      <c r="A74" s="307">
        <v>0.99299999999999999</v>
      </c>
      <c r="C74" s="315" t="e">
        <f t="shared" ca="1" si="24"/>
        <v>#DIV/0!</v>
      </c>
      <c r="D74" s="315" t="e">
        <f t="shared" ca="1" si="25"/>
        <v>#DIV/0!</v>
      </c>
      <c r="E74" s="315">
        <f t="shared" si="26"/>
        <v>0.23109600352645568</v>
      </c>
      <c r="F74" s="316" t="e">
        <f t="shared" ca="1" si="27"/>
        <v>#DIV/0!</v>
      </c>
      <c r="H74" s="307">
        <v>0.99299999999999999</v>
      </c>
      <c r="J74" s="315" t="e">
        <f t="shared" ca="1" si="28"/>
        <v>#NAME?</v>
      </c>
      <c r="K74" s="315" t="e">
        <f t="shared" ca="1" si="29"/>
        <v>#NAME?</v>
      </c>
      <c r="L74" s="315">
        <f t="shared" si="30"/>
        <v>0.20596526301125587</v>
      </c>
      <c r="M74" s="316" t="e">
        <f t="shared" ca="1" si="31"/>
        <v>#NAME?</v>
      </c>
    </row>
    <row r="75" spans="1:13" ht="15" thickBot="1" x14ac:dyDescent="0.4">
      <c r="A75" s="310">
        <v>0.997</v>
      </c>
      <c r="B75" s="298"/>
      <c r="C75" s="317" t="e">
        <f t="shared" ca="1" si="24"/>
        <v>#DIV/0!</v>
      </c>
      <c r="D75" s="317" t="e">
        <f t="shared" ca="1" si="25"/>
        <v>#DIV/0!</v>
      </c>
      <c r="E75" s="317">
        <f t="shared" si="26"/>
        <v>9.9041144368481007E-2</v>
      </c>
      <c r="F75" s="318" t="e">
        <f t="shared" ca="1" si="27"/>
        <v>#DIV/0!</v>
      </c>
      <c r="H75" s="310">
        <v>0.997</v>
      </c>
      <c r="I75" s="298"/>
      <c r="J75" s="317" t="e">
        <f t="shared" ca="1" si="28"/>
        <v>#NAME?</v>
      </c>
      <c r="K75" s="317" t="e">
        <f t="shared" ca="1" si="29"/>
        <v>#NAME?</v>
      </c>
      <c r="L75" s="317">
        <f t="shared" si="30"/>
        <v>8.8270827004823943E-2</v>
      </c>
      <c r="M75" s="318" t="e">
        <f t="shared" ca="1" si="31"/>
        <v>#NAME?</v>
      </c>
    </row>
    <row r="76" spans="1:13" ht="15" thickBot="1" x14ac:dyDescent="0.4"/>
    <row r="77" spans="1:13" x14ac:dyDescent="0.35">
      <c r="A77" s="308" t="s">
        <v>289</v>
      </c>
      <c r="B77" s="309" t="s">
        <v>188</v>
      </c>
      <c r="C77" s="311"/>
      <c r="D77" s="311"/>
      <c r="E77" s="311"/>
      <c r="F77" s="312"/>
      <c r="H77" s="308" t="s">
        <v>289</v>
      </c>
      <c r="I77" s="309" t="s">
        <v>188</v>
      </c>
      <c r="J77" s="311"/>
      <c r="K77" s="311"/>
      <c r="L77" s="311"/>
      <c r="M77" s="312"/>
    </row>
    <row r="78" spans="1:13" x14ac:dyDescent="0.35">
      <c r="A78" s="305" t="s">
        <v>290</v>
      </c>
      <c r="B78" t="s">
        <v>202</v>
      </c>
      <c r="C78" s="313"/>
      <c r="D78" s="313"/>
      <c r="E78" s="313"/>
      <c r="F78" s="314"/>
      <c r="H78" s="305" t="s">
        <v>290</v>
      </c>
      <c r="I78" t="s">
        <v>201</v>
      </c>
      <c r="J78" s="313"/>
      <c r="K78" s="313"/>
      <c r="L78" s="313"/>
      <c r="M78" s="314"/>
    </row>
    <row r="79" spans="1:13" x14ac:dyDescent="0.35">
      <c r="A79" s="305" t="s">
        <v>291</v>
      </c>
      <c r="C79" s="313">
        <f>C3</f>
        <v>0</v>
      </c>
      <c r="D79" s="319">
        <f>D3</f>
        <v>0</v>
      </c>
      <c r="E79" s="319">
        <f>E3</f>
        <v>4</v>
      </c>
      <c r="F79" s="320">
        <f>F3</f>
        <v>0</v>
      </c>
      <c r="H79" s="305" t="s">
        <v>291</v>
      </c>
      <c r="J79" s="313">
        <f>C3</f>
        <v>0</v>
      </c>
      <c r="K79" s="319">
        <f>D3</f>
        <v>0</v>
      </c>
      <c r="L79" s="319">
        <f>E3</f>
        <v>4</v>
      </c>
      <c r="M79" s="320">
        <f>F3</f>
        <v>0</v>
      </c>
    </row>
    <row r="80" spans="1:13" x14ac:dyDescent="0.35">
      <c r="A80" s="305" t="s">
        <v>292</v>
      </c>
      <c r="C80" s="313">
        <f>Devices!C32*C3</f>
        <v>0</v>
      </c>
      <c r="D80" s="313">
        <f>Devices!D32*D3</f>
        <v>0</v>
      </c>
      <c r="E80" s="313">
        <f>Devices!E32*E3</f>
        <v>6</v>
      </c>
      <c r="F80" s="314">
        <f>Devices!F32*F3</f>
        <v>0</v>
      </c>
      <c r="H80" s="305" t="s">
        <v>292</v>
      </c>
      <c r="J80" s="313">
        <f>Devices!C32*C3</f>
        <v>0</v>
      </c>
      <c r="K80" s="313">
        <f>Devices!D32*D3</f>
        <v>0</v>
      </c>
      <c r="L80" s="313">
        <f>Devices!E32*E3</f>
        <v>6</v>
      </c>
      <c r="M80" s="314">
        <f>Devices!F32*F3</f>
        <v>0</v>
      </c>
    </row>
    <row r="81" spans="1:13" x14ac:dyDescent="0.35">
      <c r="A81" s="305" t="s">
        <v>293</v>
      </c>
      <c r="C81" s="313">
        <f>Devices!C1</f>
        <v>1</v>
      </c>
      <c r="D81" s="313">
        <f>Devices!D1</f>
        <v>2</v>
      </c>
      <c r="E81" s="313">
        <f>Devices!E1</f>
        <v>3</v>
      </c>
      <c r="F81" s="314">
        <f>Devices!F1</f>
        <v>4</v>
      </c>
      <c r="H81" s="305" t="s">
        <v>293</v>
      </c>
      <c r="J81" s="313">
        <f>Devices!C1</f>
        <v>1</v>
      </c>
      <c r="K81" s="313">
        <f>Devices!D1</f>
        <v>2</v>
      </c>
      <c r="L81" s="313">
        <f>Devices!E1</f>
        <v>3</v>
      </c>
      <c r="M81" s="314">
        <f>Devices!F1</f>
        <v>4</v>
      </c>
    </row>
    <row r="82" spans="1:13" x14ac:dyDescent="0.35">
      <c r="A82" s="305" t="s">
        <v>294</v>
      </c>
      <c r="C82" s="313"/>
      <c r="D82" s="313"/>
      <c r="E82" s="313"/>
      <c r="F82" s="314"/>
      <c r="H82" s="305" t="s">
        <v>294</v>
      </c>
      <c r="J82" s="313"/>
      <c r="K82" s="313"/>
      <c r="L82" s="313"/>
      <c r="M82" s="314"/>
    </row>
    <row r="83" spans="1:13" ht="29" x14ac:dyDescent="0.35">
      <c r="A83" s="305" t="s">
        <v>295</v>
      </c>
      <c r="C83" s="313">
        <f>Devices!C2</f>
        <v>0</v>
      </c>
      <c r="D83" s="313">
        <f>Devices!D2</f>
        <v>0</v>
      </c>
      <c r="E83" s="313" t="str">
        <f>Devices!E2</f>
        <v>Magallanes</v>
      </c>
      <c r="F83" s="314">
        <f>Devices!F2</f>
        <v>0</v>
      </c>
      <c r="H83" s="305" t="s">
        <v>295</v>
      </c>
      <c r="J83" s="313">
        <f>Devices!C2</f>
        <v>0</v>
      </c>
      <c r="K83" s="313">
        <f>Devices!D2</f>
        <v>0</v>
      </c>
      <c r="L83" s="313" t="str">
        <f>Devices!E2</f>
        <v>Magallanes</v>
      </c>
      <c r="M83" s="314">
        <f>Devices!F2</f>
        <v>0</v>
      </c>
    </row>
    <row r="84" spans="1:13" x14ac:dyDescent="0.35">
      <c r="A84" s="306">
        <v>0</v>
      </c>
      <c r="C84" s="315" t="e">
        <f ca="1">ERM_1!Q45*C79</f>
        <v>#DIV/0!</v>
      </c>
      <c r="D84" s="315" t="e">
        <f ca="1">ERM_2!Q45*D79</f>
        <v>#DIV/0!</v>
      </c>
      <c r="E84" s="315">
        <f>ERM_3!Q45*E79</f>
        <v>11.432404520610158</v>
      </c>
      <c r="F84" s="316" t="e">
        <f ca="1">ERM_4!Q45*F79</f>
        <v>#DIV/0!</v>
      </c>
      <c r="H84" s="306">
        <v>0</v>
      </c>
      <c r="J84" s="315" t="e">
        <f ca="1">CRM_1!Q45*J79</f>
        <v>#NAME?</v>
      </c>
      <c r="K84" s="315" t="e">
        <f ca="1">CRM_2!Q45*K79</f>
        <v>#NAME?</v>
      </c>
      <c r="L84" s="315">
        <f>CRM_3!Q45*L79</f>
        <v>13.155412363603071</v>
      </c>
      <c r="M84" s="316" t="e">
        <f ca="1">CRM_4!Q45*M79</f>
        <v>#NAME?</v>
      </c>
    </row>
    <row r="85" spans="1:13" x14ac:dyDescent="0.35">
      <c r="A85" s="306">
        <v>0.5</v>
      </c>
      <c r="C85" s="315" t="e">
        <f t="shared" ref="C85:C94" ca="1" si="32">C$84*(1-A85)</f>
        <v>#DIV/0!</v>
      </c>
      <c r="D85" s="315" t="e">
        <f t="shared" ref="D85:D94" ca="1" si="33">D$84*(1-A85)</f>
        <v>#DIV/0!</v>
      </c>
      <c r="E85" s="315">
        <f t="shared" ref="E85:E94" si="34">E$84*(1-A85)</f>
        <v>5.7162022603050788</v>
      </c>
      <c r="F85" s="316" t="e">
        <f t="shared" ref="F85:F94" ca="1" si="35">F$84*(1-A85)</f>
        <v>#DIV/0!</v>
      </c>
      <c r="H85" s="306">
        <v>0.5</v>
      </c>
      <c r="J85" s="315" t="e">
        <f t="shared" ref="J85:J94" ca="1" si="36">J$84*(1-H85)</f>
        <v>#NAME?</v>
      </c>
      <c r="K85" s="315" t="e">
        <f t="shared" ref="K85:K94" ca="1" si="37">K$84*(1-H85)</f>
        <v>#NAME?</v>
      </c>
      <c r="L85" s="315">
        <f t="shared" ref="L85:L94" si="38">L$84*(1-H85)</f>
        <v>6.5777061818015357</v>
      </c>
      <c r="M85" s="316" t="e">
        <f t="shared" ref="M85:M94" ca="1" si="39">M$84*(1-H85)</f>
        <v>#NAME?</v>
      </c>
    </row>
    <row r="86" spans="1:13" x14ac:dyDescent="0.35">
      <c r="A86" s="306">
        <v>0.9</v>
      </c>
      <c r="C86" s="315" t="e">
        <f t="shared" ca="1" si="32"/>
        <v>#DIV/0!</v>
      </c>
      <c r="D86" s="315" t="e">
        <f t="shared" ca="1" si="33"/>
        <v>#DIV/0!</v>
      </c>
      <c r="E86" s="315">
        <f t="shared" si="34"/>
        <v>1.1432404520610155</v>
      </c>
      <c r="F86" s="316" t="e">
        <f t="shared" ca="1" si="35"/>
        <v>#DIV/0!</v>
      </c>
      <c r="H86" s="306">
        <v>0.9</v>
      </c>
      <c r="J86" s="315" t="e">
        <f t="shared" ca="1" si="36"/>
        <v>#NAME?</v>
      </c>
      <c r="K86" s="315" t="e">
        <f t="shared" ca="1" si="37"/>
        <v>#NAME?</v>
      </c>
      <c r="L86" s="315">
        <f t="shared" si="38"/>
        <v>1.3155412363603067</v>
      </c>
      <c r="M86" s="316" t="e">
        <f t="shared" ca="1" si="39"/>
        <v>#NAME?</v>
      </c>
    </row>
    <row r="87" spans="1:13" x14ac:dyDescent="0.35">
      <c r="A87" s="306">
        <v>0.95</v>
      </c>
      <c r="C87" s="315" t="e">
        <f t="shared" ca="1" si="32"/>
        <v>#DIV/0!</v>
      </c>
      <c r="D87" s="315" t="e">
        <f t="shared" ca="1" si="33"/>
        <v>#DIV/0!</v>
      </c>
      <c r="E87" s="315">
        <f t="shared" si="34"/>
        <v>0.57162022603050844</v>
      </c>
      <c r="F87" s="316" t="e">
        <f t="shared" ca="1" si="35"/>
        <v>#DIV/0!</v>
      </c>
      <c r="H87" s="306">
        <v>0.95</v>
      </c>
      <c r="J87" s="315" t="e">
        <f t="shared" ca="1" si="36"/>
        <v>#NAME?</v>
      </c>
      <c r="K87" s="315" t="e">
        <f t="shared" ca="1" si="37"/>
        <v>#NAME?</v>
      </c>
      <c r="L87" s="315">
        <f t="shared" si="38"/>
        <v>0.65777061818015414</v>
      </c>
      <c r="M87" s="316" t="e">
        <f t="shared" ca="1" si="39"/>
        <v>#NAME?</v>
      </c>
    </row>
    <row r="88" spans="1:13" x14ac:dyDescent="0.35">
      <c r="A88" s="306">
        <v>0.98</v>
      </c>
      <c r="C88" s="315" t="e">
        <f t="shared" ca="1" si="32"/>
        <v>#DIV/0!</v>
      </c>
      <c r="D88" s="315" t="e">
        <f t="shared" ca="1" si="33"/>
        <v>#DIV/0!</v>
      </c>
      <c r="E88" s="315">
        <f t="shared" si="34"/>
        <v>0.22864809041220335</v>
      </c>
      <c r="F88" s="316" t="e">
        <f t="shared" ca="1" si="35"/>
        <v>#DIV/0!</v>
      </c>
      <c r="H88" s="306">
        <v>0.98</v>
      </c>
      <c r="J88" s="315" t="e">
        <f t="shared" ca="1" si="36"/>
        <v>#NAME?</v>
      </c>
      <c r="K88" s="315" t="e">
        <f t="shared" ca="1" si="37"/>
        <v>#NAME?</v>
      </c>
      <c r="L88" s="315">
        <f t="shared" si="38"/>
        <v>0.26310824727206167</v>
      </c>
      <c r="M88" s="316" t="e">
        <f t="shared" ca="1" si="39"/>
        <v>#NAME?</v>
      </c>
    </row>
    <row r="89" spans="1:13" x14ac:dyDescent="0.35">
      <c r="A89" s="307">
        <v>0.98199999999999998</v>
      </c>
      <c r="C89" s="315" t="e">
        <f t="shared" ca="1" si="32"/>
        <v>#DIV/0!</v>
      </c>
      <c r="D89" s="315" t="e">
        <f t="shared" ca="1" si="33"/>
        <v>#DIV/0!</v>
      </c>
      <c r="E89" s="315">
        <f t="shared" si="34"/>
        <v>0.20578328137098303</v>
      </c>
      <c r="F89" s="316" t="e">
        <f t="shared" ca="1" si="35"/>
        <v>#DIV/0!</v>
      </c>
      <c r="H89" s="307">
        <v>0.98199999999999998</v>
      </c>
      <c r="J89" s="315" t="e">
        <f t="shared" ca="1" si="36"/>
        <v>#NAME?</v>
      </c>
      <c r="K89" s="315" t="e">
        <f t="shared" ca="1" si="37"/>
        <v>#NAME?</v>
      </c>
      <c r="L89" s="315">
        <f t="shared" si="38"/>
        <v>0.2367974225448555</v>
      </c>
      <c r="M89" s="316" t="e">
        <f t="shared" ca="1" si="39"/>
        <v>#NAME?</v>
      </c>
    </row>
    <row r="90" spans="1:13" x14ac:dyDescent="0.35">
      <c r="A90" s="307">
        <v>0.98499999999999999</v>
      </c>
      <c r="C90" s="315" t="e">
        <f t="shared" ca="1" si="32"/>
        <v>#DIV/0!</v>
      </c>
      <c r="D90" s="315" t="e">
        <f t="shared" ca="1" si="33"/>
        <v>#DIV/0!</v>
      </c>
      <c r="E90" s="315">
        <f t="shared" si="34"/>
        <v>0.17148606780915251</v>
      </c>
      <c r="F90" s="316" t="e">
        <f t="shared" ca="1" si="35"/>
        <v>#DIV/0!</v>
      </c>
      <c r="H90" s="307">
        <v>0.98499999999999999</v>
      </c>
      <c r="J90" s="315" t="e">
        <f t="shared" ca="1" si="36"/>
        <v>#NAME?</v>
      </c>
      <c r="K90" s="315" t="e">
        <f t="shared" ca="1" si="37"/>
        <v>#NAME?</v>
      </c>
      <c r="L90" s="315">
        <f t="shared" si="38"/>
        <v>0.19733118545404624</v>
      </c>
      <c r="M90" s="316" t="e">
        <f t="shared" ca="1" si="39"/>
        <v>#NAME?</v>
      </c>
    </row>
    <row r="91" spans="1:13" x14ac:dyDescent="0.35">
      <c r="A91" s="307">
        <v>0.98699999999999999</v>
      </c>
      <c r="C91" s="315" t="e">
        <f t="shared" ca="1" si="32"/>
        <v>#DIV/0!</v>
      </c>
      <c r="D91" s="315" t="e">
        <f t="shared" ca="1" si="33"/>
        <v>#DIV/0!</v>
      </c>
      <c r="E91" s="315">
        <f t="shared" si="34"/>
        <v>0.14862125876793217</v>
      </c>
      <c r="F91" s="316" t="e">
        <f t="shared" ca="1" si="35"/>
        <v>#DIV/0!</v>
      </c>
      <c r="H91" s="307">
        <v>0.98699999999999999</v>
      </c>
      <c r="J91" s="315" t="e">
        <f t="shared" ca="1" si="36"/>
        <v>#NAME?</v>
      </c>
      <c r="K91" s="315" t="e">
        <f t="shared" ca="1" si="37"/>
        <v>#NAME?</v>
      </c>
      <c r="L91" s="315">
        <f t="shared" si="38"/>
        <v>0.17102036072684007</v>
      </c>
      <c r="M91" s="316" t="e">
        <f t="shared" ca="1" si="39"/>
        <v>#NAME?</v>
      </c>
    </row>
    <row r="92" spans="1:13" x14ac:dyDescent="0.35">
      <c r="A92" s="306">
        <v>0.99</v>
      </c>
      <c r="C92" s="315" t="e">
        <f t="shared" ca="1" si="32"/>
        <v>#DIV/0!</v>
      </c>
      <c r="D92" s="315" t="e">
        <f t="shared" ca="1" si="33"/>
        <v>#DIV/0!</v>
      </c>
      <c r="E92" s="315">
        <f t="shared" si="34"/>
        <v>0.11432404520610168</v>
      </c>
      <c r="F92" s="316" t="e">
        <f t="shared" ca="1" si="35"/>
        <v>#DIV/0!</v>
      </c>
      <c r="H92" s="306">
        <v>0.99</v>
      </c>
      <c r="J92" s="315" t="e">
        <f t="shared" ca="1" si="36"/>
        <v>#NAME?</v>
      </c>
      <c r="K92" s="315" t="e">
        <f t="shared" ca="1" si="37"/>
        <v>#NAME?</v>
      </c>
      <c r="L92" s="315">
        <f t="shared" si="38"/>
        <v>0.13155412363603083</v>
      </c>
      <c r="M92" s="316" t="e">
        <f t="shared" ca="1" si="39"/>
        <v>#NAME?</v>
      </c>
    </row>
    <row r="93" spans="1:13" x14ac:dyDescent="0.35">
      <c r="A93" s="307">
        <v>0.99299999999999999</v>
      </c>
      <c r="C93" s="315" t="e">
        <f t="shared" ca="1" si="32"/>
        <v>#DIV/0!</v>
      </c>
      <c r="D93" s="315" t="e">
        <f t="shared" ca="1" si="33"/>
        <v>#DIV/0!</v>
      </c>
      <c r="E93" s="315">
        <f t="shared" si="34"/>
        <v>8.0026831644271171E-2</v>
      </c>
      <c r="F93" s="316" t="e">
        <f t="shared" ca="1" si="35"/>
        <v>#DIV/0!</v>
      </c>
      <c r="H93" s="307">
        <v>0.99299999999999999</v>
      </c>
      <c r="J93" s="315" t="e">
        <f t="shared" ca="1" si="36"/>
        <v>#NAME?</v>
      </c>
      <c r="K93" s="315" t="e">
        <f t="shared" ca="1" si="37"/>
        <v>#NAME?</v>
      </c>
      <c r="L93" s="315">
        <f t="shared" si="38"/>
        <v>9.2087886545221584E-2</v>
      </c>
      <c r="M93" s="316" t="e">
        <f t="shared" ca="1" si="39"/>
        <v>#NAME?</v>
      </c>
    </row>
    <row r="94" spans="1:13" ht="15" thickBot="1" x14ac:dyDescent="0.4">
      <c r="A94" s="310">
        <v>0.997</v>
      </c>
      <c r="B94" s="298"/>
      <c r="C94" s="317" t="e">
        <f t="shared" ca="1" si="32"/>
        <v>#DIV/0!</v>
      </c>
      <c r="D94" s="317" t="e">
        <f t="shared" ca="1" si="33"/>
        <v>#DIV/0!</v>
      </c>
      <c r="E94" s="317">
        <f t="shared" si="34"/>
        <v>3.4297213561830506E-2</v>
      </c>
      <c r="F94" s="318" t="e">
        <f t="shared" ca="1" si="35"/>
        <v>#DIV/0!</v>
      </c>
      <c r="H94" s="310">
        <v>0.997</v>
      </c>
      <c r="I94" s="298"/>
      <c r="J94" s="317" t="e">
        <f t="shared" ca="1" si="36"/>
        <v>#NAME?</v>
      </c>
      <c r="K94" s="317" t="e">
        <f t="shared" ca="1" si="37"/>
        <v>#NAME?</v>
      </c>
      <c r="L94" s="317">
        <f t="shared" si="38"/>
        <v>3.946623709080925E-2</v>
      </c>
      <c r="M94" s="318" t="e">
        <f t="shared" ca="1" si="39"/>
        <v>#NAME?</v>
      </c>
    </row>
    <row r="95" spans="1:13" ht="15" thickBot="1" x14ac:dyDescent="0.4"/>
    <row r="96" spans="1:13" x14ac:dyDescent="0.35">
      <c r="A96" s="308" t="s">
        <v>289</v>
      </c>
      <c r="B96" s="309" t="s">
        <v>189</v>
      </c>
      <c r="C96" s="311"/>
      <c r="D96" s="311"/>
      <c r="E96" s="311"/>
      <c r="F96" s="312"/>
      <c r="H96" s="308" t="s">
        <v>289</v>
      </c>
      <c r="I96" s="309" t="s">
        <v>189</v>
      </c>
      <c r="J96" s="311"/>
      <c r="K96" s="311"/>
      <c r="L96" s="311"/>
      <c r="M96" s="312"/>
    </row>
    <row r="97" spans="1:13" x14ac:dyDescent="0.35">
      <c r="A97" s="305" t="s">
        <v>290</v>
      </c>
      <c r="B97" t="s">
        <v>202</v>
      </c>
      <c r="C97" s="313"/>
      <c r="D97" s="313"/>
      <c r="E97" s="313"/>
      <c r="F97" s="314"/>
      <c r="H97" s="305" t="s">
        <v>290</v>
      </c>
      <c r="I97" t="s">
        <v>201</v>
      </c>
      <c r="J97" s="313"/>
      <c r="K97" s="313"/>
      <c r="L97" s="313"/>
      <c r="M97" s="314"/>
    </row>
    <row r="98" spans="1:13" x14ac:dyDescent="0.35">
      <c r="A98" s="305" t="s">
        <v>291</v>
      </c>
      <c r="C98" s="313">
        <f>C3</f>
        <v>0</v>
      </c>
      <c r="D98" s="319">
        <f>D3</f>
        <v>0</v>
      </c>
      <c r="E98" s="319">
        <f>E3</f>
        <v>4</v>
      </c>
      <c r="F98" s="320">
        <f>F3</f>
        <v>0</v>
      </c>
      <c r="H98" s="305" t="s">
        <v>291</v>
      </c>
      <c r="J98" s="313">
        <f>C3</f>
        <v>0</v>
      </c>
      <c r="K98" s="319">
        <f>D3</f>
        <v>0</v>
      </c>
      <c r="L98" s="319">
        <f>E3</f>
        <v>4</v>
      </c>
      <c r="M98" s="320">
        <f>F3</f>
        <v>0</v>
      </c>
    </row>
    <row r="99" spans="1:13" x14ac:dyDescent="0.35">
      <c r="A99" s="305" t="s">
        <v>292</v>
      </c>
      <c r="C99" s="313">
        <f>Devices!C32*C3</f>
        <v>0</v>
      </c>
      <c r="D99" s="313">
        <f>Devices!D32*D3</f>
        <v>0</v>
      </c>
      <c r="E99" s="313">
        <f>Devices!E32*E3</f>
        <v>6</v>
      </c>
      <c r="F99" s="314">
        <f>Devices!F32*F3</f>
        <v>0</v>
      </c>
      <c r="H99" s="305" t="s">
        <v>292</v>
      </c>
      <c r="J99" s="313">
        <f>Devices!C32*C3</f>
        <v>0</v>
      </c>
      <c r="K99" s="313">
        <f>Devices!D32*D3</f>
        <v>0</v>
      </c>
      <c r="L99" s="313">
        <f>Devices!E32*E3</f>
        <v>6</v>
      </c>
      <c r="M99" s="314">
        <f>Devices!F32*F3</f>
        <v>0</v>
      </c>
    </row>
    <row r="100" spans="1:13" x14ac:dyDescent="0.35">
      <c r="A100" s="305" t="s">
        <v>293</v>
      </c>
      <c r="C100" s="313">
        <f>Devices!C1</f>
        <v>1</v>
      </c>
      <c r="D100" s="313">
        <f>Devices!D1</f>
        <v>2</v>
      </c>
      <c r="E100" s="313">
        <f>Devices!E1</f>
        <v>3</v>
      </c>
      <c r="F100" s="314">
        <f>Devices!F1</f>
        <v>4</v>
      </c>
      <c r="H100" s="305" t="s">
        <v>293</v>
      </c>
      <c r="J100" s="313">
        <f>Devices!C1</f>
        <v>1</v>
      </c>
      <c r="K100" s="313">
        <f>Devices!D1</f>
        <v>2</v>
      </c>
      <c r="L100" s="313">
        <f>Devices!E1</f>
        <v>3</v>
      </c>
      <c r="M100" s="314">
        <f>Devices!F1</f>
        <v>4</v>
      </c>
    </row>
    <row r="101" spans="1:13" x14ac:dyDescent="0.35">
      <c r="A101" s="305" t="s">
        <v>294</v>
      </c>
      <c r="C101" s="313"/>
      <c r="D101" s="313"/>
      <c r="E101" s="313"/>
      <c r="F101" s="314"/>
      <c r="H101" s="305" t="s">
        <v>294</v>
      </c>
      <c r="J101" s="313"/>
      <c r="K101" s="313"/>
      <c r="L101" s="313"/>
      <c r="M101" s="314"/>
    </row>
    <row r="102" spans="1:13" ht="29" x14ac:dyDescent="0.35">
      <c r="A102" s="305" t="s">
        <v>295</v>
      </c>
      <c r="C102" s="313">
        <f>Devices!C2</f>
        <v>0</v>
      </c>
      <c r="D102" s="313">
        <f>Devices!D2</f>
        <v>0</v>
      </c>
      <c r="E102" s="313" t="str">
        <f>Devices!E2</f>
        <v>Magallanes</v>
      </c>
      <c r="F102" s="314">
        <f>Devices!F2</f>
        <v>0</v>
      </c>
      <c r="H102" s="305" t="s">
        <v>295</v>
      </c>
      <c r="J102" s="313">
        <f>Devices!C2</f>
        <v>0</v>
      </c>
      <c r="K102" s="313">
        <f>Devices!D2</f>
        <v>0</v>
      </c>
      <c r="L102" s="313" t="str">
        <f>Devices!E2</f>
        <v>Magallanes</v>
      </c>
      <c r="M102" s="314">
        <f>Devices!F2</f>
        <v>0</v>
      </c>
    </row>
    <row r="103" spans="1:13" x14ac:dyDescent="0.35">
      <c r="A103" s="306">
        <v>0</v>
      </c>
      <c r="C103" s="315" t="e">
        <f ca="1">ERM_1!S45*C98</f>
        <v>#DIV/0!</v>
      </c>
      <c r="D103" s="315" t="e">
        <f ca="1">ERM_2!S45*D98</f>
        <v>#DIV/0!</v>
      </c>
      <c r="E103" s="315">
        <f>ERM_3!S45*E98</f>
        <v>20.712477026677789</v>
      </c>
      <c r="F103" s="316" t="e">
        <f ca="1">ERM_4!S45*F98</f>
        <v>#DIV/0!</v>
      </c>
      <c r="H103" s="306">
        <v>0</v>
      </c>
      <c r="J103" s="315" t="e">
        <f ca="1">CRM_1!S45*J98</f>
        <v>#NAME?</v>
      </c>
      <c r="K103" s="315" t="e">
        <f ca="1">CRM_2!S45*K98</f>
        <v>#NAME?</v>
      </c>
      <c r="L103" s="315">
        <f>CRM_3!S45*L98</f>
        <v>23.374985297316982</v>
      </c>
      <c r="M103" s="316" t="e">
        <f ca="1">CRM_4!S45*M98</f>
        <v>#NAME?</v>
      </c>
    </row>
    <row r="104" spans="1:13" x14ac:dyDescent="0.35">
      <c r="A104" s="306">
        <v>0.5</v>
      </c>
      <c r="C104" s="315" t="e">
        <f t="shared" ref="C104:C113" ca="1" si="40">C$103*(1-A104)</f>
        <v>#DIV/0!</v>
      </c>
      <c r="D104" s="315" t="e">
        <f t="shared" ref="D104:D113" ca="1" si="41">D$103*(1-A104)</f>
        <v>#DIV/0!</v>
      </c>
      <c r="E104" s="315">
        <f t="shared" ref="E104:E113" si="42">E$103*(1-A104)</f>
        <v>10.356238513338894</v>
      </c>
      <c r="F104" s="316" t="e">
        <f t="shared" ref="F104:F113" ca="1" si="43">F$103*(1-A104)</f>
        <v>#DIV/0!</v>
      </c>
      <c r="H104" s="306">
        <v>0.5</v>
      </c>
      <c r="J104" s="315" t="e">
        <f t="shared" ref="J104:J113" ca="1" si="44">J$103*(1-H104)</f>
        <v>#NAME?</v>
      </c>
      <c r="K104" s="315" t="e">
        <f t="shared" ref="K104:K113" ca="1" si="45">K$103*(1-H104)</f>
        <v>#NAME?</v>
      </c>
      <c r="L104" s="315">
        <f t="shared" ref="L104:L113" si="46">L$103*(1-H104)</f>
        <v>11.687492648658491</v>
      </c>
      <c r="M104" s="316" t="e">
        <f t="shared" ref="M104:M113" ca="1" si="47">M$103*(1-H104)</f>
        <v>#NAME?</v>
      </c>
    </row>
    <row r="105" spans="1:13" x14ac:dyDescent="0.35">
      <c r="A105" s="306">
        <v>0.9</v>
      </c>
      <c r="C105" s="315" t="e">
        <f t="shared" ca="1" si="40"/>
        <v>#DIV/0!</v>
      </c>
      <c r="D105" s="315" t="e">
        <f t="shared" ca="1" si="41"/>
        <v>#DIV/0!</v>
      </c>
      <c r="E105" s="315">
        <f t="shared" si="42"/>
        <v>2.0712477026677782</v>
      </c>
      <c r="F105" s="316" t="e">
        <f t="shared" ca="1" si="43"/>
        <v>#DIV/0!</v>
      </c>
      <c r="H105" s="306">
        <v>0.9</v>
      </c>
      <c r="J105" s="315" t="e">
        <f t="shared" ca="1" si="44"/>
        <v>#NAME?</v>
      </c>
      <c r="K105" s="315" t="e">
        <f t="shared" ca="1" si="45"/>
        <v>#NAME?</v>
      </c>
      <c r="L105" s="315">
        <f t="shared" si="46"/>
        <v>2.3374985297316977</v>
      </c>
      <c r="M105" s="316" t="e">
        <f t="shared" ca="1" si="47"/>
        <v>#NAME?</v>
      </c>
    </row>
    <row r="106" spans="1:13" x14ac:dyDescent="0.35">
      <c r="A106" s="306">
        <v>0.95</v>
      </c>
      <c r="C106" s="315" t="e">
        <f t="shared" ca="1" si="40"/>
        <v>#DIV/0!</v>
      </c>
      <c r="D106" s="315" t="e">
        <f t="shared" ca="1" si="41"/>
        <v>#DIV/0!</v>
      </c>
      <c r="E106" s="315">
        <f t="shared" si="42"/>
        <v>1.0356238513338905</v>
      </c>
      <c r="F106" s="316" t="e">
        <f t="shared" ca="1" si="43"/>
        <v>#DIV/0!</v>
      </c>
      <c r="H106" s="306">
        <v>0.95</v>
      </c>
      <c r="J106" s="315" t="e">
        <f t="shared" ca="1" si="44"/>
        <v>#NAME?</v>
      </c>
      <c r="K106" s="315" t="e">
        <f t="shared" ca="1" si="45"/>
        <v>#NAME?</v>
      </c>
      <c r="L106" s="315">
        <f t="shared" si="46"/>
        <v>1.1687492648658502</v>
      </c>
      <c r="M106" s="316" t="e">
        <f t="shared" ca="1" si="47"/>
        <v>#NAME?</v>
      </c>
    </row>
    <row r="107" spans="1:13" x14ac:dyDescent="0.35">
      <c r="A107" s="306">
        <v>0.98</v>
      </c>
      <c r="C107" s="315" t="e">
        <f t="shared" ca="1" si="40"/>
        <v>#DIV/0!</v>
      </c>
      <c r="D107" s="315" t="e">
        <f t="shared" ca="1" si="41"/>
        <v>#DIV/0!</v>
      </c>
      <c r="E107" s="315">
        <f t="shared" si="42"/>
        <v>0.41424954053355612</v>
      </c>
      <c r="F107" s="316" t="e">
        <f t="shared" ca="1" si="43"/>
        <v>#DIV/0!</v>
      </c>
      <c r="H107" s="306">
        <v>0.98</v>
      </c>
      <c r="J107" s="315" t="e">
        <f t="shared" ca="1" si="44"/>
        <v>#NAME?</v>
      </c>
      <c r="K107" s="315" t="e">
        <f t="shared" ca="1" si="45"/>
        <v>#NAME?</v>
      </c>
      <c r="L107" s="315">
        <f t="shared" si="46"/>
        <v>0.46749970594634005</v>
      </c>
      <c r="M107" s="316" t="e">
        <f t="shared" ca="1" si="47"/>
        <v>#NAME?</v>
      </c>
    </row>
    <row r="108" spans="1:13" x14ac:dyDescent="0.35">
      <c r="A108" s="307">
        <v>0.98199999999999998</v>
      </c>
      <c r="C108" s="315" t="e">
        <f t="shared" ca="1" si="40"/>
        <v>#DIV/0!</v>
      </c>
      <c r="D108" s="315" t="e">
        <f t="shared" ca="1" si="41"/>
        <v>#DIV/0!</v>
      </c>
      <c r="E108" s="315">
        <f t="shared" si="42"/>
        <v>0.3728245864802005</v>
      </c>
      <c r="F108" s="316" t="e">
        <f t="shared" ca="1" si="43"/>
        <v>#DIV/0!</v>
      </c>
      <c r="H108" s="307">
        <v>0.98199999999999998</v>
      </c>
      <c r="J108" s="315" t="e">
        <f t="shared" ca="1" si="44"/>
        <v>#NAME?</v>
      </c>
      <c r="K108" s="315" t="e">
        <f t="shared" ca="1" si="45"/>
        <v>#NAME?</v>
      </c>
      <c r="L108" s="315">
        <f t="shared" si="46"/>
        <v>0.42074973535170607</v>
      </c>
      <c r="M108" s="316" t="e">
        <f t="shared" ca="1" si="47"/>
        <v>#NAME?</v>
      </c>
    </row>
    <row r="109" spans="1:13" x14ac:dyDescent="0.35">
      <c r="A109" s="307">
        <v>0.98499999999999999</v>
      </c>
      <c r="C109" s="315" t="e">
        <f t="shared" ca="1" si="40"/>
        <v>#DIV/0!</v>
      </c>
      <c r="D109" s="315" t="e">
        <f t="shared" ca="1" si="41"/>
        <v>#DIV/0!</v>
      </c>
      <c r="E109" s="315">
        <f t="shared" si="42"/>
        <v>0.31068715540016711</v>
      </c>
      <c r="F109" s="316" t="e">
        <f t="shared" ca="1" si="43"/>
        <v>#DIV/0!</v>
      </c>
      <c r="H109" s="307">
        <v>0.98499999999999999</v>
      </c>
      <c r="J109" s="315" t="e">
        <f t="shared" ca="1" si="44"/>
        <v>#NAME?</v>
      </c>
      <c r="K109" s="315" t="e">
        <f t="shared" ca="1" si="45"/>
        <v>#NAME?</v>
      </c>
      <c r="L109" s="315">
        <f t="shared" si="46"/>
        <v>0.35062477945975506</v>
      </c>
      <c r="M109" s="316" t="e">
        <f t="shared" ca="1" si="47"/>
        <v>#NAME?</v>
      </c>
    </row>
    <row r="110" spans="1:13" x14ac:dyDescent="0.35">
      <c r="A110" s="307">
        <v>0.98699999999999999</v>
      </c>
      <c r="C110" s="315" t="e">
        <f t="shared" ca="1" si="40"/>
        <v>#DIV/0!</v>
      </c>
      <c r="D110" s="315" t="e">
        <f t="shared" ca="1" si="41"/>
        <v>#DIV/0!</v>
      </c>
      <c r="E110" s="315">
        <f t="shared" si="42"/>
        <v>0.2692622013468115</v>
      </c>
      <c r="F110" s="316" t="e">
        <f t="shared" ca="1" si="43"/>
        <v>#DIV/0!</v>
      </c>
      <c r="H110" s="307">
        <v>0.98699999999999999</v>
      </c>
      <c r="J110" s="315" t="e">
        <f t="shared" ca="1" si="44"/>
        <v>#NAME?</v>
      </c>
      <c r="K110" s="315" t="e">
        <f t="shared" ca="1" si="45"/>
        <v>#NAME?</v>
      </c>
      <c r="L110" s="315">
        <f t="shared" si="46"/>
        <v>0.30387480886512103</v>
      </c>
      <c r="M110" s="316" t="e">
        <f t="shared" ca="1" si="47"/>
        <v>#NAME?</v>
      </c>
    </row>
    <row r="111" spans="1:13" x14ac:dyDescent="0.35">
      <c r="A111" s="306">
        <v>0.99</v>
      </c>
      <c r="C111" s="315" t="e">
        <f t="shared" ca="1" si="40"/>
        <v>#DIV/0!</v>
      </c>
      <c r="D111" s="315" t="e">
        <f t="shared" ca="1" si="41"/>
        <v>#DIV/0!</v>
      </c>
      <c r="E111" s="315">
        <f t="shared" si="42"/>
        <v>0.20712477026677806</v>
      </c>
      <c r="F111" s="316" t="e">
        <f t="shared" ca="1" si="43"/>
        <v>#DIV/0!</v>
      </c>
      <c r="H111" s="306">
        <v>0.99</v>
      </c>
      <c r="J111" s="315" t="e">
        <f t="shared" ca="1" si="44"/>
        <v>#NAME?</v>
      </c>
      <c r="K111" s="315" t="e">
        <f t="shared" ca="1" si="45"/>
        <v>#NAME?</v>
      </c>
      <c r="L111" s="315">
        <f t="shared" si="46"/>
        <v>0.23374985297317002</v>
      </c>
      <c r="M111" s="316" t="e">
        <f t="shared" ca="1" si="47"/>
        <v>#NAME?</v>
      </c>
    </row>
    <row r="112" spans="1:13" x14ac:dyDescent="0.35">
      <c r="A112" s="307">
        <v>0.99299999999999999</v>
      </c>
      <c r="C112" s="315" t="e">
        <f t="shared" ca="1" si="40"/>
        <v>#DIV/0!</v>
      </c>
      <c r="D112" s="315" t="e">
        <f t="shared" ca="1" si="41"/>
        <v>#DIV/0!</v>
      </c>
      <c r="E112" s="315">
        <f t="shared" si="42"/>
        <v>0.14498733918674464</v>
      </c>
      <c r="F112" s="316" t="e">
        <f t="shared" ca="1" si="43"/>
        <v>#DIV/0!</v>
      </c>
      <c r="H112" s="307">
        <v>0.99299999999999999</v>
      </c>
      <c r="J112" s="315" t="e">
        <f t="shared" ca="1" si="44"/>
        <v>#NAME?</v>
      </c>
      <c r="K112" s="315" t="e">
        <f t="shared" ca="1" si="45"/>
        <v>#NAME?</v>
      </c>
      <c r="L112" s="315">
        <f t="shared" si="46"/>
        <v>0.16362489708121902</v>
      </c>
      <c r="M112" s="316" t="e">
        <f t="shared" ca="1" si="47"/>
        <v>#NAME?</v>
      </c>
    </row>
    <row r="113" spans="1:13" ht="15" thickBot="1" x14ac:dyDescent="0.4">
      <c r="A113" s="310">
        <v>0.997</v>
      </c>
      <c r="B113" s="298"/>
      <c r="C113" s="317" t="e">
        <f t="shared" ca="1" si="40"/>
        <v>#DIV/0!</v>
      </c>
      <c r="D113" s="317" t="e">
        <f t="shared" ca="1" si="41"/>
        <v>#DIV/0!</v>
      </c>
      <c r="E113" s="317">
        <f t="shared" si="42"/>
        <v>6.2137431080033424E-2</v>
      </c>
      <c r="F113" s="318" t="e">
        <f t="shared" ca="1" si="43"/>
        <v>#DIV/0!</v>
      </c>
      <c r="H113" s="310">
        <v>0.997</v>
      </c>
      <c r="I113" s="298"/>
      <c r="J113" s="317" t="e">
        <f t="shared" ca="1" si="44"/>
        <v>#NAME?</v>
      </c>
      <c r="K113" s="317" t="e">
        <f t="shared" ca="1" si="45"/>
        <v>#NAME?</v>
      </c>
      <c r="L113" s="317">
        <f t="shared" si="46"/>
        <v>7.0124955891951016E-2</v>
      </c>
      <c r="M113" s="318" t="e">
        <f t="shared" ca="1" si="47"/>
        <v>#NAME?</v>
      </c>
    </row>
    <row r="114" spans="1:13" ht="15" thickBot="1" x14ac:dyDescent="0.4"/>
    <row r="115" spans="1:13" x14ac:dyDescent="0.35">
      <c r="A115" s="308" t="s">
        <v>289</v>
      </c>
      <c r="B115" s="309" t="s">
        <v>199</v>
      </c>
      <c r="C115" s="311"/>
      <c r="D115" s="311"/>
      <c r="E115" s="311"/>
      <c r="F115" s="312"/>
      <c r="H115" s="308" t="s">
        <v>289</v>
      </c>
      <c r="I115" s="309" t="s">
        <v>199</v>
      </c>
      <c r="J115" s="311"/>
      <c r="K115" s="311"/>
      <c r="L115" s="311"/>
      <c r="M115" s="312"/>
    </row>
    <row r="116" spans="1:13" x14ac:dyDescent="0.35">
      <c r="A116" s="305" t="s">
        <v>290</v>
      </c>
      <c r="B116" t="s">
        <v>202</v>
      </c>
      <c r="C116" s="313"/>
      <c r="D116" s="313"/>
      <c r="E116" s="313"/>
      <c r="F116" s="314"/>
      <c r="H116" s="305" t="s">
        <v>290</v>
      </c>
      <c r="I116" t="s">
        <v>201</v>
      </c>
      <c r="J116" s="313"/>
      <c r="K116" s="313"/>
      <c r="L116" s="313"/>
      <c r="M116" s="314"/>
    </row>
    <row r="117" spans="1:13" x14ac:dyDescent="0.35">
      <c r="A117" s="305" t="s">
        <v>291</v>
      </c>
      <c r="C117" s="313">
        <f>C3</f>
        <v>0</v>
      </c>
      <c r="D117" s="319">
        <f>D3</f>
        <v>0</v>
      </c>
      <c r="E117" s="319">
        <f>E3</f>
        <v>4</v>
      </c>
      <c r="F117" s="320">
        <f>F3</f>
        <v>0</v>
      </c>
      <c r="H117" s="305" t="s">
        <v>291</v>
      </c>
      <c r="J117" s="313">
        <f>C3</f>
        <v>0</v>
      </c>
      <c r="K117" s="319">
        <f>D3</f>
        <v>0</v>
      </c>
      <c r="L117" s="319">
        <f>E3</f>
        <v>4</v>
      </c>
      <c r="M117" s="320">
        <f>F3</f>
        <v>0</v>
      </c>
    </row>
    <row r="118" spans="1:13" x14ac:dyDescent="0.35">
      <c r="A118" s="305" t="s">
        <v>292</v>
      </c>
      <c r="C118" s="313">
        <f>Devices!C32*C3</f>
        <v>0</v>
      </c>
      <c r="D118" s="313">
        <f>Devices!D32*D3</f>
        <v>0</v>
      </c>
      <c r="E118" s="313">
        <f>Devices!E32*E3</f>
        <v>6</v>
      </c>
      <c r="F118" s="314">
        <f>Devices!F32*F3</f>
        <v>0</v>
      </c>
      <c r="H118" s="305" t="s">
        <v>292</v>
      </c>
      <c r="J118" s="313">
        <f>Devices!C32*C3</f>
        <v>0</v>
      </c>
      <c r="K118" s="313">
        <f>Devices!D32*D3</f>
        <v>0</v>
      </c>
      <c r="L118" s="313">
        <f>Devices!E32*E3</f>
        <v>6</v>
      </c>
      <c r="M118" s="314">
        <f>Devices!F32*F3</f>
        <v>0</v>
      </c>
    </row>
    <row r="119" spans="1:13" x14ac:dyDescent="0.35">
      <c r="A119" s="305" t="s">
        <v>293</v>
      </c>
      <c r="C119" s="313">
        <f>Devices!C1</f>
        <v>1</v>
      </c>
      <c r="D119" s="313">
        <f>Devices!D1</f>
        <v>2</v>
      </c>
      <c r="E119" s="313">
        <f>Devices!E1</f>
        <v>3</v>
      </c>
      <c r="F119" s="314">
        <f>Devices!F1</f>
        <v>4</v>
      </c>
      <c r="H119" s="305" t="s">
        <v>293</v>
      </c>
      <c r="J119" s="313">
        <f>Devices!C1</f>
        <v>1</v>
      </c>
      <c r="K119" s="313">
        <f>Devices!D1</f>
        <v>2</v>
      </c>
      <c r="L119" s="313">
        <f>Devices!E1</f>
        <v>3</v>
      </c>
      <c r="M119" s="314">
        <f>Devices!F1</f>
        <v>4</v>
      </c>
    </row>
    <row r="120" spans="1:13" x14ac:dyDescent="0.35">
      <c r="A120" s="305" t="s">
        <v>294</v>
      </c>
      <c r="C120" s="313"/>
      <c r="D120" s="313"/>
      <c r="E120" s="313"/>
      <c r="F120" s="314"/>
      <c r="H120" s="305" t="s">
        <v>294</v>
      </c>
      <c r="J120" s="313"/>
      <c r="K120" s="313"/>
      <c r="L120" s="313"/>
      <c r="M120" s="314"/>
    </row>
    <row r="121" spans="1:13" ht="29" x14ac:dyDescent="0.35">
      <c r="A121" s="305" t="s">
        <v>295</v>
      </c>
      <c r="C121" s="313">
        <f>Devices!C2</f>
        <v>0</v>
      </c>
      <c r="D121" s="313">
        <f>Devices!D2</f>
        <v>0</v>
      </c>
      <c r="E121" s="313" t="str">
        <f>Devices!E2</f>
        <v>Magallanes</v>
      </c>
      <c r="F121" s="314">
        <f>Devices!F2</f>
        <v>0</v>
      </c>
      <c r="H121" s="305" t="s">
        <v>295</v>
      </c>
      <c r="J121" s="313">
        <f>Devices!C2</f>
        <v>0</v>
      </c>
      <c r="K121" s="313">
        <f>Devices!D2</f>
        <v>0</v>
      </c>
      <c r="L121" s="313" t="str">
        <f>Devices!E2</f>
        <v>Magallanes</v>
      </c>
      <c r="M121" s="314">
        <f>Devices!F2</f>
        <v>0</v>
      </c>
    </row>
    <row r="122" spans="1:13" x14ac:dyDescent="0.35">
      <c r="A122" s="306">
        <v>0</v>
      </c>
      <c r="C122" s="315" t="e">
        <f ca="1">ERM_1!U45*C117</f>
        <v>#DIV/0!</v>
      </c>
      <c r="D122" s="315" t="e">
        <f ca="1">ERM_2!U45*D117</f>
        <v>#DIV/0!</v>
      </c>
      <c r="E122" s="315">
        <f>ERM_3!U45*E117</f>
        <v>4.5280815430480237</v>
      </c>
      <c r="F122" s="316" t="e">
        <f ca="1">ERM_4!U45*F117</f>
        <v>#DIV/0!</v>
      </c>
      <c r="H122" s="306">
        <v>0</v>
      </c>
      <c r="J122" s="315" t="e">
        <f ca="1">CRM_1!U45*J117</f>
        <v>#NAME?</v>
      </c>
      <c r="K122" s="315" t="e">
        <f ca="1">CRM_2!U45*K117</f>
        <v>#NAME?</v>
      </c>
      <c r="L122" s="315">
        <f>CRM_3!U45*L117</f>
        <v>4.3715901946986682</v>
      </c>
      <c r="M122" s="316" t="e">
        <f ca="1">CRM_4!U45*M117</f>
        <v>#NAME?</v>
      </c>
    </row>
    <row r="123" spans="1:13" x14ac:dyDescent="0.35">
      <c r="A123" s="306">
        <v>0.5</v>
      </c>
      <c r="C123" s="315" t="e">
        <f t="shared" ref="C123:C132" ca="1" si="48">C$122*(1-A123)</f>
        <v>#DIV/0!</v>
      </c>
      <c r="D123" s="315" t="e">
        <f t="shared" ref="D123:D132" ca="1" si="49">D$122*(1-A123)</f>
        <v>#DIV/0!</v>
      </c>
      <c r="E123" s="315">
        <f t="shared" ref="E123:E132" si="50">E$122*(1-A123)</f>
        <v>2.2640407715240118</v>
      </c>
      <c r="F123" s="316" t="e">
        <f t="shared" ref="F123:F132" ca="1" si="51">F$122*(1-A123)</f>
        <v>#DIV/0!</v>
      </c>
      <c r="H123" s="306">
        <v>0.5</v>
      </c>
      <c r="J123" s="315" t="e">
        <f t="shared" ref="J123:J132" ca="1" si="52">J$122*(1-H123)</f>
        <v>#NAME?</v>
      </c>
      <c r="K123" s="315" t="e">
        <f t="shared" ref="K123:K132" ca="1" si="53">K$122*(1-H123)</f>
        <v>#NAME?</v>
      </c>
      <c r="L123" s="315">
        <f t="shared" ref="L123:L132" si="54">L$122*(1-H123)</f>
        <v>2.1857950973493341</v>
      </c>
      <c r="M123" s="316" t="e">
        <f t="shared" ref="M123:M132" ca="1" si="55">M$122*(1-H123)</f>
        <v>#NAME?</v>
      </c>
    </row>
    <row r="124" spans="1:13" x14ac:dyDescent="0.35">
      <c r="A124" s="306">
        <v>0.9</v>
      </c>
      <c r="C124" s="315" t="e">
        <f t="shared" ca="1" si="48"/>
        <v>#DIV/0!</v>
      </c>
      <c r="D124" s="315" t="e">
        <f t="shared" ca="1" si="49"/>
        <v>#DIV/0!</v>
      </c>
      <c r="E124" s="315">
        <f t="shared" si="50"/>
        <v>0.45280815430480226</v>
      </c>
      <c r="F124" s="316" t="e">
        <f t="shared" ca="1" si="51"/>
        <v>#DIV/0!</v>
      </c>
      <c r="H124" s="306">
        <v>0.9</v>
      </c>
      <c r="J124" s="315" t="e">
        <f t="shared" ca="1" si="52"/>
        <v>#NAME?</v>
      </c>
      <c r="K124" s="315" t="e">
        <f t="shared" ca="1" si="53"/>
        <v>#NAME?</v>
      </c>
      <c r="L124" s="315">
        <f t="shared" si="54"/>
        <v>0.43715901946986674</v>
      </c>
      <c r="M124" s="316" t="e">
        <f t="shared" ca="1" si="55"/>
        <v>#NAME?</v>
      </c>
    </row>
    <row r="125" spans="1:13" x14ac:dyDescent="0.35">
      <c r="A125" s="306">
        <v>0.95</v>
      </c>
      <c r="C125" s="315" t="e">
        <f t="shared" ca="1" si="48"/>
        <v>#DIV/0!</v>
      </c>
      <c r="D125" s="315" t="e">
        <f t="shared" ca="1" si="49"/>
        <v>#DIV/0!</v>
      </c>
      <c r="E125" s="315">
        <f t="shared" si="50"/>
        <v>0.22640407715240138</v>
      </c>
      <c r="F125" s="316" t="e">
        <f t="shared" ca="1" si="51"/>
        <v>#DIV/0!</v>
      </c>
      <c r="H125" s="306">
        <v>0.95</v>
      </c>
      <c r="J125" s="315" t="e">
        <f t="shared" ca="1" si="52"/>
        <v>#NAME?</v>
      </c>
      <c r="K125" s="315" t="e">
        <f t="shared" ca="1" si="53"/>
        <v>#NAME?</v>
      </c>
      <c r="L125" s="315">
        <f t="shared" si="54"/>
        <v>0.21857950973493359</v>
      </c>
      <c r="M125" s="316" t="e">
        <f t="shared" ca="1" si="55"/>
        <v>#NAME?</v>
      </c>
    </row>
    <row r="126" spans="1:13" x14ac:dyDescent="0.35">
      <c r="A126" s="306">
        <v>0.98</v>
      </c>
      <c r="C126" s="315" t="e">
        <f t="shared" ca="1" si="48"/>
        <v>#DIV/0!</v>
      </c>
      <c r="D126" s="315" t="e">
        <f t="shared" ca="1" si="49"/>
        <v>#DIV/0!</v>
      </c>
      <c r="E126" s="315">
        <f t="shared" si="50"/>
        <v>9.0561630860960557E-2</v>
      </c>
      <c r="F126" s="316" t="e">
        <f t="shared" ca="1" si="51"/>
        <v>#DIV/0!</v>
      </c>
      <c r="H126" s="306">
        <v>0.98</v>
      </c>
      <c r="J126" s="315" t="e">
        <f t="shared" ca="1" si="52"/>
        <v>#NAME?</v>
      </c>
      <c r="K126" s="315" t="e">
        <f t="shared" ca="1" si="53"/>
        <v>#NAME?</v>
      </c>
      <c r="L126" s="315">
        <f t="shared" si="54"/>
        <v>8.7431803893973439E-2</v>
      </c>
      <c r="M126" s="316" t="e">
        <f t="shared" ca="1" si="55"/>
        <v>#NAME?</v>
      </c>
    </row>
    <row r="127" spans="1:13" x14ac:dyDescent="0.35">
      <c r="A127" s="307">
        <v>0.98199999999999998</v>
      </c>
      <c r="C127" s="315" t="e">
        <f t="shared" ca="1" si="48"/>
        <v>#DIV/0!</v>
      </c>
      <c r="D127" s="315" t="e">
        <f t="shared" ca="1" si="49"/>
        <v>#DIV/0!</v>
      </c>
      <c r="E127" s="315">
        <f t="shared" si="50"/>
        <v>8.1505467774864504E-2</v>
      </c>
      <c r="F127" s="316" t="e">
        <f t="shared" ca="1" si="51"/>
        <v>#DIV/0!</v>
      </c>
      <c r="H127" s="307">
        <v>0.98199999999999998</v>
      </c>
      <c r="J127" s="315" t="e">
        <f t="shared" ca="1" si="52"/>
        <v>#NAME?</v>
      </c>
      <c r="K127" s="315" t="e">
        <f t="shared" ca="1" si="53"/>
        <v>#NAME?</v>
      </c>
      <c r="L127" s="315">
        <f t="shared" si="54"/>
        <v>7.8688623504576102E-2</v>
      </c>
      <c r="M127" s="316" t="e">
        <f t="shared" ca="1" si="55"/>
        <v>#NAME?</v>
      </c>
    </row>
    <row r="128" spans="1:13" x14ac:dyDescent="0.35">
      <c r="A128" s="307">
        <v>0.98499999999999999</v>
      </c>
      <c r="C128" s="315" t="e">
        <f t="shared" ca="1" si="48"/>
        <v>#DIV/0!</v>
      </c>
      <c r="D128" s="315" t="e">
        <f t="shared" ca="1" si="49"/>
        <v>#DIV/0!</v>
      </c>
      <c r="E128" s="315">
        <f t="shared" si="50"/>
        <v>6.7921223145720411E-2</v>
      </c>
      <c r="F128" s="316" t="e">
        <f t="shared" ca="1" si="51"/>
        <v>#DIV/0!</v>
      </c>
      <c r="H128" s="307">
        <v>0.98499999999999999</v>
      </c>
      <c r="J128" s="315" t="e">
        <f t="shared" ca="1" si="52"/>
        <v>#NAME?</v>
      </c>
      <c r="K128" s="315" t="e">
        <f t="shared" ca="1" si="53"/>
        <v>#NAME?</v>
      </c>
      <c r="L128" s="315">
        <f t="shared" si="54"/>
        <v>6.5573852920480083E-2</v>
      </c>
      <c r="M128" s="316" t="e">
        <f t="shared" ca="1" si="55"/>
        <v>#NAME?</v>
      </c>
    </row>
    <row r="129" spans="1:13" x14ac:dyDescent="0.35">
      <c r="A129" s="307">
        <v>0.98699999999999999</v>
      </c>
      <c r="C129" s="315" t="e">
        <f t="shared" ca="1" si="48"/>
        <v>#DIV/0!</v>
      </c>
      <c r="D129" s="315" t="e">
        <f t="shared" ca="1" si="49"/>
        <v>#DIV/0!</v>
      </c>
      <c r="E129" s="315">
        <f t="shared" si="50"/>
        <v>5.8865060059624358E-2</v>
      </c>
      <c r="F129" s="316" t="e">
        <f t="shared" ca="1" si="51"/>
        <v>#DIV/0!</v>
      </c>
      <c r="H129" s="307">
        <v>0.98699999999999999</v>
      </c>
      <c r="J129" s="315" t="e">
        <f t="shared" ca="1" si="52"/>
        <v>#NAME?</v>
      </c>
      <c r="K129" s="315" t="e">
        <f t="shared" ca="1" si="53"/>
        <v>#NAME?</v>
      </c>
      <c r="L129" s="315">
        <f t="shared" si="54"/>
        <v>5.6830672531082739E-2</v>
      </c>
      <c r="M129" s="316" t="e">
        <f t="shared" ca="1" si="55"/>
        <v>#NAME?</v>
      </c>
    </row>
    <row r="130" spans="1:13" x14ac:dyDescent="0.35">
      <c r="A130" s="306">
        <v>0.99</v>
      </c>
      <c r="C130" s="315" t="e">
        <f t="shared" ca="1" si="48"/>
        <v>#DIV/0!</v>
      </c>
      <c r="D130" s="315" t="e">
        <f t="shared" ca="1" si="49"/>
        <v>#DIV/0!</v>
      </c>
      <c r="E130" s="315">
        <f t="shared" si="50"/>
        <v>4.5280815430480278E-2</v>
      </c>
      <c r="F130" s="316" t="e">
        <f t="shared" ca="1" si="51"/>
        <v>#DIV/0!</v>
      </c>
      <c r="H130" s="306">
        <v>0.99</v>
      </c>
      <c r="J130" s="315" t="e">
        <f t="shared" ca="1" si="52"/>
        <v>#NAME?</v>
      </c>
      <c r="K130" s="315" t="e">
        <f t="shared" ca="1" si="53"/>
        <v>#NAME?</v>
      </c>
      <c r="L130" s="315">
        <f t="shared" si="54"/>
        <v>4.371590194698672E-2</v>
      </c>
      <c r="M130" s="316" t="e">
        <f t="shared" ca="1" si="55"/>
        <v>#NAME?</v>
      </c>
    </row>
    <row r="131" spans="1:13" x14ac:dyDescent="0.35">
      <c r="A131" s="307">
        <v>0.99299999999999999</v>
      </c>
      <c r="C131" s="315" t="e">
        <f t="shared" ca="1" si="48"/>
        <v>#DIV/0!</v>
      </c>
      <c r="D131" s="315" t="e">
        <f t="shared" ca="1" si="49"/>
        <v>#DIV/0!</v>
      </c>
      <c r="E131" s="315">
        <f t="shared" si="50"/>
        <v>3.1696570801336192E-2</v>
      </c>
      <c r="F131" s="316" t="e">
        <f t="shared" ca="1" si="51"/>
        <v>#DIV/0!</v>
      </c>
      <c r="H131" s="307">
        <v>0.99299999999999999</v>
      </c>
      <c r="J131" s="315" t="e">
        <f t="shared" ca="1" si="52"/>
        <v>#NAME?</v>
      </c>
      <c r="K131" s="315" t="e">
        <f t="shared" ca="1" si="53"/>
        <v>#NAME?</v>
      </c>
      <c r="L131" s="315">
        <f t="shared" si="54"/>
        <v>3.0601131362890704E-2</v>
      </c>
      <c r="M131" s="316" t="e">
        <f t="shared" ca="1" si="55"/>
        <v>#NAME?</v>
      </c>
    </row>
    <row r="132" spans="1:13" ht="15" thickBot="1" x14ac:dyDescent="0.4">
      <c r="A132" s="310">
        <v>0.997</v>
      </c>
      <c r="B132" s="298"/>
      <c r="C132" s="317" t="e">
        <f t="shared" ca="1" si="48"/>
        <v>#DIV/0!</v>
      </c>
      <c r="D132" s="317" t="e">
        <f t="shared" ca="1" si="49"/>
        <v>#DIV/0!</v>
      </c>
      <c r="E132" s="317">
        <f t="shared" si="50"/>
        <v>1.3584244629144083E-2</v>
      </c>
      <c r="F132" s="318" t="e">
        <f t="shared" ca="1" si="51"/>
        <v>#DIV/0!</v>
      </c>
      <c r="H132" s="310">
        <v>0.997</v>
      </c>
      <c r="I132" s="298"/>
      <c r="J132" s="317" t="e">
        <f t="shared" ca="1" si="52"/>
        <v>#NAME?</v>
      </c>
      <c r="K132" s="317" t="e">
        <f t="shared" ca="1" si="53"/>
        <v>#NAME?</v>
      </c>
      <c r="L132" s="317">
        <f t="shared" si="54"/>
        <v>1.3114770584096016E-2</v>
      </c>
      <c r="M132" s="318" t="e">
        <f t="shared" ca="1" si="55"/>
        <v>#NAME?</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Morlais Project</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Neuadd Y Dref, Buckley Square, Llangefni, LL77 7LR</Addressee>
    <Process_x0020_Type xmlns="859f7ad6-93f6-4205-b62b-a17f28acbbac">Compliance</Process_x0020_Type>
    <Surrendered_x002f_Expired xmlns="859f7ad6-93f6-4205-b62b-a17f28acbbac" xsi:nil="true"/>
    <License_x002f_Activity_x0020_Type xmlns="859f7ad6-93f6-4205-b62b-a17f28acbbac">15. Marine License</License_x002f_Activity_x0020_Type>
    <Document_x0020_Date xmlns="859f7ad6-93f6-4205-b62b-a17f28acbbac">2024-07-02T23:00:00+00:00</Document_x0020_Date>
    <Facility_x0020_Address xmlns="859f7ad6-93f6-4205-b62b-a17f28acbbac">North Wales</Facility_x0020_Address>
    <Environment_x0020_Sub_x0020_Folder xmlns="859f7ad6-93f6-4205-b62b-a17f28acbbac">Post licence compliance</Environment_x0020_Sub_x0020_Folder>
    <Customer_x0020_Name xmlns="859f7ad6-93f6-4205-b62b-a17f28acbbac">Menter Mon Cyf</Customer_x0020_Name>
    <Surrendered_x002f_Expired_x0020_Date xmlns="859f7ad6-93f6-4205-b62b-a17f28acbbac" xsi:nil="true"/>
    <_dlc_DocId xmlns="9be56660-2c31-41ef-bc00-23e72f632f2a">REGU-780503146-7060</_dlc_DocId>
    <_dlc_DocIdUrl xmlns="9be56660-2c31-41ef-bc00-23e72f632f2a">
      <Url>https://cyfoethnaturiolcymru.sharepoint.com/teams/Regulatory/Permitting/ml/_layouts/15/DocIdRedir.aspx?ID=REGU-780503146-7060</Url>
      <Description>REGU-780503146-7060</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DFF20240C18814180004C35DB42CD79" ma:contentTypeVersion="771" ma:contentTypeDescription="Permitting &amp; Compliance Excel Document" ma:contentTypeScope="" ma:versionID="4c8c57b2afc7ed23db474c1575a94ce1">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f4033e7ba5a9069dd2fc5d2005163fbd"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A615CCD-860E-4177-BFD7-B5C1E5845543}">
  <ds:schemaRefs>
    <ds:schemaRef ds:uri="http://purl.org/dc/elements/1.1/"/>
    <ds:schemaRef ds:uri="http://schemas.microsoft.com/office/2006/metadata/properties"/>
    <ds:schemaRef ds:uri="028108c6-dd62-4f24-81e5-358a0f239675"/>
    <ds:schemaRef ds:uri="1ab6d159-2d6d-42b4-b35f-92fed51ae424"/>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 ds:uri="ddae0401-7c90-4447-9d49-f954f42a50eb"/>
    <ds:schemaRef ds:uri="b68e783d-9022-4730-8895-78e384046a49"/>
  </ds:schemaRefs>
</ds:datastoreItem>
</file>

<file path=customXml/itemProps2.xml><?xml version="1.0" encoding="utf-8"?>
<ds:datastoreItem xmlns:ds="http://schemas.openxmlformats.org/officeDocument/2006/customXml" ds:itemID="{2AB8A1CD-64E0-4EDA-BD8D-B08B43343F3F}">
  <ds:schemaRefs>
    <ds:schemaRef ds:uri="http://schemas.microsoft.com/sharepoint/v3/contenttype/forms"/>
  </ds:schemaRefs>
</ds:datastoreItem>
</file>

<file path=customXml/itemProps3.xml><?xml version="1.0" encoding="utf-8"?>
<ds:datastoreItem xmlns:ds="http://schemas.openxmlformats.org/officeDocument/2006/customXml" ds:itemID="{32A2C034-2210-4B85-8FFB-5EB2AE391D30}"/>
</file>

<file path=customXml/itemProps4.xml><?xml version="1.0" encoding="utf-8"?>
<ds:datastoreItem xmlns:ds="http://schemas.openxmlformats.org/officeDocument/2006/customXml" ds:itemID="{B65F69B4-FEE4-4562-9ED5-FBDFE5204C18}"/>
</file>

<file path=customXml/itemProps5.xml><?xml version="1.0" encoding="utf-8"?>
<ds:datastoreItem xmlns:ds="http://schemas.openxmlformats.org/officeDocument/2006/customXml" ds:itemID="{B78EA25C-7381-4125-B5D8-01ADB1760A45}"/>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33</vt:i4>
      </vt:variant>
    </vt:vector>
  </HeadingPairs>
  <TitlesOfParts>
    <vt:vector size="50" baseType="lpstr">
      <vt:lpstr>Devices</vt:lpstr>
      <vt:lpstr>Animals</vt:lpstr>
      <vt:lpstr>Swim depths</vt:lpstr>
      <vt:lpstr>Density_1</vt:lpstr>
      <vt:lpstr>ERM_1</vt:lpstr>
      <vt:lpstr>CRM_1</vt:lpstr>
      <vt:lpstr>Density_2</vt:lpstr>
      <vt:lpstr>ERM_2</vt:lpstr>
      <vt:lpstr>CRM_2</vt:lpstr>
      <vt:lpstr>Density_3</vt:lpstr>
      <vt:lpstr>ERM_3</vt:lpstr>
      <vt:lpstr>CRM_3</vt:lpstr>
      <vt:lpstr>Density_4</vt:lpstr>
      <vt:lpstr>ERM_4</vt:lpstr>
      <vt:lpstr>CRM_4</vt:lpstr>
      <vt:lpstr>Results for 1 device</vt:lpstr>
      <vt:lpstr>Results for deployment</vt:lpstr>
      <vt:lpstr>CRM_1!bladeprofile</vt:lpstr>
      <vt:lpstr>CRM_2!bladeprofile</vt:lpstr>
      <vt:lpstr>CRM_3!bladeprofile</vt:lpstr>
      <vt:lpstr>CRM_4!bladeprofile</vt:lpstr>
      <vt:lpstr>CRM_1!blades</vt:lpstr>
      <vt:lpstr>CRM_2!blades</vt:lpstr>
      <vt:lpstr>CRM_3!blades</vt:lpstr>
      <vt:lpstr>CRM_4!blades</vt:lpstr>
      <vt:lpstr>CRM_1!chord</vt:lpstr>
      <vt:lpstr>CRM_2!chord</vt:lpstr>
      <vt:lpstr>CRM_3!chord</vt:lpstr>
      <vt:lpstr>CRM_4!chord</vt:lpstr>
      <vt:lpstr>gs_dbins</vt:lpstr>
      <vt:lpstr>gs_propdata</vt:lpstr>
      <vt:lpstr>gs_wbins</vt:lpstr>
      <vt:lpstr>hp_dbins</vt:lpstr>
      <vt:lpstr>hp_propdata</vt:lpstr>
      <vt:lpstr>hp_wbins</vt:lpstr>
      <vt:lpstr>hs_dbins</vt:lpstr>
      <vt:lpstr>hs_propdata</vt:lpstr>
      <vt:lpstr>hs_wbins</vt:lpstr>
      <vt:lpstr>CRM_1!omega</vt:lpstr>
      <vt:lpstr>CRM_2!omega</vt:lpstr>
      <vt:lpstr>CRM_3!omega</vt:lpstr>
      <vt:lpstr>CRM_4!omega</vt:lpstr>
      <vt:lpstr>CRM_1!radius</vt:lpstr>
      <vt:lpstr>CRM_2!radius</vt:lpstr>
      <vt:lpstr>CRM_3!radius</vt:lpstr>
      <vt:lpstr>CRM_4!radius</vt:lpstr>
      <vt:lpstr>CRM_1!tippitch</vt:lpstr>
      <vt:lpstr>CRM_2!tippitch</vt:lpstr>
      <vt:lpstr>CRM_3!tippitch</vt:lpstr>
      <vt:lpstr>CRM_4!tippitch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 Band</dc:creator>
  <cp:lastModifiedBy>Katie Cross</cp:lastModifiedBy>
  <cp:lastPrinted>2015-06-19T10:22:37Z</cp:lastPrinted>
  <dcterms:created xsi:type="dcterms:W3CDTF">2014-12-13T12:05:08Z</dcterms:created>
  <dcterms:modified xsi:type="dcterms:W3CDTF">2024-07-03T11:20:09Z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32123</vt:lpwstr>
  </property>
  <property fmtid="{D5CDD505-2E9C-101B-9397-08002B2CF9AE}" pid="3" name="Objective-Id">
    <vt:lpwstr>A1662973</vt:lpwstr>
  </property>
  <property fmtid="{D5CDD505-2E9C-101B-9397-08002B2CF9AE}" pid="4" name="Objective-Title">
    <vt:lpwstr>2015 06 22 - SNH underwater collision spreadsheet - June 2015 draft</vt:lpwstr>
  </property>
  <property fmtid="{D5CDD505-2E9C-101B-9397-08002B2CF9AE}" pid="5" name="Objective-Comment">
    <vt:lpwstr>Message registered by Chris Eastham on 22 June 2015 09:36:10</vt:lpwstr>
  </property>
  <property fmtid="{D5CDD505-2E9C-101B-9397-08002B2CF9AE}" pid="6" name="Objective-CreationStamp">
    <vt:filetime>2015-06-22T08:37:29Z</vt:filetime>
  </property>
  <property fmtid="{D5CDD505-2E9C-101B-9397-08002B2CF9AE}" pid="7" name="Objective-IsApproved">
    <vt:bool>false</vt:bool>
  </property>
  <property fmtid="{D5CDD505-2E9C-101B-9397-08002B2CF9AE}" pid="8" name="Objective-IsPublished">
    <vt:bool>false</vt:bool>
  </property>
  <property fmtid="{D5CDD505-2E9C-101B-9397-08002B2CF9AE}" pid="9" name="Objective-DatePublished">
    <vt:lpwstr/>
  </property>
  <property fmtid="{D5CDD505-2E9C-101B-9397-08002B2CF9AE}" pid="10" name="Objective-ModificationStamp">
    <vt:filetime>2015-06-22T09:31:00Z</vt:filetime>
  </property>
  <property fmtid="{D5CDD505-2E9C-101B-9397-08002B2CF9AE}" pid="11" name="Objective-Owner">
    <vt:lpwstr>Chris Eastham</vt:lpwstr>
  </property>
  <property fmtid="{D5CDD505-2E9C-101B-9397-08002B2CF9AE}" pid="12" name="Objective-Path">
    <vt:lpwstr>Objective Global Folder:SNH Fileplan:NAT - Natural Environments:MAR - Marine:MREN - Marine Renewables:POL - Policy and Guidance:Guidance on Collision Risk Assessment for Tidal Turbines - Marine Renewables:</vt:lpwstr>
  </property>
  <property fmtid="{D5CDD505-2E9C-101B-9397-08002B2CF9AE}" pid="13" name="Objective-Parent">
    <vt:lpwstr>Guidance on Collision Risk Assessment for Tidal Turbines - Marine Renewables</vt:lpwstr>
  </property>
  <property fmtid="{D5CDD505-2E9C-101B-9397-08002B2CF9AE}" pid="14" name="Objective-State">
    <vt:lpwstr>Being Drafted</vt:lpwstr>
  </property>
  <property fmtid="{D5CDD505-2E9C-101B-9397-08002B2CF9AE}" pid="15" name="Objective-Version">
    <vt:lpwstr>0.1</vt:lpwstr>
  </property>
  <property fmtid="{D5CDD505-2E9C-101B-9397-08002B2CF9AE}" pid="16" name="Objective-VersionNumber">
    <vt:r8>1</vt:r8>
  </property>
  <property fmtid="{D5CDD505-2E9C-101B-9397-08002B2CF9AE}" pid="17" name="Objective-VersionComment">
    <vt:lpwstr>First version</vt:lpwstr>
  </property>
  <property fmtid="{D5CDD505-2E9C-101B-9397-08002B2CF9AE}" pid="18" name="Objective-FileNumber">
    <vt:lpwstr>qA140290</vt:lpwstr>
  </property>
  <property fmtid="{D5CDD505-2E9C-101B-9397-08002B2CF9AE}" pid="19" name="Objective-Classification">
    <vt:lpwstr>[Inherited - none]</vt:lpwstr>
  </property>
  <property fmtid="{D5CDD505-2E9C-101B-9397-08002B2CF9AE}" pid="20" name="Objective-Caveats">
    <vt:lpwstr/>
  </property>
  <property fmtid="{D5CDD505-2E9C-101B-9397-08002B2CF9AE}" pid="21" name="Objective-Date of Original [system]">
    <vt:lpwstr/>
  </property>
  <property fmtid="{D5CDD505-2E9C-101B-9397-08002B2CF9AE}" pid="22" name="Objective-Sensitivity Review Date [system]">
    <vt:lpwstr/>
  </property>
  <property fmtid="{D5CDD505-2E9C-101B-9397-08002B2CF9AE}" pid="23" name="Objective-FOI Exemption [system]">
    <vt:lpwstr/>
  </property>
  <property fmtid="{D5CDD505-2E9C-101B-9397-08002B2CF9AE}" pid="24" name="Objective-DPA Exemption [system]">
    <vt:lpwstr/>
  </property>
  <property fmtid="{D5CDD505-2E9C-101B-9397-08002B2CF9AE}" pid="25" name="Objective-EIR Exception [system]">
    <vt:lpwstr/>
  </property>
  <property fmtid="{D5CDD505-2E9C-101B-9397-08002B2CF9AE}" pid="26" name="Objective-Justification [system]">
    <vt:lpwstr/>
  </property>
  <property fmtid="{D5CDD505-2E9C-101B-9397-08002B2CF9AE}" pid="27" name="Objective-Date of Request [system]">
    <vt:lpwstr/>
  </property>
  <property fmtid="{D5CDD505-2E9C-101B-9397-08002B2CF9AE}" pid="28" name="Objective-Date of Release [system]">
    <vt:lpwstr/>
  </property>
  <property fmtid="{D5CDD505-2E9C-101B-9397-08002B2CF9AE}" pid="29" name="Objective-FOI/EIR Disclosure Date [system]">
    <vt:lpwstr/>
  </property>
  <property fmtid="{D5CDD505-2E9C-101B-9397-08002B2CF9AE}" pid="30" name="Objective-FOI/EIR Dissemination Date [system]">
    <vt:lpwstr/>
  </property>
  <property fmtid="{D5CDD505-2E9C-101B-9397-08002B2CF9AE}" pid="31" name="Objective-FOI Release Details [system]">
    <vt:lpwstr/>
  </property>
  <property fmtid="{D5CDD505-2E9C-101B-9397-08002B2CF9AE}" pid="32" name="Objective-Connect Creator [system]">
    <vt:lpwstr/>
  </property>
  <property fmtid="{D5CDD505-2E9C-101B-9397-08002B2CF9AE}" pid="33" name="ContentTypeId">
    <vt:lpwstr>0x01010067EB80C5FE939D4A9B3D8BA62129B7F50202000DFF20240C18814180004C35DB42CD79</vt:lpwstr>
  </property>
  <property fmtid="{D5CDD505-2E9C-101B-9397-08002B2CF9AE}" pid="34" name="MediaServiceImageTags">
    <vt:lpwstr/>
  </property>
  <property fmtid="{D5CDD505-2E9C-101B-9397-08002B2CF9AE}" pid="35" name="_dlc_DocIdItemGuid">
    <vt:lpwstr>44c7fe2b-c453-4854-a63b-9d1f5aba34e2</vt:lpwstr>
  </property>
  <property fmtid="{D5CDD505-2E9C-101B-9397-08002B2CF9AE}" pid="36" name="Order">
    <vt:r8>706000</vt:r8>
  </property>
  <property fmtid="{D5CDD505-2E9C-101B-9397-08002B2CF9AE}" pid="39" name="Submitter">
    <vt:lpwstr/>
  </property>
</Properties>
</file>