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6593/"/>
    </mc:Choice>
  </mc:AlternateContent>
  <xr:revisionPtr revIDLastSave="0" documentId="13_ncr:1_{A3D7DB14-871F-40FF-B99A-8F807D0268EE}" xr6:coauthVersionLast="47" xr6:coauthVersionMax="47" xr10:uidLastSave="{00000000-0000-0000-0000-000000000000}"/>
  <bookViews>
    <workbookView xWindow="33720" yWindow="-120" windowWidth="29040" windowHeight="15720" tabRatio="870" activeTab="4" xr2:uid="{00000000-000D-0000-FFFF-FFFF00000000}"/>
  </bookViews>
  <sheets>
    <sheet name="Dairy Partners" sheetId="1" r:id="rId1"/>
    <sheet name="Volvac" sheetId="21" r:id="rId2"/>
    <sheet name="First Milk" sheetId="27" r:id="rId3"/>
    <sheet name="Penderyn " sheetId="28" r:id="rId4"/>
    <sheet name="Llechryd" sheetId="30" r:id="rId5"/>
    <sheet name="Bolton hill" sheetId="26" r:id="rId6"/>
    <sheet name="Bolton hill 2" sheetId="24" r:id="rId7"/>
    <sheet name="Preseli" sheetId="29" r:id="rId8"/>
    <sheet name="Strata Florida" sheetId="23" r:id="rId9"/>
    <sheet name="Bontgoch "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N65" i="1"/>
  <c r="P65" i="1"/>
  <c r="Q65" i="1"/>
  <c r="R65" i="1"/>
  <c r="S65" i="1"/>
  <c r="T65" i="1"/>
  <c r="U65" i="1"/>
  <c r="K65" i="21"/>
  <c r="L65" i="21"/>
  <c r="N65" i="21"/>
  <c r="P65" i="21"/>
  <c r="Q65" i="21"/>
  <c r="R65" i="21"/>
  <c r="S65" i="21"/>
  <c r="T65" i="21"/>
  <c r="U65" i="21"/>
  <c r="K65" i="27"/>
  <c r="L65" i="27"/>
  <c r="N65" i="27"/>
  <c r="P65" i="27"/>
  <c r="Q65" i="27"/>
  <c r="R65" i="27"/>
  <c r="S65" i="27"/>
  <c r="T65" i="27"/>
  <c r="U65" i="27"/>
  <c r="K65" i="28"/>
  <c r="L65" i="28"/>
  <c r="N65" i="28"/>
  <c r="P65" i="28"/>
  <c r="Q65" i="28"/>
  <c r="R65" i="28"/>
  <c r="S65" i="28"/>
  <c r="T65" i="28"/>
  <c r="U65" i="28"/>
  <c r="K65" i="30"/>
  <c r="L65" i="30"/>
  <c r="N65" i="30"/>
  <c r="P65" i="30"/>
  <c r="Q65" i="30"/>
  <c r="R65" i="30"/>
  <c r="S65" i="30"/>
  <c r="T65" i="30"/>
  <c r="U65" i="30"/>
  <c r="K65" i="26"/>
  <c r="L65" i="26"/>
  <c r="N65" i="26"/>
  <c r="P65" i="26"/>
  <c r="Q65" i="26"/>
  <c r="R65" i="26"/>
  <c r="S65" i="26"/>
  <c r="T65" i="26"/>
  <c r="U65" i="26"/>
  <c r="K65" i="24"/>
  <c r="L65" i="24"/>
  <c r="N65" i="24"/>
  <c r="P65" i="24"/>
  <c r="Q65" i="24"/>
  <c r="R65" i="24"/>
  <c r="S65" i="24"/>
  <c r="T65" i="24"/>
  <c r="U65" i="24"/>
  <c r="K65" i="29"/>
  <c r="L65" i="29"/>
  <c r="N65" i="29"/>
  <c r="P65" i="29"/>
  <c r="Q65" i="29"/>
  <c r="R65" i="29"/>
  <c r="S65" i="29"/>
  <c r="T65" i="29"/>
  <c r="U65" i="29"/>
  <c r="K65" i="23"/>
  <c r="L65" i="23"/>
  <c r="N65" i="23"/>
  <c r="P65" i="23"/>
  <c r="Q65" i="23"/>
  <c r="R65" i="23"/>
  <c r="S65" i="23"/>
  <c r="T65" i="23"/>
  <c r="U65" i="23"/>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0" i="29"/>
  <c r="U20" i="29"/>
  <c r="T20" i="29"/>
  <c r="S20" i="29"/>
  <c r="R20" i="29"/>
  <c r="Q20" i="29"/>
  <c r="P20" i="29"/>
  <c r="O20" i="29"/>
  <c r="N20" i="29"/>
  <c r="M20" i="29"/>
  <c r="L20" i="29"/>
  <c r="T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L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V20" i="27"/>
  <c r="U20" i="27"/>
  <c r="T20" i="27"/>
  <c r="S20" i="27"/>
  <c r="R20" i="27"/>
  <c r="Q20" i="27"/>
  <c r="P20" i="27"/>
  <c r="O20" i="27"/>
  <c r="N20" i="27"/>
  <c r="M20" i="27"/>
  <c r="L20"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L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20" i="24"/>
  <c r="L20"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V20" i="23"/>
  <c r="U20" i="23"/>
  <c r="T20" i="23"/>
  <c r="S20" i="23"/>
  <c r="R20" i="23"/>
  <c r="Q20" i="23"/>
  <c r="P20" i="23"/>
  <c r="O20" i="23"/>
  <c r="N20" i="23"/>
  <c r="M20" i="23"/>
  <c r="L20"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M22" i="22"/>
  <c r="G22" i="22"/>
  <c r="V20" i="22"/>
  <c r="U20" i="22"/>
  <c r="T20" i="22"/>
  <c r="S20" i="22"/>
  <c r="R20" i="22"/>
  <c r="Q20" i="22"/>
  <c r="P20" i="22"/>
  <c r="O20" i="22"/>
  <c r="N20" i="22"/>
  <c r="M20" i="22"/>
  <c r="L20" i="22"/>
  <c r="V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K19" i="21" s="1"/>
  <c r="K20" i="21" s="1"/>
  <c r="J59" i="22"/>
  <c r="K17" i="22"/>
  <c r="K19" i="22" s="1"/>
  <c r="K20" i="22" s="1"/>
  <c r="K21" i="22"/>
  <c r="K23" i="22" s="1"/>
  <c r="K24" i="22" s="1"/>
  <c r="R59" i="22"/>
  <c r="S17" i="22"/>
  <c r="S21" i="22"/>
  <c r="S23" i="22" s="1"/>
  <c r="S24" i="22" s="1"/>
  <c r="D59" i="23"/>
  <c r="E17" i="23"/>
  <c r="E19" i="23" s="1"/>
  <c r="E20" i="23" s="1"/>
  <c r="E21" i="23"/>
  <c r="E23" i="23" s="1"/>
  <c r="E24" i="23" s="1"/>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21" i="29"/>
  <c r="J23" i="29" s="1"/>
  <c r="J24" i="29" s="1"/>
  <c r="Q59" i="29"/>
  <c r="R21" i="29"/>
  <c r="R23" i="29" s="1"/>
  <c r="R24" i="29" s="1"/>
  <c r="R17" i="29"/>
  <c r="H59" i="30"/>
  <c r="H64" i="30" s="1"/>
  <c r="H65" i="30" s="1"/>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23" i="23" s="1"/>
  <c r="N24" i="23" s="1"/>
  <c r="N17" i="23"/>
  <c r="N19"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N19" i="22" s="1"/>
  <c r="U59" i="22"/>
  <c r="V17" i="22"/>
  <c r="V21" i="22"/>
  <c r="C18" i="22"/>
  <c r="H21" i="23"/>
  <c r="H23" i="23" s="1"/>
  <c r="H24" i="23" s="1"/>
  <c r="H17" i="23"/>
  <c r="H19" i="23" s="1"/>
  <c r="H20" i="23" s="1"/>
  <c r="P17" i="23"/>
  <c r="P19" i="23" s="1"/>
  <c r="P21" i="23"/>
  <c r="J59" i="24"/>
  <c r="K21" i="24"/>
  <c r="K17" i="24"/>
  <c r="R59" i="24"/>
  <c r="S21" i="24"/>
  <c r="S23" i="24" s="1"/>
  <c r="S24" i="24" s="1"/>
  <c r="S17" i="24"/>
  <c r="G21" i="26"/>
  <c r="G23" i="26" s="1"/>
  <c r="G24" i="26" s="1"/>
  <c r="G17" i="26"/>
  <c r="G19" i="26" s="1"/>
  <c r="G20" i="26" s="1"/>
  <c r="O17" i="26"/>
  <c r="O21" i="26"/>
  <c r="E59" i="27"/>
  <c r="F17" i="27"/>
  <c r="F19" i="27" s="1"/>
  <c r="F20" i="27" s="1"/>
  <c r="M59" i="27"/>
  <c r="N17" i="27"/>
  <c r="N19" i="27" s="1"/>
  <c r="U59" i="27"/>
  <c r="V17" i="27"/>
  <c r="E59" i="28"/>
  <c r="F17" i="28"/>
  <c r="F19" i="28" s="1"/>
  <c r="F20" i="28" s="1"/>
  <c r="F21" i="28"/>
  <c r="F23" i="28" s="1"/>
  <c r="F24" i="28" s="1"/>
  <c r="M59" i="28"/>
  <c r="N17" i="28"/>
  <c r="N19" i="28" s="1"/>
  <c r="N21" i="28"/>
  <c r="N23" i="28" s="1"/>
  <c r="N24" i="28" s="1"/>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O24" i="22" s="1"/>
  <c r="H59" i="23"/>
  <c r="I21" i="23"/>
  <c r="I23" i="23" s="1"/>
  <c r="I24" i="23" s="1"/>
  <c r="I17" i="23"/>
  <c r="I19" i="23" s="1"/>
  <c r="I20" i="23" s="1"/>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F23" i="29" s="1"/>
  <c r="F24" i="29" s="1"/>
  <c r="M59" i="29"/>
  <c r="N17" i="29"/>
  <c r="N19" i="29" s="1"/>
  <c r="N21" i="29"/>
  <c r="N23" i="29" s="1"/>
  <c r="N24" i="29" s="1"/>
  <c r="U59" i="29"/>
  <c r="V17" i="29"/>
  <c r="V21" i="29"/>
  <c r="V23" i="29" s="1"/>
  <c r="V24"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21" i="29"/>
  <c r="E59" i="30"/>
  <c r="F21" i="30"/>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G23" i="22"/>
  <c r="G24" i="22"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Q58" i="23"/>
  <c r="Q61" i="23" s="1"/>
  <c r="L58" i="29"/>
  <c r="L61" i="29" s="1"/>
  <c r="T58" i="29"/>
  <c r="T61" i="29" s="1"/>
  <c r="T64" i="29" s="1"/>
  <c r="Q23" i="30"/>
  <c r="Q24" i="30" s="1"/>
  <c r="U23" i="30"/>
  <c r="U24" i="30" s="1"/>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Q24" i="22" s="1"/>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N59" i="30"/>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P24" i="22" s="1"/>
  <c r="C58" i="22"/>
  <c r="C61" i="22" s="1"/>
  <c r="K58" i="22"/>
  <c r="K61" i="22" s="1"/>
  <c r="K64" i="22" s="1"/>
  <c r="S58" i="22"/>
  <c r="S61" i="22" s="1"/>
  <c r="S64" i="22" s="1"/>
  <c r="F57" i="23"/>
  <c r="L23" i="24"/>
  <c r="L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E58" i="22"/>
  <c r="E61" i="22" s="1"/>
  <c r="M58" i="22"/>
  <c r="M61" i="22" s="1"/>
  <c r="U58" i="22"/>
  <c r="U61" i="22" s="1"/>
  <c r="A45" i="22"/>
  <c r="O57" i="22"/>
  <c r="H58" i="23"/>
  <c r="H61" i="23" s="1"/>
  <c r="H64" i="23" s="1"/>
  <c r="P58" i="23"/>
  <c r="P61" i="23" s="1"/>
  <c r="P64" i="23" s="1"/>
  <c r="I58" i="24"/>
  <c r="I61" i="24" s="1"/>
  <c r="Q58" i="24"/>
  <c r="Q61" i="24" s="1"/>
  <c r="Q64" i="24" s="1"/>
  <c r="E58" i="26"/>
  <c r="E61" i="26" s="1"/>
  <c r="M58" i="26"/>
  <c r="M61"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V19" i="30"/>
  <c r="F23" i="30"/>
  <c r="F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V19" i="29"/>
  <c r="B63" i="29"/>
  <c r="J63" i="29"/>
  <c r="R63" i="29"/>
  <c r="L19" i="29"/>
  <c r="O19" i="29"/>
  <c r="A32" i="29"/>
  <c r="A34" i="29"/>
  <c r="A40" i="29"/>
  <c r="A42" i="29"/>
  <c r="A48" i="29"/>
  <c r="A50" i="29"/>
  <c r="C63" i="29"/>
  <c r="K63" i="29"/>
  <c r="S63" i="29"/>
  <c r="P19" i="29"/>
  <c r="D63" i="29"/>
  <c r="L63" i="29"/>
  <c r="T63" i="29"/>
  <c r="E63" i="29"/>
  <c r="M63" i="29"/>
  <c r="S19" i="28"/>
  <c r="A31" i="28"/>
  <c r="A33" i="28"/>
  <c r="A37" i="28"/>
  <c r="A39" i="28"/>
  <c r="A41" i="28"/>
  <c r="A45" i="28"/>
  <c r="A47" i="28"/>
  <c r="A49" i="28"/>
  <c r="G57" i="28"/>
  <c r="O57" i="28"/>
  <c r="G59" i="28"/>
  <c r="O59" i="28"/>
  <c r="G63" i="28"/>
  <c r="O63" i="28"/>
  <c r="L19" i="28"/>
  <c r="L23" i="28"/>
  <c r="L24" i="28" s="1"/>
  <c r="T23" i="28"/>
  <c r="T24" i="28" s="1"/>
  <c r="H59" i="28"/>
  <c r="P59" i="28"/>
  <c r="H63" i="28"/>
  <c r="P63" i="28"/>
  <c r="M19" i="28"/>
  <c r="U19" i="28"/>
  <c r="M23" i="28"/>
  <c r="M24" i="28" s="1"/>
  <c r="I57" i="28"/>
  <c r="Q57" i="28"/>
  <c r="I63" i="28"/>
  <c r="Q63" i="28"/>
  <c r="R19" i="28"/>
  <c r="V19" i="28"/>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D63" i="27"/>
  <c r="L63" i="27"/>
  <c r="T63" i="27"/>
  <c r="H63" i="27"/>
  <c r="Q19" i="27"/>
  <c r="E63" i="27"/>
  <c r="M63" i="27"/>
  <c r="U64" i="26"/>
  <c r="U66" i="26" s="1"/>
  <c r="O23" i="26"/>
  <c r="O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Q59" i="26"/>
  <c r="Q64" i="26" s="1"/>
  <c r="I63" i="26"/>
  <c r="Q63" i="26"/>
  <c r="V23" i="26"/>
  <c r="V24" i="26" s="1"/>
  <c r="B63" i="26"/>
  <c r="J63" i="26"/>
  <c r="R63" i="26"/>
  <c r="O19" i="26"/>
  <c r="A32" i="26"/>
  <c r="A34" i="26"/>
  <c r="A40" i="26"/>
  <c r="A42" i="26"/>
  <c r="A48" i="26"/>
  <c r="A50" i="26"/>
  <c r="C63" i="26"/>
  <c r="K63" i="26"/>
  <c r="S63" i="26"/>
  <c r="P19" i="26"/>
  <c r="D63" i="26"/>
  <c r="L63" i="26"/>
  <c r="I19" i="26"/>
  <c r="I20" i="26"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T19" i="23"/>
  <c r="D23" i="23"/>
  <c r="D24" i="23" s="1"/>
  <c r="L23" i="23"/>
  <c r="L24" i="23" s="1"/>
  <c r="T23" i="23"/>
  <c r="T24" i="23" s="1"/>
  <c r="M19" i="23"/>
  <c r="M23" i="23"/>
  <c r="M24" i="23" s="1"/>
  <c r="I57" i="23"/>
  <c r="Q57" i="23"/>
  <c r="G19" i="23"/>
  <c r="G20" i="23" s="1"/>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L24" i="22" s="1"/>
  <c r="T23" i="22"/>
  <c r="T24" i="22" s="1"/>
  <c r="A31" i="22"/>
  <c r="A33" i="22"/>
  <c r="A41" i="22"/>
  <c r="A47" i="22"/>
  <c r="M19" i="22"/>
  <c r="E23" i="22"/>
  <c r="E24" i="22" s="1"/>
  <c r="U23" i="22"/>
  <c r="U24" i="22" s="1"/>
  <c r="I57" i="22"/>
  <c r="Q57" i="22"/>
  <c r="A39" i="22"/>
  <c r="A49" i="22"/>
  <c r="V19" i="22"/>
  <c r="V23" i="22"/>
  <c r="V24" i="22" s="1"/>
  <c r="G19" i="22"/>
  <c r="G20" i="22" s="1"/>
  <c r="A32" i="22"/>
  <c r="A34" i="22"/>
  <c r="A40" i="22"/>
  <c r="A42" i="22"/>
  <c r="A48" i="22"/>
  <c r="A50" i="22"/>
  <c r="P19" i="22"/>
  <c r="P64" i="21"/>
  <c r="H23" i="21"/>
  <c r="H24" i="21" s="1"/>
  <c r="L23" i="21"/>
  <c r="L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Q19" i="21"/>
  <c r="J23" i="21"/>
  <c r="J24" i="21" s="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I65" i="22"/>
  <c r="H65" i="23"/>
  <c r="C65" i="23"/>
  <c r="I65" i="29"/>
  <c r="C19" i="29"/>
  <c r="C20" i="29" s="1"/>
  <c r="G65" i="30"/>
  <c r="B65" i="30"/>
  <c r="I65" i="28"/>
  <c r="J65" i="27"/>
  <c r="D65" i="27"/>
  <c r="D65" i="21"/>
  <c r="C23" i="21"/>
  <c r="C24" i="21" s="1"/>
  <c r="D64" i="30"/>
  <c r="D65" i="30" s="1"/>
  <c r="O64" i="21"/>
  <c r="O65" i="21" s="1"/>
  <c r="I64" i="27"/>
  <c r="I65" i="27" s="1"/>
  <c r="I64" i="26"/>
  <c r="I65" i="26" s="1"/>
  <c r="I64" i="23"/>
  <c r="I65" i="23" s="1"/>
  <c r="H64" i="22"/>
  <c r="H65" i="22" s="1"/>
  <c r="F64" i="26"/>
  <c r="E64" i="27"/>
  <c r="E65" i="27" s="1"/>
  <c r="E64" i="22"/>
  <c r="E65" i="22" s="1"/>
  <c r="E64" i="30"/>
  <c r="E65" i="30" s="1"/>
  <c r="D64" i="28"/>
  <c r="D65" i="28" s="1"/>
  <c r="M64" i="26"/>
  <c r="M66" i="26" s="1"/>
  <c r="C64" i="29"/>
  <c r="C65" i="29" s="1"/>
  <c r="C64" i="21"/>
  <c r="C65" i="21" s="1"/>
  <c r="C64" i="22"/>
  <c r="C65" i="22" s="1"/>
  <c r="C64" i="27"/>
  <c r="C65" i="27" s="1"/>
  <c r="C64" i="30"/>
  <c r="C65" i="30" s="1"/>
  <c r="C64" i="26"/>
  <c r="C65" i="26" s="1"/>
  <c r="M64" i="22"/>
  <c r="M65" i="22" s="1"/>
  <c r="F66" i="26"/>
  <c r="F65"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H64" i="27"/>
  <c r="G64" i="22"/>
  <c r="L64" i="29"/>
  <c r="G64" i="24"/>
  <c r="H64" i="24"/>
  <c r="D64" i="23"/>
  <c r="D65" i="23" s="1"/>
  <c r="K64" i="24"/>
  <c r="P64" i="24"/>
  <c r="U64" i="29"/>
  <c r="U66" i="29" s="1"/>
  <c r="M64" i="30"/>
  <c r="K64" i="26"/>
  <c r="K66" i="26" s="1"/>
  <c r="C64" i="28"/>
  <c r="C64" i="24"/>
  <c r="L64" i="27"/>
  <c r="L66" i="27" s="1"/>
  <c r="R64" i="24"/>
  <c r="R66" i="24" s="1"/>
  <c r="K64" i="29"/>
  <c r="K66" i="29" s="1"/>
  <c r="J64" i="29"/>
  <c r="E64" i="29"/>
  <c r="M64" i="21"/>
  <c r="M65" i="21" s="1"/>
  <c r="P64" i="28"/>
  <c r="P66" i="28" s="1"/>
  <c r="I64" i="21"/>
  <c r="U64" i="28"/>
  <c r="U66" i="28" s="1"/>
  <c r="U64" i="24"/>
  <c r="U66" i="24" s="1"/>
  <c r="F64" i="23"/>
  <c r="U64" i="27"/>
  <c r="U66" i="27" s="1"/>
  <c r="C19" i="22"/>
  <c r="C20" i="22" s="1"/>
  <c r="S66" i="27"/>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H66" i="23"/>
  <c r="J66" i="27"/>
  <c r="G64" i="27"/>
  <c r="G66" i="30"/>
  <c r="J66" i="30"/>
  <c r="F64" i="27"/>
  <c r="T66" i="27"/>
  <c r="L66" i="29"/>
  <c r="Q66" i="22"/>
  <c r="T66" i="21"/>
  <c r="S66" i="23"/>
  <c r="H66" i="30"/>
  <c r="S66" i="24"/>
  <c r="L66" i="21"/>
  <c r="S66" i="26"/>
  <c r="L66" i="28"/>
  <c r="L66" i="26"/>
  <c r="T66" i="30"/>
  <c r="R66" i="28"/>
  <c r="N64" i="26"/>
  <c r="N66" i="26" s="1"/>
  <c r="O64" i="29"/>
  <c r="P64" i="29"/>
  <c r="P66" i="29" s="1"/>
  <c r="S64" i="1"/>
  <c r="R66" i="26"/>
  <c r="D66" i="27"/>
  <c r="N64" i="29"/>
  <c r="N66" i="29" s="1"/>
  <c r="R66" i="30"/>
  <c r="L66" i="23"/>
  <c r="O66" i="22"/>
  <c r="R64" i="1"/>
  <c r="J66" i="23"/>
  <c r="Q64" i="1"/>
  <c r="U64" i="1"/>
  <c r="P64" i="1"/>
  <c r="J66" i="24"/>
  <c r="Q66" i="29"/>
  <c r="F64" i="29"/>
  <c r="O64" i="23"/>
  <c r="O64" i="30"/>
  <c r="N64" i="24"/>
  <c r="N66" i="24" s="1"/>
  <c r="B66" i="30"/>
  <c r="B66" i="24"/>
  <c r="K66" i="30"/>
  <c r="I66" i="30"/>
  <c r="R66" i="29"/>
  <c r="I66" i="29"/>
  <c r="S66" i="29"/>
  <c r="T66" i="28"/>
  <c r="Q66" i="28"/>
  <c r="I66" i="28"/>
  <c r="S66" i="28"/>
  <c r="K66" i="28"/>
  <c r="Q66" i="27"/>
  <c r="P66" i="27"/>
  <c r="Q66" i="26"/>
  <c r="P66" i="26"/>
  <c r="H66" i="26"/>
  <c r="L66" i="24"/>
  <c r="P66" i="24"/>
  <c r="D66" i="24"/>
  <c r="K66" i="24"/>
  <c r="I66" i="23"/>
  <c r="N66" i="23"/>
  <c r="E66" i="23"/>
  <c r="I66" i="22"/>
  <c r="S66" i="22"/>
  <c r="K66" i="22"/>
  <c r="T66" i="22"/>
  <c r="K66" i="21"/>
  <c r="D66" i="21"/>
  <c r="R66" i="21"/>
  <c r="N64" i="1"/>
  <c r="M64" i="1"/>
  <c r="M65" i="1" s="1"/>
  <c r="T64" i="1"/>
  <c r="L64" i="1"/>
  <c r="J64" i="1"/>
  <c r="K64" i="1"/>
  <c r="O64" i="1"/>
  <c r="O65" i="1" s="1"/>
  <c r="C64" i="1"/>
  <c r="I64" i="1"/>
  <c r="H64" i="1"/>
  <c r="G64" i="1"/>
  <c r="G65" i="1" s="1"/>
  <c r="F64" i="1"/>
  <c r="F65" i="1" s="1"/>
  <c r="E64" i="1"/>
  <c r="E65" i="1" s="1"/>
  <c r="D64" i="1"/>
  <c r="B64" i="1"/>
  <c r="B65" i="1" s="1"/>
  <c r="D63" i="1"/>
  <c r="L63" i="1"/>
  <c r="F63" i="1"/>
  <c r="R63" i="1"/>
  <c r="J63" i="1"/>
  <c r="Q63" i="1"/>
  <c r="Q66" i="1" s="1"/>
  <c r="I63" i="1"/>
  <c r="C63" i="1"/>
  <c r="K63" i="1"/>
  <c r="P63" i="1"/>
  <c r="H63" i="1"/>
  <c r="T63" i="1"/>
  <c r="T66" i="1" s="1"/>
  <c r="S63" i="1"/>
  <c r="O63" i="1"/>
  <c r="G63" i="1"/>
  <c r="N63" i="1"/>
  <c r="E63" i="1"/>
  <c r="B63" i="1"/>
  <c r="U63" i="1"/>
  <c r="M63" i="1"/>
  <c r="C66" i="21" l="1"/>
  <c r="C66" i="26"/>
  <c r="J65" i="1"/>
  <c r="I65" i="1"/>
  <c r="H65" i="1"/>
  <c r="D65" i="1"/>
  <c r="C65" i="1"/>
  <c r="H66" i="21"/>
  <c r="O66" i="21"/>
  <c r="E66" i="30"/>
  <c r="E66" i="27"/>
  <c r="D66" i="30"/>
  <c r="D66" i="29"/>
  <c r="C66" i="27"/>
  <c r="C66" i="22"/>
  <c r="C66" i="29"/>
  <c r="O66" i="28"/>
  <c r="O65" i="28"/>
  <c r="O66" i="27"/>
  <c r="O65" i="27"/>
  <c r="O66" i="29"/>
  <c r="O65" i="29"/>
  <c r="O66" i="24"/>
  <c r="O65" i="24"/>
  <c r="O66" i="26"/>
  <c r="O65" i="26"/>
  <c r="O66" i="30"/>
  <c r="O65" i="30"/>
  <c r="O66" i="23"/>
  <c r="O65" i="23"/>
  <c r="I66" i="26"/>
  <c r="I66" i="27"/>
  <c r="I66" i="24"/>
  <c r="H66" i="22"/>
  <c r="M66" i="22"/>
  <c r="D66" i="26"/>
  <c r="D66" i="28"/>
  <c r="D66" i="22"/>
  <c r="M66" i="21"/>
  <c r="M65" i="26"/>
  <c r="M66" i="29"/>
  <c r="M66" i="24"/>
  <c r="C66" i="30"/>
  <c r="M66" i="23"/>
  <c r="M65" i="23"/>
  <c r="M66" i="30"/>
  <c r="M65" i="30"/>
  <c r="M66" i="28"/>
  <c r="M66" i="27"/>
  <c r="M65" i="27"/>
  <c r="J66" i="29"/>
  <c r="J65" i="29"/>
  <c r="J66" i="26"/>
  <c r="J66" i="21"/>
  <c r="J65" i="21"/>
  <c r="J66" i="22"/>
  <c r="J65" i="22"/>
  <c r="I66" i="21"/>
  <c r="I65" i="21"/>
  <c r="H66" i="29"/>
  <c r="H65" i="29"/>
  <c r="H66" i="24"/>
  <c r="H65" i="24"/>
  <c r="H66" i="28"/>
  <c r="H65" i="28"/>
  <c r="H66" i="27"/>
  <c r="H65" i="27"/>
  <c r="G66" i="29"/>
  <c r="G65" i="29"/>
  <c r="G66" i="21"/>
  <c r="G65" i="21"/>
  <c r="G66" i="26"/>
  <c r="G65" i="26"/>
  <c r="G66" i="27"/>
  <c r="G65" i="27"/>
  <c r="G66" i="28"/>
  <c r="G65" i="28"/>
  <c r="G66" i="24"/>
  <c r="G65" i="24"/>
  <c r="G66" i="23"/>
  <c r="G65" i="23"/>
  <c r="G66" i="22"/>
  <c r="G65" i="22"/>
  <c r="F66" i="27"/>
  <c r="F65" i="27"/>
  <c r="F66" i="22"/>
  <c r="F65" i="22"/>
  <c r="F66" i="30"/>
  <c r="F65" i="30"/>
  <c r="F66" i="28"/>
  <c r="F65" i="28"/>
  <c r="F66" i="24"/>
  <c r="F65" i="24"/>
  <c r="F66" i="29"/>
  <c r="F65" i="29"/>
  <c r="F66" i="21"/>
  <c r="F65" i="21"/>
  <c r="F66" i="23"/>
  <c r="F65" i="23"/>
  <c r="E66" i="24"/>
  <c r="E65" i="24"/>
  <c r="E66" i="21"/>
  <c r="E65" i="21"/>
  <c r="E66" i="28"/>
  <c r="E65" i="28"/>
  <c r="E66" i="29"/>
  <c r="E65" i="29"/>
  <c r="E66" i="26"/>
  <c r="E65" i="26"/>
  <c r="D66" i="23"/>
  <c r="C66" i="24"/>
  <c r="C65" i="24"/>
  <c r="C66" i="28"/>
  <c r="C65" i="28"/>
  <c r="B66" i="21"/>
  <c r="B65" i="21"/>
  <c r="B66" i="26"/>
  <c r="B65" i="26"/>
  <c r="B66" i="27"/>
  <c r="B65" i="27"/>
  <c r="B66" i="23"/>
  <c r="B65" i="23"/>
  <c r="B66" i="28"/>
  <c r="B65" i="28"/>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<sst xmlns="http://schemas.openxmlformats.org/spreadsheetml/2006/main" count="2235" uniqueCount="182">
  <si>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</si>
  <si>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</si>
  <si>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</si>
  <si>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</si>
  <si>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</si>
  <si>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</si>
  <si>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</si>
  <si>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</si>
  <si>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</si>
  <si>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</si>
  <si>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</si>
  <si>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</si>
  <si>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</si>
  <si>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</si>
  <si>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</si>
  <si>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</si>
  <si>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</si>
  <si>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</si>
  <si>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</si>
  <si>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</si>
  <si>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</si>
  <si>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</si>
  <si>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</si>
  <si>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</si>
  <si>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</si>
  <si>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</si>
  <si>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</si>
  <si>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</si>
  <si>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</si>
  <si>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</si>
  <si>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</si>
  <si>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</si>
  <si>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</si>
  <si>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</si>
  <si>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</si>
  <si>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</si>
  <si>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</si>
  <si>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</si>
  <si>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</si>
  <si>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</si>
  <si>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</si>
  <si>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</si>
  <si>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</si>
  <si>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</si>
  <si>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</si>
  <si>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</si>
  <si>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</si>
  <si>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</si>
  <si>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</si>
  <si>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</si>
  <si>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</si>
  <si>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</si>
  <si>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</si>
  <si>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</si>
  <si>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</si>
  <si>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</si>
  <si>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</si>
  <si>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</si>
  <si>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</si>
  <si>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</si>
  <si>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</si>
  <si>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</si>
  <si>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</si>
  <si>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</si>
  <si>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</si>
  <si>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</si>
  <si>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</si>
  <si>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</si>
  <si>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</si>
  <si>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</si>
  <si>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</si>
  <si>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</si>
  <si>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</si>
  <si>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</si>
  <si>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</si>
  <si>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</si>
  <si>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</si>
  <si>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</si>
  <si>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</si>
  <si>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</si>
  <si>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</si>
  <si>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</si>
  <si>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</si>
  <si>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</si>
  <si>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</si>
  <si>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</si>
  <si>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</si>
  <si>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</si>
  <si>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</si>
  <si>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</si>
  <si>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</si>
  <si>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</si>
  <si>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</si>
  <si>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</si>
  <si>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</si>
  <si>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</si>
  <si>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</si>
  <si>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</si>
  <si>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</si>
  <si>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</si>
  <si>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</si>
  <si>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</si>
  <si>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</si>
  <si>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</si>
  <si>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</si>
  <si>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</si>
  <si>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</si>
  <si>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</si>
  <si>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</si>
  <si>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</si>
  <si>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</si>
  <si>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</si>
  <si>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</si>
  <si>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</si>
  <si>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</si>
  <si>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</si>
  <si>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</si>
  <si>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</si>
  <si>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</si>
  <si>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</si>
  <si>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</si>
  <si>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</si>
  <si>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</si>
  <si>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</si>
  <si>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</si>
  <si>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</si>
  <si>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</si>
  <si>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</si>
  <si>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</si>
  <si>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</si>
  <si>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</si>
  <si>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</si>
  <si>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</si>
  <si>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</si>
  <si>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</si>
  <si>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</si>
  <si>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</si>
  <si>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</si>
  <si>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</si>
  <si>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</si>
  <si>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</si>
  <si>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</si>
  <si>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</si>
  <si>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</si>
  <si>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</si>
  <si>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</si>
  <si>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</si>
  <si>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</si>
  <si>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</si>
  <si>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</si>
  <si>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</si>
  <si>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</si>
  <si>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</si>
  <si>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</si>
  <si>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</si>
  <si>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</si>
  <si>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</si>
  <si>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</si>
  <si>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</si>
  <si>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</si>
  <si>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PAN-026593</t>
  </si>
  <si>
    <t>Mr Daniel James and Mrs Carys James</t>
  </si>
  <si>
    <t>EPR/AB3891CX</t>
  </si>
  <si>
    <t>Castell Malgwyn Farm, Llechryd, Cardigan, Ceredigion, SA43 2QB</t>
  </si>
  <si>
    <t>Megan Tucker</t>
  </si>
  <si>
    <t xml:space="preserve">02 05 02 </t>
  </si>
  <si>
    <t>Dairy Partners</t>
  </si>
  <si>
    <t>moderate</t>
  </si>
  <si>
    <t xml:space="preserve">moderate </t>
  </si>
  <si>
    <t xml:space="preserve"> moderate </t>
  </si>
  <si>
    <t>02 05 02</t>
  </si>
  <si>
    <t>Volvac</t>
  </si>
  <si>
    <t>First Milk</t>
  </si>
  <si>
    <t>19 09 02</t>
  </si>
  <si>
    <t xml:space="preserve">Penderyn </t>
  </si>
  <si>
    <t>Llechryd</t>
  </si>
  <si>
    <t>Bolton Hill</t>
  </si>
  <si>
    <t>Bolton hill 2</t>
  </si>
  <si>
    <t>Preseli</t>
  </si>
  <si>
    <t xml:space="preserve">Strata Florida </t>
  </si>
  <si>
    <t xml:space="preserve">Bontgoch </t>
  </si>
  <si>
    <t>02 07 02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</si>
</sst>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25" sqref="C2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47.7</v>
      </c>
      <c r="G1" s="110" t="s">
        <v>43</v>
      </c>
      <c r="H1" s="111"/>
      <c r="I1" s="86">
        <v>5.62</v>
      </c>
      <c r="J1" s="114" t="s">
        <v>153</v>
      </c>
      <c r="K1" s="114"/>
      <c r="L1" s="86">
        <v>109</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162</v>
      </c>
      <c r="D2" s="107"/>
      <c r="E2" s="83" t="s">
        <v>109</v>
      </c>
      <c r="F2" s="86" t="s">
        <v>165</v>
      </c>
      <c r="G2" s="112" t="s">
        <v>110</v>
      </c>
      <c r="H2" s="113"/>
      <c r="I2" s="86">
        <v>477</v>
      </c>
      <c r="J2" s="114" t="s">
        <v>158</v>
      </c>
      <c r="K2" s="114"/>
      <c r="L2" s="86">
        <v>0.13</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161</v>
      </c>
      <c r="D3" s="107"/>
      <c r="E3" s="83" t="s">
        <v>108</v>
      </c>
      <c r="F3" s="24" t="s">
        <v>78</v>
      </c>
      <c r="G3" s="114" t="s">
        <v>159</v>
      </c>
      <c r="H3" s="114"/>
      <c r="I3" s="86">
        <v>5420</v>
      </c>
      <c r="J3" s="110" t="s">
        <v>154</v>
      </c>
      <c r="K3" s="111"/>
      <c r="L3" s="86">
        <f>(L1/(L2*10000))*100</f>
        <v>8.384615384615385</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08" t="s">
        <v>163</v>
      </c>
      <c r="D4" s="109"/>
      <c r="E4" s="84" t="s">
        <v>1</v>
      </c>
      <c r="F4" s="85" t="s">
        <v>166</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v>9</v>
      </c>
      <c r="D8" s="12">
        <v>11</v>
      </c>
      <c r="E8" s="12">
        <v>12</v>
      </c>
      <c r="F8" s="12">
        <v>15</v>
      </c>
      <c r="G8" s="12">
        <v>16</v>
      </c>
      <c r="H8" s="12">
        <v>17</v>
      </c>
      <c r="I8" s="12">
        <v>18</v>
      </c>
      <c r="J8" s="12">
        <v>4968</v>
      </c>
      <c r="K8" s="12">
        <v>961</v>
      </c>
      <c r="L8" s="12"/>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t="s">
        <v>167</v>
      </c>
      <c r="D9" s="12">
        <v>1</v>
      </c>
      <c r="E9" s="12">
        <v>1</v>
      </c>
      <c r="F9" s="12" t="s">
        <v>167</v>
      </c>
      <c r="G9" s="12" t="s">
        <v>167</v>
      </c>
      <c r="H9" s="12" t="s">
        <v>167</v>
      </c>
      <c r="I9" s="12">
        <v>1</v>
      </c>
      <c r="J9" s="12" t="s">
        <v>168</v>
      </c>
      <c r="K9" s="12" t="s">
        <v>169</v>
      </c>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6.7</v>
      </c>
      <c r="D10" s="12">
        <v>6.8</v>
      </c>
      <c r="E10" s="12">
        <v>7</v>
      </c>
      <c r="F10" s="12">
        <v>6.9</v>
      </c>
      <c r="G10" s="12">
        <v>6.8</v>
      </c>
      <c r="H10" s="12">
        <v>7.2</v>
      </c>
      <c r="I10" s="12">
        <v>6.8</v>
      </c>
      <c r="J10" s="12">
        <v>6.7</v>
      </c>
      <c r="K10" s="12">
        <v>6.5</v>
      </c>
      <c r="L10" s="12"/>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3</v>
      </c>
      <c r="D11" s="12">
        <v>3</v>
      </c>
      <c r="E11" s="12">
        <v>3</v>
      </c>
      <c r="F11" s="12">
        <v>3</v>
      </c>
      <c r="G11" s="12">
        <v>3</v>
      </c>
      <c r="H11" s="12">
        <v>3</v>
      </c>
      <c r="I11" s="12">
        <v>3</v>
      </c>
      <c r="J11" s="12">
        <v>1</v>
      </c>
      <c r="K11" s="12">
        <v>1</v>
      </c>
      <c r="L11" s="12"/>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2</v>
      </c>
      <c r="D12" s="12">
        <v>3</v>
      </c>
      <c r="E12" s="12">
        <v>3</v>
      </c>
      <c r="F12" s="12">
        <v>2</v>
      </c>
      <c r="G12" s="12">
        <v>2</v>
      </c>
      <c r="H12" s="12">
        <v>2</v>
      </c>
      <c r="I12" s="12">
        <v>2</v>
      </c>
      <c r="J12" s="12">
        <v>2</v>
      </c>
      <c r="K12" s="12">
        <v>1</v>
      </c>
      <c r="L12" s="12"/>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2</v>
      </c>
      <c r="D13" s="12">
        <v>2</v>
      </c>
      <c r="E13" s="12">
        <v>2</v>
      </c>
      <c r="F13" s="12">
        <v>2</v>
      </c>
      <c r="G13" s="12">
        <v>2</v>
      </c>
      <c r="H13" s="12">
        <v>2</v>
      </c>
      <c r="I13" s="12">
        <v>2</v>
      </c>
      <c r="J13" s="12">
        <v>2</v>
      </c>
      <c r="K13" s="12">
        <v>3</v>
      </c>
      <c r="L13" s="12"/>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3" t="s">
        <v>8</v>
      </c>
      <c r="B14" s="123"/>
      <c r="C14" s="89" t="s">
        <v>113</v>
      </c>
      <c r="D14" s="89" t="s">
        <v>105</v>
      </c>
      <c r="E14" s="89" t="s">
        <v>68</v>
      </c>
      <c r="F14" s="89" t="s">
        <v>113</v>
      </c>
      <c r="G14" s="89" t="s">
        <v>113</v>
      </c>
      <c r="H14" s="89" t="s">
        <v>113</v>
      </c>
      <c r="I14" s="89" t="s">
        <v>68</v>
      </c>
      <c r="J14" s="89" t="s">
        <v>113</v>
      </c>
      <c r="K14" s="89" t="s">
        <v>113</v>
      </c>
      <c r="L14" s="89"/>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22" t="s">
        <v>9</v>
      </c>
      <c r="B15" s="122"/>
      <c r="C15" s="12">
        <v>47</v>
      </c>
      <c r="D15" s="12">
        <v>45</v>
      </c>
      <c r="E15" s="12">
        <v>5.5</v>
      </c>
      <c r="F15" s="12">
        <v>47</v>
      </c>
      <c r="G15" s="12">
        <v>47</v>
      </c>
      <c r="H15" s="12">
        <v>47</v>
      </c>
      <c r="I15" s="12">
        <v>5.5</v>
      </c>
      <c r="J15" s="12">
        <v>47</v>
      </c>
      <c r="K15" s="12">
        <v>47</v>
      </c>
      <c r="L15" s="12"/>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24" t="s">
        <v>44</v>
      </c>
      <c r="B16" s="124"/>
      <c r="C16" s="90" t="s">
        <v>72</v>
      </c>
      <c r="D16" s="90" t="s">
        <v>72</v>
      </c>
      <c r="E16" s="90" t="s">
        <v>72</v>
      </c>
      <c r="F16" s="90" t="s">
        <v>72</v>
      </c>
      <c r="G16" s="90" t="s">
        <v>72</v>
      </c>
      <c r="H16" s="90" t="s">
        <v>72</v>
      </c>
      <c r="I16" s="90" t="s">
        <v>72</v>
      </c>
      <c r="J16" s="90" t="s">
        <v>72</v>
      </c>
      <c r="K16" s="90" t="s">
        <v>72</v>
      </c>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79.896333999999996</v>
      </c>
      <c r="D18" s="13">
        <f>$D32</f>
        <v>62.560337000000004</v>
      </c>
      <c r="E18" s="13">
        <f>$D33</f>
        <v>44.470601000000002</v>
      </c>
      <c r="F18" s="13">
        <f>$D34</f>
        <v>79.896333999999996</v>
      </c>
      <c r="G18" s="13">
        <f>$D35</f>
        <v>79.896333999999996</v>
      </c>
      <c r="H18" s="13">
        <f>$D36</f>
        <v>79.896333999999996</v>
      </c>
      <c r="I18" s="13">
        <f>$D37</f>
        <v>44.470601000000002</v>
      </c>
      <c r="J18" s="13">
        <f>$D38</f>
        <v>143.21041</v>
      </c>
      <c r="K18" s="13">
        <f>$D39</f>
        <v>143.21041</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-3.6659999999955062E-3</v>
      </c>
      <c r="D19" s="13">
        <f t="shared" ref="D19:V19" si="1">D18-D17</f>
        <v>-0.43966299999998881</v>
      </c>
      <c r="E19" s="13">
        <f t="shared" si="1"/>
        <v>-2.279398999999998</v>
      </c>
      <c r="F19" s="13">
        <f t="shared" si="1"/>
        <v>-3.6659999999955062E-3</v>
      </c>
      <c r="G19" s="13">
        <f t="shared" si="1"/>
        <v>-3.6659999999955062E-3</v>
      </c>
      <c r="H19" s="13">
        <f t="shared" si="1"/>
        <v>-3.6659999999955062E-3</v>
      </c>
      <c r="I19" s="13">
        <f t="shared" si="1"/>
        <v>-2.279398999999998</v>
      </c>
      <c r="J19" s="13">
        <f t="shared" si="1"/>
        <v>63.310410000000005</v>
      </c>
      <c r="K19" s="13">
        <f t="shared" si="1"/>
        <v>63.310410000000005</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INCREASE</v>
      </c>
      <c r="K20" s="19" t="str">
        <f>IF($B39="","",IF(K$19&gt;=0,"INCREASE","DECREASE"))</f>
        <v>INCREASE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28.994710000000005</v>
      </c>
      <c r="D22" s="13">
        <f>$E32</f>
        <v>22.703405000000004</v>
      </c>
      <c r="E22" s="13">
        <f>$E33</f>
        <v>16.138565000000003</v>
      </c>
      <c r="F22" s="13">
        <f>$E34</f>
        <v>28.994710000000005</v>
      </c>
      <c r="G22" s="13">
        <f>$E35</f>
        <v>28.994710000000005</v>
      </c>
      <c r="H22" s="13">
        <f>$E36</f>
        <v>28.994710000000005</v>
      </c>
      <c r="I22" s="13">
        <f>$E37</f>
        <v>16.138565000000003</v>
      </c>
      <c r="J22" s="13">
        <f>$E38</f>
        <v>51.971650000000004</v>
      </c>
      <c r="K22" s="13">
        <f>$E39</f>
        <v>51.971650000000004</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-253.00529</v>
      </c>
      <c r="D23" s="13">
        <f t="shared" ref="D23:V23" si="3">D22-D21</f>
        <v>-175.29659500000002</v>
      </c>
      <c r="E23" s="13">
        <f t="shared" si="3"/>
        <v>-49.861435</v>
      </c>
      <c r="F23" s="13">
        <f t="shared" si="3"/>
        <v>-253.00529</v>
      </c>
      <c r="G23" s="13">
        <f t="shared" si="3"/>
        <v>-253.00529</v>
      </c>
      <c r="H23" s="13">
        <f t="shared" si="3"/>
        <v>-253.00529</v>
      </c>
      <c r="I23" s="13">
        <f t="shared" si="3"/>
        <v>-49.861435</v>
      </c>
      <c r="J23" s="13">
        <f t="shared" si="3"/>
        <v>-230.02834999999999</v>
      </c>
      <c r="K23" s="13">
        <f t="shared" si="3"/>
        <v>-230.02834999999999</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3.07</v>
      </c>
      <c r="C28" s="12">
        <v>0.13</v>
      </c>
      <c r="D28" s="12">
        <v>329</v>
      </c>
      <c r="E28" s="12">
        <v>227</v>
      </c>
      <c r="F28" s="12">
        <v>32.1</v>
      </c>
      <c r="G28" s="12">
        <v>0.23</v>
      </c>
      <c r="H28" s="12">
        <v>2.19</v>
      </c>
      <c r="I28" s="12">
        <v>0.5</v>
      </c>
      <c r="J28" s="12">
        <v>0.01</v>
      </c>
      <c r="K28" s="16">
        <v>0.05</v>
      </c>
      <c r="L28" s="12">
        <v>0.2</v>
      </c>
      <c r="M28" s="12">
        <v>0.35</v>
      </c>
      <c r="N28" s="12"/>
      <c r="O28" s="12"/>
      <c r="P28" s="12">
        <v>295</v>
      </c>
      <c r="Q28" s="12">
        <v>92.8</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106</v>
      </c>
      <c r="C31" s="68">
        <f>IF(C$27="%w/w SAR",((C$28*10)*$B31),IF(C$27="%w/w DM",(((C$28*10)*($B$28/100))*$B31),IF(C$27="kg/t SAR",(C$28*$B31),IF(C$27="kg/t DM",((C$28*($B$28/100))*$B31),IF(C$27="mg/kg SAR",((C$28*0.001)*$B31),IF(C$27="mg/kg DM",(((C$28*0.001)*($B$28/100))*$B31),0))))))</f>
        <v>137.80000000000001</v>
      </c>
      <c r="D31" s="68">
        <f>(IF(D$27="%w/w SAR",((D$28*10)*$B31),IF(D$27="%w/w DM",(((D$28*10)*($B$28/100))*$B31),IF(D$27="kg/t SAR",(D$28*$B31),IF(D$27="kg/t DM",((D$28*($B$28/100))*$B31),IF(D$27="mg/kg SAR",((D$28*0.001)*$B31),IF(D$27="mg/kg DM",(((D$28*0.001)*($B$28/100))*$B31),"0")))))))*2.291</f>
        <v>79.896333999999996</v>
      </c>
      <c r="E31" s="68">
        <f>(IF(E$27="%w/w SAR",((E$28*10)*$B31),IF(E$27="%w/w DM",(((E$28*10)*($B$28/100))*$B31),IF(E$27="kg/t SAR",(E$28*$B31),IF(E$27="kg/t DM",((E$28*($B$28/100))*$B31),IF(E$27="mg/kg SAR",((E$28*0.001)*$B31),IF(E$27="mg/kg DM",(((E$28*0.001)*($B$28/100))*$B31),"0")))))))*1.205</f>
        <v>28.994710000000005</v>
      </c>
      <c r="F31" s="68">
        <f>(IF(F$27="%w/w SAR",((F$28*10)*$B31),IF(F$27="%w/w DM",(((F$28*10)*($B$28/100))*$B31),IF(F$27="kg/t SAR",(F$28*$B31),IF(F$27="kg/t DM",((F$28*($B$28/100))*$B31),IF(F$27="mg/kg SAR",((F$28*0.001)*$B31),IF(F$27="mg/kg DM",(((F$28*0.001)*($B$28/100))*$B31),"0")))))))*1.658</f>
        <v>5.6415108000000007</v>
      </c>
      <c r="G31" s="68">
        <f t="shared" ref="G31:P31" si="5">IF(G$27="%w/w SAR",((G$28*10)*$B31),IF(G$27="%w/w DM",(((G$28*10)*($B$28/100))*$B31),IF(G$27="kg/t SAR",(G$28*$B31),IF(G$27="kg/t DM",((G$28*($B$28/100))*$B31),IF(G$27="mg/kg SAR",((G$28*0.001)*$B31),IF(G$27="mg/kg DM",(((G$28*0.001)*($B$28/100))*$B31),0))))))</f>
        <v>2.4380000000000002E-2</v>
      </c>
      <c r="H31" s="68">
        <f t="shared" si="5"/>
        <v>0.23214000000000001</v>
      </c>
      <c r="I31" s="68">
        <f t="shared" si="5"/>
        <v>5.2999999999999999E-2</v>
      </c>
      <c r="J31" s="68">
        <f t="shared" si="5"/>
        <v>1.0600000000000002E-3</v>
      </c>
      <c r="K31" s="68">
        <f t="shared" si="5"/>
        <v>5.3E-3</v>
      </c>
      <c r="L31" s="68">
        <f t="shared" si="5"/>
        <v>2.12E-2</v>
      </c>
      <c r="M31" s="68">
        <f t="shared" si="5"/>
        <v>3.7100000000000001E-2</v>
      </c>
      <c r="N31" s="68">
        <f t="shared" si="5"/>
        <v>0</v>
      </c>
      <c r="O31" s="68">
        <f t="shared" si="5"/>
        <v>0</v>
      </c>
      <c r="P31" s="68">
        <f t="shared" si="5"/>
        <v>31.27</v>
      </c>
      <c r="Q31" s="68">
        <f>(IF(Q$27="%w/w SAR",((Q$28*10)*$B31),IF(Q$27="%w/w DM",(((Q$28*10)*($B$28/100))*$B31),IF(Q$27="kg/t SAR",(Q$28*$B31),IF(Q$27="kg/t DM",((Q$28*($B$28/100))*$B31),IF(Q$27="mg/kg SAR",((Q$28*0.001)*$B31),IF(Q$27="mg/kg DM",(((Q$28*0.001)*($B$28/100))*$B31),0)))))))*2.5</f>
        <v>24.591999999999999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83</v>
      </c>
      <c r="C32" s="68">
        <f t="shared" ref="C32:C50" si="6">IF(C$27="%w/w SAR",((C$28*10)*$B32),IF(C$27="%w/w DM",(((C$28*10)*($B$28/100))*$B32),IF(C$27="kg/t SAR",(C$28*$B32),IF(C$27="kg/t DM",((C$28*($B$28/100))*$B32),IF(C$27="mg/kg SAR",((C$28*0.001)*$B32),IF(C$27="mg/kg DM",(((C$28*0.001)*($B$28/100))*$B32),0))))))</f>
        <v>107.9</v>
      </c>
      <c r="D32" s="68">
        <f t="shared" ref="D32:D50" si="7">(IF(D$27="%w/w SAR",((D$28*10)*$B32),IF(D$27="%w/w DM",(((D$28*10)*($B$28/100))*$B32),IF(D$27="kg/t SAR",(D$28*$B32),IF(D$27="kg/t DM",((D$28*($B$28/100))*$B32),IF(D$27="mg/kg SAR",((D$28*0.001)*$B32),IF(D$27="mg/kg DM",(((D$28*0.001)*($B$28/100))*$B32),"0")))))))*2.291</f>
        <v>62.560337000000004</v>
      </c>
      <c r="E32" s="68">
        <f t="shared" ref="E32:E50" si="8">(IF(E$27="%w/w SAR",((E$28*10)*$B32),IF(E$27="%w/w DM",(((E$28*10)*($B$28/100))*$B32),IF(E$27="kg/t SAR",(E$28*$B32),IF(E$27="kg/t DM",((E$28*($B$28/100))*$B32),IF(E$27="mg/kg SAR",((E$28*0.001)*$B32),IF(E$27="mg/kg DM",(((E$28*0.001)*($B$28/100))*$B32),"0")))))))*1.205</f>
        <v>22.703405000000004</v>
      </c>
      <c r="F32" s="68">
        <f t="shared" ref="F32:F50" si="9">(IF(F$27="%w/w SAR",((F$28*10)*$B32),IF(F$27="%w/w DM",(((F$28*10)*($B$28/100))*$B32),IF(F$27="kg/t SAR",(F$28*$B32),IF(F$27="kg/t DM",((F$28*($B$28/100))*$B32),IF(F$27="mg/kg SAR",((F$28*0.001)*$B32),IF(F$27="mg/kg DM",(((F$28*0.001)*($B$28/100))*$B32),"0")))))))*1.658</f>
        <v>4.4174094000000004</v>
      </c>
      <c r="G32" s="68">
        <f t="shared" ref="G32:P50" si="10">IF(G$27="%w/w SAR",((G$28*10)*$B32),IF(G$27="%w/w DM",(((G$28*10)*($B$28/100))*$B32),IF(G$27="kg/t SAR",(G$28*$B32),IF(G$27="kg/t DM",((G$28*($B$28/100))*$B32),IF(G$27="mg/kg SAR",((G$28*0.001)*$B32),IF(G$27="mg/kg DM",(((G$28*0.001)*($B$28/100))*$B32),0))))))</f>
        <v>1.9089999999999999E-2</v>
      </c>
      <c r="H32" s="68">
        <f t="shared" si="10"/>
        <v>0.18177000000000001</v>
      </c>
      <c r="I32" s="68">
        <f t="shared" si="10"/>
        <v>4.1500000000000002E-2</v>
      </c>
      <c r="J32" s="68">
        <f t="shared" si="10"/>
        <v>8.3000000000000012E-4</v>
      </c>
      <c r="K32" s="68">
        <f t="shared" si="10"/>
        <v>4.15E-3</v>
      </c>
      <c r="L32" s="68">
        <f t="shared" si="10"/>
        <v>1.66E-2</v>
      </c>
      <c r="M32" s="68">
        <f t="shared" si="10"/>
        <v>2.9049999999999999E-2</v>
      </c>
      <c r="N32" s="68">
        <f t="shared" si="10"/>
        <v>0</v>
      </c>
      <c r="O32" s="68">
        <f t="shared" si="10"/>
        <v>0</v>
      </c>
      <c r="P32" s="68">
        <f t="shared" si="10"/>
        <v>24.484999999999999</v>
      </c>
      <c r="Q32" s="68">
        <f t="shared" ref="Q32:Q50" si="11">(IF(Q$27="%w/w SAR",((Q$28*10)*$B32),IF(Q$27="%w/w DM",(((Q$28*10)*($B$28/100))*$B32),IF(Q$27="kg/t SAR",(Q$28*$B32),IF(Q$27="kg/t DM",((Q$28*($B$28/100))*$B32),IF(Q$27="mg/kg SAR",((Q$28*0.001)*$B32),IF(Q$27="mg/kg DM",(((Q$28*0.001)*($B$28/100))*$B32),0)))))))*2.5</f>
        <v>19.255999999999997</v>
      </c>
      <c r="R32" s="68">
        <f t="shared" ref="R32:U50" si="12">IF(R$27="%w/w SAR",((R$28*10)*$B32),IF(R$27="%w/w DM",(((R$28*10)*($B$28/100))*$B32),IF(R$27="kg/t SAR",(R$28*$B32),IF(R$27="kg/t DM",((R$28*($B$28/100))*$B32),IF(R$27="mg/kg SAR",((R$28*0.001)*$B32),IF(R$27="mg/kg DM",(((R$28*0.001)*($B$28/100))*$B32),0))))))</f>
        <v>0</v>
      </c>
      <c r="S32" s="68">
        <f t="shared" si="12"/>
        <v>0</v>
      </c>
      <c r="T32" s="68">
        <f t="shared" si="12"/>
        <v>0</v>
      </c>
      <c r="U32" s="68">
        <f t="shared" si="12"/>
        <v>0</v>
      </c>
    </row>
    <row r="33" spans="1:21" s="51" customFormat="1" ht="13" x14ac:dyDescent="0.35">
      <c r="A33" s="10">
        <f>E8</f>
        <v>12</v>
      </c>
      <c r="B33" s="12">
        <v>59</v>
      </c>
      <c r="C33" s="68">
        <f t="shared" si="6"/>
        <v>76.7</v>
      </c>
      <c r="D33" s="68">
        <f t="shared" si="7"/>
        <v>44.470601000000002</v>
      </c>
      <c r="E33" s="68">
        <f t="shared" si="8"/>
        <v>16.138565000000003</v>
      </c>
      <c r="F33" s="68">
        <f t="shared" si="9"/>
        <v>3.1400862000000003</v>
      </c>
      <c r="G33" s="68">
        <f t="shared" si="10"/>
        <v>1.357E-2</v>
      </c>
      <c r="H33" s="68">
        <f t="shared" si="10"/>
        <v>0.12921000000000002</v>
      </c>
      <c r="I33" s="68">
        <f t="shared" si="10"/>
        <v>2.9500000000000002E-2</v>
      </c>
      <c r="J33" s="68">
        <f t="shared" si="10"/>
        <v>5.9000000000000003E-4</v>
      </c>
      <c r="K33" s="68">
        <f t="shared" si="10"/>
        <v>2.9499999999999999E-3</v>
      </c>
      <c r="L33" s="68">
        <f t="shared" si="10"/>
        <v>1.18E-2</v>
      </c>
      <c r="M33" s="68">
        <f t="shared" si="10"/>
        <v>2.0649999999999998E-2</v>
      </c>
      <c r="N33" s="68">
        <f t="shared" si="10"/>
        <v>0</v>
      </c>
      <c r="O33" s="68">
        <f t="shared" si="10"/>
        <v>0</v>
      </c>
      <c r="P33" s="68">
        <f t="shared" si="10"/>
        <v>17.404999999999998</v>
      </c>
      <c r="Q33" s="68">
        <f t="shared" si="11"/>
        <v>13.687999999999999</v>
      </c>
      <c r="R33" s="68">
        <f t="shared" si="12"/>
        <v>0</v>
      </c>
      <c r="S33" s="68">
        <f t="shared" si="12"/>
        <v>0</v>
      </c>
      <c r="T33" s="68">
        <f t="shared" si="12"/>
        <v>0</v>
      </c>
      <c r="U33" s="68">
        <f t="shared" si="12"/>
        <v>0</v>
      </c>
    </row>
    <row r="34" spans="1:21" s="51" customFormat="1" ht="13" x14ac:dyDescent="0.35">
      <c r="A34" s="10">
        <f>F8</f>
        <v>15</v>
      </c>
      <c r="B34" s="12">
        <v>106</v>
      </c>
      <c r="C34" s="68">
        <f t="shared" si="6"/>
        <v>137.80000000000001</v>
      </c>
      <c r="D34" s="68">
        <f t="shared" si="7"/>
        <v>79.896333999999996</v>
      </c>
      <c r="E34" s="68">
        <f t="shared" si="8"/>
        <v>28.994710000000005</v>
      </c>
      <c r="F34" s="68">
        <f t="shared" si="9"/>
        <v>5.6415108000000007</v>
      </c>
      <c r="G34" s="68">
        <f t="shared" si="10"/>
        <v>2.4380000000000002E-2</v>
      </c>
      <c r="H34" s="68">
        <f t="shared" si="10"/>
        <v>0.23214000000000001</v>
      </c>
      <c r="I34" s="68">
        <f t="shared" si="10"/>
        <v>5.2999999999999999E-2</v>
      </c>
      <c r="J34" s="68">
        <f t="shared" si="10"/>
        <v>1.0600000000000002E-3</v>
      </c>
      <c r="K34" s="68">
        <f t="shared" si="10"/>
        <v>5.3E-3</v>
      </c>
      <c r="L34" s="68">
        <f t="shared" si="10"/>
        <v>2.12E-2</v>
      </c>
      <c r="M34" s="68">
        <f t="shared" si="10"/>
        <v>3.7100000000000001E-2</v>
      </c>
      <c r="N34" s="68">
        <f t="shared" si="10"/>
        <v>0</v>
      </c>
      <c r="O34" s="68">
        <f t="shared" si="10"/>
        <v>0</v>
      </c>
      <c r="P34" s="68">
        <f t="shared" si="10"/>
        <v>31.27</v>
      </c>
      <c r="Q34" s="68">
        <f t="shared" si="11"/>
        <v>24.591999999999999</v>
      </c>
      <c r="R34" s="68">
        <f t="shared" si="12"/>
        <v>0</v>
      </c>
      <c r="S34" s="68">
        <f t="shared" si="12"/>
        <v>0</v>
      </c>
      <c r="T34" s="68">
        <f t="shared" si="12"/>
        <v>0</v>
      </c>
      <c r="U34" s="68">
        <f t="shared" si="12"/>
        <v>0</v>
      </c>
    </row>
    <row r="35" spans="1:21" s="51" customFormat="1" ht="13" x14ac:dyDescent="0.35">
      <c r="A35" s="10">
        <f>G8</f>
        <v>16</v>
      </c>
      <c r="B35" s="12">
        <v>106</v>
      </c>
      <c r="C35" s="68">
        <f t="shared" si="6"/>
        <v>137.80000000000001</v>
      </c>
      <c r="D35" s="68">
        <f t="shared" si="7"/>
        <v>79.896333999999996</v>
      </c>
      <c r="E35" s="68">
        <f t="shared" si="8"/>
        <v>28.994710000000005</v>
      </c>
      <c r="F35" s="68">
        <f t="shared" si="9"/>
        <v>5.6415108000000007</v>
      </c>
      <c r="G35" s="68">
        <f t="shared" si="10"/>
        <v>2.4380000000000002E-2</v>
      </c>
      <c r="H35" s="68">
        <f t="shared" si="10"/>
        <v>0.23214000000000001</v>
      </c>
      <c r="I35" s="68">
        <f t="shared" si="10"/>
        <v>5.2999999999999999E-2</v>
      </c>
      <c r="J35" s="68">
        <f t="shared" si="10"/>
        <v>1.0600000000000002E-3</v>
      </c>
      <c r="K35" s="68">
        <f t="shared" si="10"/>
        <v>5.3E-3</v>
      </c>
      <c r="L35" s="68">
        <f t="shared" si="10"/>
        <v>2.12E-2</v>
      </c>
      <c r="M35" s="68">
        <f t="shared" si="10"/>
        <v>3.7100000000000001E-2</v>
      </c>
      <c r="N35" s="68">
        <f t="shared" si="10"/>
        <v>0</v>
      </c>
      <c r="O35" s="68">
        <f t="shared" si="10"/>
        <v>0</v>
      </c>
      <c r="P35" s="68">
        <f t="shared" si="10"/>
        <v>31.27</v>
      </c>
      <c r="Q35" s="68">
        <f t="shared" si="11"/>
        <v>24.591999999999999</v>
      </c>
      <c r="R35" s="68">
        <f t="shared" si="12"/>
        <v>0</v>
      </c>
      <c r="S35" s="68">
        <f t="shared" si="12"/>
        <v>0</v>
      </c>
      <c r="T35" s="68">
        <f t="shared" si="12"/>
        <v>0</v>
      </c>
      <c r="U35" s="68">
        <f t="shared" si="12"/>
        <v>0</v>
      </c>
    </row>
    <row r="36" spans="1:21" s="51" customFormat="1" ht="13" x14ac:dyDescent="0.35">
      <c r="A36" s="10">
        <f>H8</f>
        <v>17</v>
      </c>
      <c r="B36" s="12">
        <v>106</v>
      </c>
      <c r="C36" s="68">
        <f t="shared" si="6"/>
        <v>137.80000000000001</v>
      </c>
      <c r="D36" s="68">
        <f t="shared" si="7"/>
        <v>79.896333999999996</v>
      </c>
      <c r="E36" s="68">
        <f t="shared" si="8"/>
        <v>28.994710000000005</v>
      </c>
      <c r="F36" s="68">
        <f t="shared" si="9"/>
        <v>5.6415108000000007</v>
      </c>
      <c r="G36" s="68">
        <f t="shared" si="10"/>
        <v>2.4380000000000002E-2</v>
      </c>
      <c r="H36" s="68">
        <f t="shared" si="10"/>
        <v>0.23214000000000001</v>
      </c>
      <c r="I36" s="68">
        <f t="shared" si="10"/>
        <v>5.2999999999999999E-2</v>
      </c>
      <c r="J36" s="68">
        <f t="shared" si="10"/>
        <v>1.0600000000000002E-3</v>
      </c>
      <c r="K36" s="68">
        <f t="shared" si="10"/>
        <v>5.3E-3</v>
      </c>
      <c r="L36" s="68">
        <f t="shared" si="10"/>
        <v>2.12E-2</v>
      </c>
      <c r="M36" s="68">
        <f t="shared" si="10"/>
        <v>3.7100000000000001E-2</v>
      </c>
      <c r="N36" s="68">
        <f t="shared" si="10"/>
        <v>0</v>
      </c>
      <c r="O36" s="68">
        <f t="shared" si="10"/>
        <v>0</v>
      </c>
      <c r="P36" s="68">
        <f t="shared" si="10"/>
        <v>31.27</v>
      </c>
      <c r="Q36" s="68">
        <f t="shared" si="11"/>
        <v>24.591999999999999</v>
      </c>
      <c r="R36" s="68">
        <f t="shared" si="12"/>
        <v>0</v>
      </c>
      <c r="S36" s="68">
        <f t="shared" si="12"/>
        <v>0</v>
      </c>
      <c r="T36" s="68">
        <f t="shared" si="12"/>
        <v>0</v>
      </c>
      <c r="U36" s="68">
        <f t="shared" si="12"/>
        <v>0</v>
      </c>
    </row>
    <row r="37" spans="1:21" s="51" customFormat="1" ht="13" x14ac:dyDescent="0.35">
      <c r="A37" s="10">
        <f>I8</f>
        <v>18</v>
      </c>
      <c r="B37" s="12">
        <v>59</v>
      </c>
      <c r="C37" s="68">
        <f t="shared" si="6"/>
        <v>76.7</v>
      </c>
      <c r="D37" s="68">
        <f t="shared" si="7"/>
        <v>44.470601000000002</v>
      </c>
      <c r="E37" s="68">
        <f t="shared" si="8"/>
        <v>16.138565000000003</v>
      </c>
      <c r="F37" s="68">
        <f t="shared" si="9"/>
        <v>3.1400862000000003</v>
      </c>
      <c r="G37" s="68">
        <f t="shared" si="10"/>
        <v>1.357E-2</v>
      </c>
      <c r="H37" s="68">
        <f t="shared" si="10"/>
        <v>0.12921000000000002</v>
      </c>
      <c r="I37" s="68">
        <f t="shared" si="10"/>
        <v>2.9500000000000002E-2</v>
      </c>
      <c r="J37" s="68">
        <f t="shared" si="10"/>
        <v>5.9000000000000003E-4</v>
      </c>
      <c r="K37" s="68">
        <f t="shared" si="10"/>
        <v>2.9499999999999999E-3</v>
      </c>
      <c r="L37" s="68">
        <f t="shared" si="10"/>
        <v>1.18E-2</v>
      </c>
      <c r="M37" s="68">
        <f t="shared" si="10"/>
        <v>2.0649999999999998E-2</v>
      </c>
      <c r="N37" s="68">
        <f t="shared" si="10"/>
        <v>0</v>
      </c>
      <c r="O37" s="68">
        <f t="shared" si="10"/>
        <v>0</v>
      </c>
      <c r="P37" s="68">
        <f t="shared" si="10"/>
        <v>17.404999999999998</v>
      </c>
      <c r="Q37" s="68">
        <f t="shared" si="11"/>
        <v>13.687999999999999</v>
      </c>
      <c r="R37" s="68">
        <f t="shared" si="12"/>
        <v>0</v>
      </c>
      <c r="S37" s="68">
        <f t="shared" si="12"/>
        <v>0</v>
      </c>
      <c r="T37" s="68">
        <f t="shared" si="12"/>
        <v>0</v>
      </c>
      <c r="U37" s="68">
        <f t="shared" si="12"/>
        <v>0</v>
      </c>
    </row>
    <row r="38" spans="1:21" s="51" customFormat="1" ht="13" x14ac:dyDescent="0.35">
      <c r="A38" s="10">
        <f>J8</f>
        <v>4968</v>
      </c>
      <c r="B38" s="12">
        <v>190</v>
      </c>
      <c r="C38" s="68">
        <f t="shared" si="6"/>
        <v>247</v>
      </c>
      <c r="D38" s="68">
        <f t="shared" si="7"/>
        <v>143.21041</v>
      </c>
      <c r="E38" s="68">
        <f t="shared" si="8"/>
        <v>51.971650000000004</v>
      </c>
      <c r="F38" s="68">
        <f t="shared" si="9"/>
        <v>10.112142000000002</v>
      </c>
      <c r="G38" s="68">
        <f t="shared" si="10"/>
        <v>4.3700000000000003E-2</v>
      </c>
      <c r="H38" s="68">
        <f t="shared" si="10"/>
        <v>0.41610000000000003</v>
      </c>
      <c r="I38" s="68">
        <f t="shared" si="10"/>
        <v>9.5000000000000001E-2</v>
      </c>
      <c r="J38" s="68">
        <f t="shared" si="10"/>
        <v>1.9000000000000002E-3</v>
      </c>
      <c r="K38" s="68">
        <f t="shared" si="10"/>
        <v>9.4999999999999998E-3</v>
      </c>
      <c r="L38" s="68">
        <f t="shared" si="10"/>
        <v>3.7999999999999999E-2</v>
      </c>
      <c r="M38" s="68">
        <f t="shared" si="10"/>
        <v>6.6500000000000004E-2</v>
      </c>
      <c r="N38" s="68">
        <f t="shared" si="10"/>
        <v>0</v>
      </c>
      <c r="O38" s="68">
        <f t="shared" si="10"/>
        <v>0</v>
      </c>
      <c r="P38" s="68">
        <f t="shared" si="10"/>
        <v>56.05</v>
      </c>
      <c r="Q38" s="68">
        <f t="shared" si="11"/>
        <v>44.08</v>
      </c>
      <c r="R38" s="68">
        <f t="shared" si="12"/>
        <v>0</v>
      </c>
      <c r="S38" s="68">
        <f t="shared" si="12"/>
        <v>0</v>
      </c>
      <c r="T38" s="68">
        <f t="shared" si="12"/>
        <v>0</v>
      </c>
      <c r="U38" s="68">
        <f t="shared" si="12"/>
        <v>0</v>
      </c>
    </row>
    <row r="39" spans="1:21" s="51" customFormat="1" ht="13" x14ac:dyDescent="0.35">
      <c r="A39" s="10">
        <f>K8</f>
        <v>961</v>
      </c>
      <c r="B39" s="12">
        <v>190</v>
      </c>
      <c r="C39" s="68">
        <f t="shared" si="6"/>
        <v>247</v>
      </c>
      <c r="D39" s="68">
        <f t="shared" si="7"/>
        <v>143.21041</v>
      </c>
      <c r="E39" s="68">
        <f t="shared" si="8"/>
        <v>51.971650000000004</v>
      </c>
      <c r="F39" s="68">
        <f t="shared" si="9"/>
        <v>10.112142000000002</v>
      </c>
      <c r="G39" s="68">
        <f t="shared" si="10"/>
        <v>4.3700000000000003E-2</v>
      </c>
      <c r="H39" s="68">
        <f t="shared" si="10"/>
        <v>0.41610000000000003</v>
      </c>
      <c r="I39" s="68">
        <f t="shared" si="10"/>
        <v>9.5000000000000001E-2</v>
      </c>
      <c r="J39" s="68">
        <f t="shared" si="10"/>
        <v>1.9000000000000002E-3</v>
      </c>
      <c r="K39" s="68">
        <f t="shared" si="10"/>
        <v>9.4999999999999998E-3</v>
      </c>
      <c r="L39" s="68">
        <f t="shared" si="10"/>
        <v>3.7999999999999999E-2</v>
      </c>
      <c r="M39" s="68">
        <f t="shared" si="10"/>
        <v>6.6500000000000004E-2</v>
      </c>
      <c r="N39" s="68">
        <f t="shared" si="10"/>
        <v>0</v>
      </c>
      <c r="O39" s="68">
        <f t="shared" si="10"/>
        <v>0</v>
      </c>
      <c r="P39" s="68">
        <f t="shared" si="10"/>
        <v>56.05</v>
      </c>
      <c r="Q39" s="68">
        <f t="shared" si="11"/>
        <v>44.08</v>
      </c>
      <c r="R39" s="68">
        <f t="shared" si="12"/>
        <v>0</v>
      </c>
      <c r="S39" s="68">
        <f t="shared" si="12"/>
        <v>0</v>
      </c>
      <c r="T39" s="68">
        <f t="shared" si="12"/>
        <v>0</v>
      </c>
      <c r="U39" s="68">
        <f t="shared" si="12"/>
        <v>0</v>
      </c>
    </row>
    <row r="40" spans="1:21" s="51" customFormat="1" ht="13" x14ac:dyDescent="0.35">
      <c r="A40" s="10">
        <f>L8</f>
        <v>0</v>
      </c>
      <c r="B40" s="12"/>
      <c r="C40" s="68">
        <f t="shared" si="6"/>
        <v>0</v>
      </c>
      <c r="D40" s="68">
        <f t="shared" si="7"/>
        <v>0</v>
      </c>
      <c r="E40" s="68">
        <f t="shared" si="8"/>
        <v>0</v>
      </c>
      <c r="F40" s="68">
        <f t="shared" si="9"/>
        <v>0</v>
      </c>
      <c r="G40" s="68">
        <f t="shared" si="10"/>
        <v>0</v>
      </c>
      <c r="H40" s="68">
        <f t="shared" si="10"/>
        <v>0</v>
      </c>
      <c r="I40" s="68">
        <f t="shared" si="10"/>
        <v>0</v>
      </c>
      <c r="J40" s="68">
        <f t="shared" si="10"/>
        <v>0</v>
      </c>
      <c r="K40" s="68">
        <f t="shared" si="10"/>
        <v>0</v>
      </c>
      <c r="L40" s="68">
        <f t="shared" si="10"/>
        <v>0</v>
      </c>
      <c r="M40" s="68">
        <f t="shared" si="10"/>
        <v>0</v>
      </c>
      <c r="N40" s="68">
        <f t="shared" si="10"/>
        <v>0</v>
      </c>
      <c r="O40" s="68">
        <f t="shared" si="10"/>
        <v>0</v>
      </c>
      <c r="P40" s="68">
        <f t="shared" si="10"/>
        <v>0</v>
      </c>
      <c r="Q40" s="68">
        <f t="shared" si="11"/>
        <v>0</v>
      </c>
      <c r="R40" s="68">
        <f t="shared" si="12"/>
        <v>0</v>
      </c>
      <c r="S40" s="68">
        <f t="shared" si="12"/>
        <v>0</v>
      </c>
      <c r="T40" s="68">
        <f t="shared" si="12"/>
        <v>0</v>
      </c>
      <c r="U40" s="68">
        <f t="shared" si="12"/>
        <v>0</v>
      </c>
    </row>
    <row r="41" spans="1:21" s="51" customFormat="1" ht="13" x14ac:dyDescent="0.3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Arable</v>
      </c>
      <c r="D58" s="10" t="str">
        <f>E16&amp;" I "&amp;(VLOOKUP(E14,Table24[],6,FALSE))</f>
        <v>Medium/Clay I Arable</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Arable</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6.7</v>
      </c>
      <c r="D59" s="67">
        <f>VLOOKUP(E$14,Table24[],5,FALSE)</f>
        <v>6.7</v>
      </c>
      <c r="E59" s="67">
        <f>VLOOKUP(F$14,Table24[],5,FALSE)</f>
        <v>6.2</v>
      </c>
      <c r="F59" s="67">
        <f>VLOOKUP(G$14,Table24[],5,FALSE)</f>
        <v>6.2</v>
      </c>
      <c r="G59" s="67">
        <f>VLOOKUP(H$14,Table24[],5,FALSE)</f>
        <v>6.2</v>
      </c>
      <c r="H59" s="67">
        <f>VLOOKUP(I$14,Table24[],5,FALSE)</f>
        <v>6.7</v>
      </c>
      <c r="I59" s="67">
        <f>VLOOKUP(J$14,Table24[],5,FALSE)</f>
        <v>6.2</v>
      </c>
      <c r="J59" s="67">
        <f>VLOOKUP(K$14,Table24[],5,FALSE)</f>
        <v>6.2</v>
      </c>
      <c r="K59" s="67" t="e">
        <f>VLOOKUP(L$14,Table24[],5,FALSE)</f>
        <v>#N/A</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106</v>
      </c>
      <c r="C62" s="68">
        <f>B32</f>
        <v>83</v>
      </c>
      <c r="D62" s="68">
        <f>B33</f>
        <v>59</v>
      </c>
      <c r="E62" s="68">
        <f>B34</f>
        <v>106</v>
      </c>
      <c r="F62" s="68">
        <f>B35</f>
        <v>106</v>
      </c>
      <c r="G62" s="68">
        <f>B36</f>
        <v>106</v>
      </c>
      <c r="H62" s="68">
        <f>B37</f>
        <v>59</v>
      </c>
      <c r="I62" s="68">
        <f>B38</f>
        <v>190</v>
      </c>
      <c r="J62" s="68">
        <f>B39</f>
        <v>190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Q28" sqref="Q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v>5.95</v>
      </c>
      <c r="J1" s="114" t="s">
        <v>153</v>
      </c>
      <c r="K1" s="114"/>
      <c r="L1" s="86">
        <v>30.6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170</v>
      </c>
      <c r="G2" s="112" t="s">
        <v>110</v>
      </c>
      <c r="H2" s="113"/>
      <c r="I2" s="86">
        <v>317</v>
      </c>
      <c r="J2" s="114" t="s">
        <v>158</v>
      </c>
      <c r="K2" s="114"/>
      <c r="L2" s="86">
        <v>0.22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v>4820</v>
      </c>
      <c r="J3" s="110" t="s">
        <v>154</v>
      </c>
      <c r="K3" s="111"/>
      <c r="L3" s="86">
        <f>(L1/(L2*10000))*100</f>
        <v>1.3909090909090909</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171</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78.993679999999983</v>
      </c>
      <c r="D18" s="13">
        <f>$D32</f>
        <v>62.207522999999995</v>
      </c>
      <c r="E18" s="13">
        <f>$D33</f>
        <v>44.433944999999994</v>
      </c>
      <c r="F18" s="13">
        <f>$D34</f>
        <v>78.993679999999983</v>
      </c>
      <c r="G18" s="13">
        <f>$D35</f>
        <v>78.993679999999983</v>
      </c>
      <c r="H18" s="13">
        <f>$D36</f>
        <v>78.993679999999983</v>
      </c>
      <c r="I18" s="13">
        <f>$D37</f>
        <v>44.433944999999994</v>
      </c>
      <c r="J18" s="13">
        <f>$D38</f>
        <v>110.59115199999999</v>
      </c>
      <c r="K18" s="13">
        <f>$D39</f>
        <v>110.59115199999999</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-0.90632000000000801</v>
      </c>
      <c r="D19" s="13">
        <f t="shared" ref="D19:V19" si="1">D18-D17</f>
        <v>-0.7924769999999981</v>
      </c>
      <c r="E19" s="13">
        <f t="shared" si="1"/>
        <v>-2.3160550000000057</v>
      </c>
      <c r="F19" s="13">
        <f t="shared" si="1"/>
        <v>-0.90632000000000801</v>
      </c>
      <c r="G19" s="13">
        <f t="shared" si="1"/>
        <v>-0.90632000000000801</v>
      </c>
      <c r="H19" s="13">
        <f t="shared" si="1"/>
        <v>-0.90632000000000801</v>
      </c>
      <c r="I19" s="13">
        <f t="shared" si="1"/>
        <v>-2.3160550000000057</v>
      </c>
      <c r="J19" s="13">
        <f t="shared" si="1"/>
        <v>30.691152000000002</v>
      </c>
      <c r="K19" s="13">
        <f t="shared" si="1"/>
        <v>30.691152000000002</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INCREASE</v>
      </c>
      <c r="K20" s="19" t="str">
        <f>IF($B39="","",IF(K$19&gt;=0,"INCREASE","DECREASE"))</f>
        <v>INCREASE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19.954800000000002</v>
      </c>
      <c r="D22" s="13">
        <f>$E32</f>
        <v>15.714405000000001</v>
      </c>
      <c r="E22" s="13">
        <f>$E33</f>
        <v>11.224575000000002</v>
      </c>
      <c r="F22" s="13">
        <f>$E34</f>
        <v>19.954800000000002</v>
      </c>
      <c r="G22" s="13">
        <f>$E35</f>
        <v>19.954800000000002</v>
      </c>
      <c r="H22" s="13">
        <f>$E36</f>
        <v>19.954800000000002</v>
      </c>
      <c r="I22" s="13">
        <f>$E37</f>
        <v>11.224575000000002</v>
      </c>
      <c r="J22" s="13">
        <f>$E38</f>
        <v>27.936720000000005</v>
      </c>
      <c r="K22" s="13">
        <f>$E39</f>
        <v>27.936720000000005</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-262.04520000000002</v>
      </c>
      <c r="D23" s="13">
        <f t="shared" ref="D23:V23" si="3">D22-D21</f>
        <v>-182.28559500000003</v>
      </c>
      <c r="E23" s="13">
        <f t="shared" si="3"/>
        <v>-54.775424999999998</v>
      </c>
      <c r="F23" s="13">
        <f t="shared" si="3"/>
        <v>-262.04520000000002</v>
      </c>
      <c r="G23" s="13">
        <f t="shared" si="3"/>
        <v>-262.04520000000002</v>
      </c>
      <c r="H23" s="13">
        <f t="shared" si="3"/>
        <v>-262.04520000000002</v>
      </c>
      <c r="I23" s="13">
        <f t="shared" si="3"/>
        <v>-54.775424999999998</v>
      </c>
      <c r="J23" s="13">
        <f t="shared" si="3"/>
        <v>-254.06327999999999</v>
      </c>
      <c r="K23" s="13">
        <f t="shared" si="3"/>
        <v>-254.06327999999999</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2.37</v>
      </c>
      <c r="C28" s="12">
        <v>0.22</v>
      </c>
      <c r="D28" s="12">
        <v>431</v>
      </c>
      <c r="E28" s="12">
        <v>207</v>
      </c>
      <c r="F28" s="12">
        <v>28.1</v>
      </c>
      <c r="G28" s="12">
        <v>0.2</v>
      </c>
      <c r="H28" s="12">
        <v>1.08</v>
      </c>
      <c r="I28" s="12">
        <v>0.5</v>
      </c>
      <c r="J28" s="12">
        <v>0.01</v>
      </c>
      <c r="K28" s="16">
        <v>0.05</v>
      </c>
      <c r="L28" s="12">
        <v>0.2</v>
      </c>
      <c r="M28" s="12">
        <v>0.2</v>
      </c>
      <c r="N28" s="12"/>
      <c r="O28" s="12"/>
      <c r="P28" s="12">
        <v>297</v>
      </c>
      <c r="Q28" s="12">
        <v>90.5</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80</v>
      </c>
      <c r="C31" s="68">
        <f>IF(C$27="%w/w SAR",((C$28*10)*$B31),IF(C$27="%w/w DM",(((C$28*10)*($B$28/100))*$B31),IF(C$27="kg/t SAR",(C$28*$B31),IF(C$27="kg/t DM",((C$28*($B$28/100))*$B31),IF(C$27="mg/kg SAR",((C$28*0.001)*$B31),IF(C$27="mg/kg DM",(((C$28*0.001)*($B$28/100))*$B31),0))))))</f>
        <v>176</v>
      </c>
      <c r="D31" s="68">
        <f>(IF(D$27="%w/w SAR",((D$28*10)*$B31),IF(D$27="%w/w DM",(((D$28*10)*($B$28/100))*$B31),IF(D$27="kg/t SAR",(D$28*$B31),IF(D$27="kg/t DM",((D$28*($B$28/100))*$B31),IF(D$27="mg/kg SAR",((D$28*0.001)*$B31),IF(D$27="mg/kg DM",(((D$28*0.001)*($B$28/100))*$B31),"0")))))))*2.291</f>
        <v>78.993679999999983</v>
      </c>
      <c r="E31" s="68">
        <f>(IF(E$27="%w/w SAR",((E$28*10)*$B31),IF(E$27="%w/w DM",(((E$28*10)*($B$28/100))*$B31),IF(E$27="kg/t SAR",(E$28*$B31),IF(E$27="kg/t DM",((E$28*($B$28/100))*$B31),IF(E$27="mg/kg SAR",((E$28*0.001)*$B31),IF(E$27="mg/kg DM",(((E$28*0.001)*($B$28/100))*$B31),"0")))))))*1.205</f>
        <v>19.954800000000002</v>
      </c>
      <c r="F31" s="68">
        <f>(IF(F$27="%w/w SAR",((F$28*10)*$B31),IF(F$27="%w/w DM",(((F$28*10)*($B$28/100))*$B31),IF(F$27="kg/t SAR",(F$28*$B31),IF(F$27="kg/t DM",((F$28*($B$28/100))*$B31),IF(F$27="mg/kg SAR",((F$28*0.001)*$B31),IF(F$27="mg/kg DM",(((F$28*0.001)*($B$28/100))*$B31),"0")))))))*1.658</f>
        <v>3.7271840000000003</v>
      </c>
      <c r="G31" s="68">
        <f t="shared" ref="G31:P46" si="5">IF(G$27="%w/w SAR",((G$28*10)*$B31),IF(G$27="%w/w DM",(((G$28*10)*($B$28/100))*$B31),IF(G$27="kg/t SAR",(G$28*$B31),IF(G$27="kg/t DM",((G$28*($B$28/100))*$B31),IF(G$27="mg/kg SAR",((G$28*0.001)*$B31),IF(G$27="mg/kg DM",(((G$28*0.001)*($B$28/100))*$B31),0))))))</f>
        <v>1.6E-2</v>
      </c>
      <c r="H31" s="68">
        <f t="shared" si="5"/>
        <v>8.6400000000000005E-2</v>
      </c>
      <c r="I31" s="68">
        <f t="shared" si="5"/>
        <v>0.04</v>
      </c>
      <c r="J31" s="68">
        <f t="shared" si="5"/>
        <v>8.0000000000000004E-4</v>
      </c>
      <c r="K31" s="68">
        <f t="shared" si="5"/>
        <v>4.0000000000000001E-3</v>
      </c>
      <c r="L31" s="68">
        <f t="shared" si="5"/>
        <v>1.6E-2</v>
      </c>
      <c r="M31" s="68">
        <f t="shared" si="5"/>
        <v>1.6E-2</v>
      </c>
      <c r="N31" s="68">
        <f t="shared" si="5"/>
        <v>0</v>
      </c>
      <c r="O31" s="68">
        <f t="shared" si="5"/>
        <v>0</v>
      </c>
      <c r="P31" s="68">
        <f t="shared" si="5"/>
        <v>23.759999999999998</v>
      </c>
      <c r="Q31" s="68">
        <f>(IF(Q$27="%w/w SAR",((Q$28*10)*$B31),IF(Q$27="%w/w DM",(((Q$28*10)*($B$28/100))*$B31),IF(Q$27="kg/t SAR",(Q$28*$B31),IF(Q$27="kg/t DM",((Q$28*($B$28/100))*$B31),IF(Q$27="mg/kg SAR",((Q$28*0.001)*$B31),IF(Q$27="mg/kg DM",(((Q$28*0.001)*($B$28/100))*$B31),0)))))))*2.5</f>
        <v>18.100000000000001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63</v>
      </c>
      <c r="C32" s="68">
        <f t="shared" ref="C32:C50" si="6">IF(C$27="%w/w SAR",((C$28*10)*$B32),IF(C$27="%w/w DM",(((C$28*10)*($B$28/100))*$B32),IF(C$27="kg/t SAR",(C$28*$B32),IF(C$27="kg/t DM",((C$28*($B$28/100))*$B32),IF(C$27="mg/kg SAR",((C$28*0.001)*$B32),IF(C$27="mg/kg DM",(((C$28*0.001)*($B$28/100))*$B32),0))))))</f>
        <v>138.60000000000002</v>
      </c>
      <c r="D32" s="68">
        <f t="shared" ref="D32:D50" si="7">(IF(D$27="%w/w SAR",((D$28*10)*$B32),IF(D$27="%w/w DM",(((D$28*10)*($B$28/100))*$B32),IF(D$27="kg/t SAR",(D$28*$B32),IF(D$27="kg/t DM",((D$28*($B$28/100))*$B32),IF(D$27="mg/kg SAR",((D$28*0.001)*$B32),IF(D$27="mg/kg DM",(((D$28*0.001)*($B$28/100))*$B32),"0")))))))*2.291</f>
        <v>62.207522999999995</v>
      </c>
      <c r="E32" s="68">
        <f t="shared" ref="E32:E50" si="8">(IF(E$27="%w/w SAR",((E$28*10)*$B32),IF(E$27="%w/w DM",(((E$28*10)*($B$28/100))*$B32),IF(E$27="kg/t SAR",(E$28*$B32),IF(E$27="kg/t DM",((E$28*($B$28/100))*$B32),IF(E$27="mg/kg SAR",((E$28*0.001)*$B32),IF(E$27="mg/kg DM",(((E$28*0.001)*($B$28/100))*$B32),"0")))))))*1.205</f>
        <v>15.714405000000001</v>
      </c>
      <c r="F32" s="68">
        <f t="shared" ref="F32:F50" si="9">(IF(F$27="%w/w SAR",((F$28*10)*$B32),IF(F$27="%w/w DM",(((F$28*10)*($B$28/100))*$B32),IF(F$27="kg/t SAR",(F$28*$B32),IF(F$27="kg/t DM",((F$28*($B$28/100))*$B32),IF(F$27="mg/kg SAR",((F$28*0.001)*$B32),IF(F$27="mg/kg DM",(((F$28*0.001)*($B$28/100))*$B32),"0")))))))*1.658</f>
        <v>2.9351574</v>
      </c>
      <c r="G32" s="68">
        <f t="shared" si="5"/>
        <v>1.26E-2</v>
      </c>
      <c r="H32" s="68">
        <f t="shared" si="5"/>
        <v>6.8040000000000003E-2</v>
      </c>
      <c r="I32" s="68">
        <f t="shared" si="5"/>
        <v>3.15E-2</v>
      </c>
      <c r="J32" s="68">
        <f t="shared" si="5"/>
        <v>6.3000000000000003E-4</v>
      </c>
      <c r="K32" s="68">
        <f t="shared" si="5"/>
        <v>3.15E-3</v>
      </c>
      <c r="L32" s="68">
        <f t="shared" si="5"/>
        <v>1.26E-2</v>
      </c>
      <c r="M32" s="68">
        <f t="shared" si="5"/>
        <v>1.26E-2</v>
      </c>
      <c r="N32" s="68">
        <f t="shared" si="5"/>
        <v>0</v>
      </c>
      <c r="O32" s="68">
        <f t="shared" si="5"/>
        <v>0</v>
      </c>
      <c r="P32" s="68">
        <f t="shared" si="5"/>
        <v>18.710999999999999</v>
      </c>
      <c r="Q32" s="68">
        <f t="shared" ref="Q32:Q50" si="10">(IF(Q$27="%w/w SAR",((Q$28*10)*$B32),IF(Q$27="%w/w DM",(((Q$28*10)*($B$28/100))*$B32),IF(Q$27="kg/t SAR",(Q$28*$B32),IF(Q$27="kg/t DM",((Q$28*($B$28/100))*$B32),IF(Q$27="mg/kg SAR",((Q$28*0.001)*$B32),IF(Q$27="mg/kg DM",(((Q$28*0.001)*($B$28/100))*$B32),0)))))))*2.5</f>
        <v>14.25375</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f>E8</f>
        <v>12</v>
      </c>
      <c r="B33" s="12">
        <v>45</v>
      </c>
      <c r="C33" s="68">
        <f t="shared" si="6"/>
        <v>99.000000000000014</v>
      </c>
      <c r="D33" s="68">
        <f t="shared" si="7"/>
        <v>44.433944999999994</v>
      </c>
      <c r="E33" s="68">
        <f t="shared" si="8"/>
        <v>11.224575000000002</v>
      </c>
      <c r="F33" s="68">
        <f t="shared" si="9"/>
        <v>2.0965410000000002</v>
      </c>
      <c r="G33" s="68">
        <f t="shared" si="5"/>
        <v>9.0000000000000011E-3</v>
      </c>
      <c r="H33" s="68">
        <f t="shared" si="5"/>
        <v>4.8599999999999997E-2</v>
      </c>
      <c r="I33" s="68">
        <f t="shared" si="5"/>
        <v>2.2499999999999999E-2</v>
      </c>
      <c r="J33" s="68">
        <f t="shared" si="5"/>
        <v>4.5000000000000004E-4</v>
      </c>
      <c r="K33" s="68">
        <f t="shared" si="5"/>
        <v>2.2500000000000003E-3</v>
      </c>
      <c r="L33" s="68">
        <f t="shared" si="5"/>
        <v>9.0000000000000011E-3</v>
      </c>
      <c r="M33" s="68">
        <f t="shared" si="5"/>
        <v>9.0000000000000011E-3</v>
      </c>
      <c r="N33" s="68">
        <f t="shared" si="5"/>
        <v>0</v>
      </c>
      <c r="O33" s="68">
        <f t="shared" si="5"/>
        <v>0</v>
      </c>
      <c r="P33" s="68">
        <f t="shared" si="5"/>
        <v>13.365</v>
      </c>
      <c r="Q33" s="68">
        <f t="shared" si="10"/>
        <v>10.181249999999999</v>
      </c>
      <c r="R33" s="68">
        <f t="shared" si="11"/>
        <v>0</v>
      </c>
      <c r="S33" s="68">
        <f t="shared" si="11"/>
        <v>0</v>
      </c>
      <c r="T33" s="68">
        <f t="shared" si="11"/>
        <v>0</v>
      </c>
      <c r="U33" s="68">
        <f t="shared" si="11"/>
        <v>0</v>
      </c>
    </row>
    <row r="34" spans="1:21" s="51" customFormat="1" ht="13" x14ac:dyDescent="0.35">
      <c r="A34" s="10">
        <f>F8</f>
        <v>15</v>
      </c>
      <c r="B34" s="12">
        <v>80</v>
      </c>
      <c r="C34" s="68">
        <f t="shared" si="6"/>
        <v>176</v>
      </c>
      <c r="D34" s="68">
        <f t="shared" si="7"/>
        <v>78.993679999999983</v>
      </c>
      <c r="E34" s="68">
        <f t="shared" si="8"/>
        <v>19.954800000000002</v>
      </c>
      <c r="F34" s="68">
        <f t="shared" si="9"/>
        <v>3.7271840000000003</v>
      </c>
      <c r="G34" s="68">
        <f t="shared" si="5"/>
        <v>1.6E-2</v>
      </c>
      <c r="H34" s="68">
        <f t="shared" si="5"/>
        <v>8.6400000000000005E-2</v>
      </c>
      <c r="I34" s="68">
        <f t="shared" si="5"/>
        <v>0.04</v>
      </c>
      <c r="J34" s="68">
        <f t="shared" si="5"/>
        <v>8.0000000000000004E-4</v>
      </c>
      <c r="K34" s="68">
        <f t="shared" si="5"/>
        <v>4.0000000000000001E-3</v>
      </c>
      <c r="L34" s="68">
        <f t="shared" si="5"/>
        <v>1.6E-2</v>
      </c>
      <c r="M34" s="68">
        <f t="shared" si="5"/>
        <v>1.6E-2</v>
      </c>
      <c r="N34" s="68">
        <f t="shared" si="5"/>
        <v>0</v>
      </c>
      <c r="O34" s="68">
        <f t="shared" si="5"/>
        <v>0</v>
      </c>
      <c r="P34" s="68">
        <f t="shared" si="5"/>
        <v>23.759999999999998</v>
      </c>
      <c r="Q34" s="68">
        <f t="shared" si="10"/>
        <v>18.100000000000001</v>
      </c>
      <c r="R34" s="68">
        <f t="shared" si="11"/>
        <v>0</v>
      </c>
      <c r="S34" s="68">
        <f t="shared" si="11"/>
        <v>0</v>
      </c>
      <c r="T34" s="68">
        <f t="shared" si="11"/>
        <v>0</v>
      </c>
      <c r="U34" s="68">
        <f t="shared" si="11"/>
        <v>0</v>
      </c>
    </row>
    <row r="35" spans="1:21" s="51" customFormat="1" ht="13" x14ac:dyDescent="0.35">
      <c r="A35" s="10">
        <f>G8</f>
        <v>16</v>
      </c>
      <c r="B35" s="12">
        <v>80</v>
      </c>
      <c r="C35" s="68">
        <f t="shared" si="6"/>
        <v>176</v>
      </c>
      <c r="D35" s="68">
        <f t="shared" si="7"/>
        <v>78.993679999999983</v>
      </c>
      <c r="E35" s="68">
        <f t="shared" si="8"/>
        <v>19.954800000000002</v>
      </c>
      <c r="F35" s="68">
        <f t="shared" si="9"/>
        <v>3.7271840000000003</v>
      </c>
      <c r="G35" s="68">
        <f t="shared" si="5"/>
        <v>1.6E-2</v>
      </c>
      <c r="H35" s="68">
        <f t="shared" si="5"/>
        <v>8.6400000000000005E-2</v>
      </c>
      <c r="I35" s="68">
        <f t="shared" si="5"/>
        <v>0.04</v>
      </c>
      <c r="J35" s="68">
        <f t="shared" si="5"/>
        <v>8.0000000000000004E-4</v>
      </c>
      <c r="K35" s="68">
        <f t="shared" si="5"/>
        <v>4.0000000000000001E-3</v>
      </c>
      <c r="L35" s="68">
        <f t="shared" si="5"/>
        <v>1.6E-2</v>
      </c>
      <c r="M35" s="68">
        <f t="shared" si="5"/>
        <v>1.6E-2</v>
      </c>
      <c r="N35" s="68">
        <f t="shared" si="5"/>
        <v>0</v>
      </c>
      <c r="O35" s="68">
        <f t="shared" si="5"/>
        <v>0</v>
      </c>
      <c r="P35" s="68">
        <f t="shared" si="5"/>
        <v>23.759999999999998</v>
      </c>
      <c r="Q35" s="68">
        <f t="shared" si="10"/>
        <v>18.100000000000001</v>
      </c>
      <c r="R35" s="68">
        <f t="shared" si="11"/>
        <v>0</v>
      </c>
      <c r="S35" s="68">
        <f t="shared" si="11"/>
        <v>0</v>
      </c>
      <c r="T35" s="68">
        <f t="shared" si="11"/>
        <v>0</v>
      </c>
      <c r="U35" s="68">
        <f t="shared" si="11"/>
        <v>0</v>
      </c>
    </row>
    <row r="36" spans="1:21" s="51" customFormat="1" ht="13" x14ac:dyDescent="0.35">
      <c r="A36" s="10">
        <f>H8</f>
        <v>17</v>
      </c>
      <c r="B36" s="12">
        <v>80</v>
      </c>
      <c r="C36" s="68">
        <f t="shared" si="6"/>
        <v>176</v>
      </c>
      <c r="D36" s="68">
        <f t="shared" si="7"/>
        <v>78.993679999999983</v>
      </c>
      <c r="E36" s="68">
        <f t="shared" si="8"/>
        <v>19.954800000000002</v>
      </c>
      <c r="F36" s="68">
        <f t="shared" si="9"/>
        <v>3.7271840000000003</v>
      </c>
      <c r="G36" s="68">
        <f t="shared" si="5"/>
        <v>1.6E-2</v>
      </c>
      <c r="H36" s="68">
        <f t="shared" si="5"/>
        <v>8.6400000000000005E-2</v>
      </c>
      <c r="I36" s="68">
        <f t="shared" si="5"/>
        <v>0.04</v>
      </c>
      <c r="J36" s="68">
        <f t="shared" si="5"/>
        <v>8.0000000000000004E-4</v>
      </c>
      <c r="K36" s="68">
        <f t="shared" si="5"/>
        <v>4.0000000000000001E-3</v>
      </c>
      <c r="L36" s="68">
        <f t="shared" si="5"/>
        <v>1.6E-2</v>
      </c>
      <c r="M36" s="68">
        <f t="shared" si="5"/>
        <v>1.6E-2</v>
      </c>
      <c r="N36" s="68">
        <f t="shared" si="5"/>
        <v>0</v>
      </c>
      <c r="O36" s="68">
        <f t="shared" si="5"/>
        <v>0</v>
      </c>
      <c r="P36" s="68">
        <f t="shared" si="5"/>
        <v>23.759999999999998</v>
      </c>
      <c r="Q36" s="68">
        <f t="shared" si="10"/>
        <v>18.100000000000001</v>
      </c>
      <c r="R36" s="68">
        <f t="shared" si="11"/>
        <v>0</v>
      </c>
      <c r="S36" s="68">
        <f t="shared" si="11"/>
        <v>0</v>
      </c>
      <c r="T36" s="68">
        <f t="shared" si="11"/>
        <v>0</v>
      </c>
      <c r="U36" s="68">
        <f t="shared" si="11"/>
        <v>0</v>
      </c>
    </row>
    <row r="37" spans="1:21" s="51" customFormat="1" ht="13" x14ac:dyDescent="0.35">
      <c r="A37" s="10">
        <f>I8</f>
        <v>18</v>
      </c>
      <c r="B37" s="12">
        <v>45</v>
      </c>
      <c r="C37" s="68">
        <f t="shared" si="6"/>
        <v>99.000000000000014</v>
      </c>
      <c r="D37" s="68">
        <f t="shared" si="7"/>
        <v>44.433944999999994</v>
      </c>
      <c r="E37" s="68">
        <f t="shared" si="8"/>
        <v>11.224575000000002</v>
      </c>
      <c r="F37" s="68">
        <f t="shared" si="9"/>
        <v>2.0965410000000002</v>
      </c>
      <c r="G37" s="68">
        <f t="shared" si="5"/>
        <v>9.0000000000000011E-3</v>
      </c>
      <c r="H37" s="68">
        <f t="shared" si="5"/>
        <v>4.8599999999999997E-2</v>
      </c>
      <c r="I37" s="68">
        <f t="shared" si="5"/>
        <v>2.2499999999999999E-2</v>
      </c>
      <c r="J37" s="68">
        <f t="shared" si="5"/>
        <v>4.5000000000000004E-4</v>
      </c>
      <c r="K37" s="68">
        <f t="shared" si="5"/>
        <v>2.2500000000000003E-3</v>
      </c>
      <c r="L37" s="68">
        <f t="shared" si="5"/>
        <v>9.0000000000000011E-3</v>
      </c>
      <c r="M37" s="68">
        <f t="shared" si="5"/>
        <v>9.0000000000000011E-3</v>
      </c>
      <c r="N37" s="68">
        <f t="shared" si="5"/>
        <v>0</v>
      </c>
      <c r="O37" s="68">
        <f t="shared" si="5"/>
        <v>0</v>
      </c>
      <c r="P37" s="68">
        <f t="shared" si="5"/>
        <v>13.365</v>
      </c>
      <c r="Q37" s="68">
        <f t="shared" si="10"/>
        <v>10.181249999999999</v>
      </c>
      <c r="R37" s="68">
        <f t="shared" si="11"/>
        <v>0</v>
      </c>
      <c r="S37" s="68">
        <f t="shared" si="11"/>
        <v>0</v>
      </c>
      <c r="T37" s="68">
        <f t="shared" si="11"/>
        <v>0</v>
      </c>
      <c r="U37" s="68">
        <f t="shared" si="11"/>
        <v>0</v>
      </c>
    </row>
    <row r="38" spans="1:21" s="51" customFormat="1" ht="13" x14ac:dyDescent="0.35">
      <c r="A38" s="10">
        <f>J8</f>
        <v>4968</v>
      </c>
      <c r="B38" s="12">
        <v>112</v>
      </c>
      <c r="C38" s="68">
        <f t="shared" si="6"/>
        <v>246.40000000000003</v>
      </c>
      <c r="D38" s="68">
        <f t="shared" si="7"/>
        <v>110.59115199999999</v>
      </c>
      <c r="E38" s="68">
        <f t="shared" si="8"/>
        <v>27.936720000000005</v>
      </c>
      <c r="F38" s="68">
        <f t="shared" si="9"/>
        <v>5.2180575999999999</v>
      </c>
      <c r="G38" s="68">
        <f t="shared" si="5"/>
        <v>2.24E-2</v>
      </c>
      <c r="H38" s="68">
        <f t="shared" si="5"/>
        <v>0.12096</v>
      </c>
      <c r="I38" s="68">
        <f t="shared" si="5"/>
        <v>5.6000000000000001E-2</v>
      </c>
      <c r="J38" s="68">
        <f t="shared" si="5"/>
        <v>1.1200000000000001E-3</v>
      </c>
      <c r="K38" s="68">
        <f t="shared" si="5"/>
        <v>5.5999999999999999E-3</v>
      </c>
      <c r="L38" s="68">
        <f t="shared" si="5"/>
        <v>2.24E-2</v>
      </c>
      <c r="M38" s="68">
        <f t="shared" si="5"/>
        <v>2.24E-2</v>
      </c>
      <c r="N38" s="68">
        <f t="shared" si="5"/>
        <v>0</v>
      </c>
      <c r="O38" s="68">
        <f t="shared" si="5"/>
        <v>0</v>
      </c>
      <c r="P38" s="68">
        <f t="shared" si="5"/>
        <v>33.263999999999996</v>
      </c>
      <c r="Q38" s="68">
        <f t="shared" si="10"/>
        <v>25.339999999999996</v>
      </c>
      <c r="R38" s="68">
        <f t="shared" si="11"/>
        <v>0</v>
      </c>
      <c r="S38" s="68">
        <f t="shared" si="11"/>
        <v>0</v>
      </c>
      <c r="T38" s="68">
        <f t="shared" si="11"/>
        <v>0</v>
      </c>
      <c r="U38" s="68">
        <f t="shared" si="11"/>
        <v>0</v>
      </c>
    </row>
    <row r="39" spans="1:21" s="51" customFormat="1" ht="13" x14ac:dyDescent="0.35">
      <c r="A39" s="10">
        <f>K8</f>
        <v>961</v>
      </c>
      <c r="B39" s="12">
        <v>112</v>
      </c>
      <c r="C39" s="68">
        <f t="shared" si="6"/>
        <v>246.40000000000003</v>
      </c>
      <c r="D39" s="68">
        <f t="shared" si="7"/>
        <v>110.59115199999999</v>
      </c>
      <c r="E39" s="68">
        <f t="shared" si="8"/>
        <v>27.936720000000005</v>
      </c>
      <c r="F39" s="68">
        <f t="shared" si="9"/>
        <v>5.2180575999999999</v>
      </c>
      <c r="G39" s="68">
        <f t="shared" si="5"/>
        <v>2.24E-2</v>
      </c>
      <c r="H39" s="68">
        <f t="shared" si="5"/>
        <v>0.12096</v>
      </c>
      <c r="I39" s="68">
        <f t="shared" si="5"/>
        <v>5.6000000000000001E-2</v>
      </c>
      <c r="J39" s="68">
        <f t="shared" si="5"/>
        <v>1.1200000000000001E-3</v>
      </c>
      <c r="K39" s="68">
        <f t="shared" si="5"/>
        <v>5.5999999999999999E-3</v>
      </c>
      <c r="L39" s="68">
        <f t="shared" si="5"/>
        <v>2.24E-2</v>
      </c>
      <c r="M39" s="68">
        <f t="shared" si="5"/>
        <v>2.24E-2</v>
      </c>
      <c r="N39" s="68">
        <f t="shared" si="5"/>
        <v>0</v>
      </c>
      <c r="O39" s="68">
        <f t="shared" si="5"/>
        <v>0</v>
      </c>
      <c r="P39" s="68">
        <f t="shared" si="5"/>
        <v>33.263999999999996</v>
      </c>
      <c r="Q39" s="68">
        <f t="shared" si="10"/>
        <v>25.339999999999996</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Arable</v>
      </c>
      <c r="D58" s="10" t="str">
        <f>E16&amp;" I "&amp;(VLOOKUP(E14,Table245[],6,FALSE))</f>
        <v>Medium/Clay I Arable</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Arable</v>
      </c>
      <c r="I58" s="10" t="str">
        <f>J16&amp;" I "&amp;(VLOOKUP(J14,Table245[],6,FALSE))</f>
        <v>Medium/Clay I Grass</v>
      </c>
      <c r="J58" s="10" t="str">
        <f>K16&amp;" I "&amp;(VLOOKUP(K14,Table245[],6,FALSE))</f>
        <v>Medium/Clay I Grass</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6.7</v>
      </c>
      <c r="D59" s="67">
        <f>VLOOKUP(E$14,Table245[],5,FALSE)</f>
        <v>6.7</v>
      </c>
      <c r="E59" s="67">
        <f>VLOOKUP(F$14,Table245[],5,FALSE)</f>
        <v>6.2</v>
      </c>
      <c r="F59" s="67">
        <f>VLOOKUP(G$14,Table245[],5,FALSE)</f>
        <v>6.2</v>
      </c>
      <c r="G59" s="67">
        <f>VLOOKUP(H$14,Table245[],5,FALSE)</f>
        <v>6.2</v>
      </c>
      <c r="H59" s="67">
        <f>VLOOKUP(I$14,Table245[],5,FALSE)</f>
        <v>6.7</v>
      </c>
      <c r="I59" s="67">
        <f>VLOOKUP(J$14,Table245[],5,FALSE)</f>
        <v>6.2</v>
      </c>
      <c r="J59" s="67">
        <f>VLOOKUP(K$14,Table245[],5,FALSE)</f>
        <v>6.2</v>
      </c>
      <c r="K59" s="67" t="e">
        <f>VLOOKUP(L$14,Table245[],5,FALSE)</f>
        <v>#N/A</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80</v>
      </c>
      <c r="C62" s="68">
        <f>B32</f>
        <v>63</v>
      </c>
      <c r="D62" s="68">
        <f>B33</f>
        <v>45</v>
      </c>
      <c r="E62" s="68">
        <f>B34</f>
        <v>80</v>
      </c>
      <c r="F62" s="68">
        <f>B35</f>
        <v>80</v>
      </c>
      <c r="G62" s="68">
        <f>B36</f>
        <v>80</v>
      </c>
      <c r="H62" s="68">
        <f>B37</f>
        <v>45</v>
      </c>
      <c r="I62" s="68">
        <f>B38</f>
        <v>112</v>
      </c>
      <c r="J62" s="68">
        <f>B39</f>
        <v>112</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O26" sqref="O2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v>7.29</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170</v>
      </c>
      <c r="G2" s="112" t="s">
        <v>110</v>
      </c>
      <c r="H2" s="113"/>
      <c r="I2" s="86">
        <v>611</v>
      </c>
      <c r="J2" s="114" t="s">
        <v>158</v>
      </c>
      <c r="K2" s="114"/>
      <c r="L2" s="86">
        <v>0.01</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v>200</v>
      </c>
      <c r="J3" s="110" t="s">
        <v>154</v>
      </c>
      <c r="K3" s="111"/>
      <c r="L3" s="86">
        <f>(L1/(L2*10000))*100</f>
        <v>25</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172</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8.934899999999999</v>
      </c>
      <c r="D18" s="13">
        <f>$D32</f>
        <v>5.3609399999999994</v>
      </c>
      <c r="E18" s="13">
        <f>$D33</f>
        <v>5.3609399999999994</v>
      </c>
      <c r="F18" s="13">
        <f>$D34</f>
        <v>8.934899999999999</v>
      </c>
      <c r="G18" s="13">
        <f>$D35</f>
        <v>8.934899999999999</v>
      </c>
      <c r="H18" s="13">
        <f>$D36</f>
        <v>8.934899999999999</v>
      </c>
      <c r="I18" s="13">
        <f>$D37</f>
        <v>5.3609399999999994</v>
      </c>
      <c r="J18" s="13">
        <f>$D38</f>
        <v>8.934899999999999</v>
      </c>
      <c r="K18" s="13">
        <f>$D39</f>
        <v>8.934899999999999</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-70.965099999999993</v>
      </c>
      <c r="D19" s="13">
        <f t="shared" ref="D19:V19" si="1">D18-D17</f>
        <v>-57.639059999999994</v>
      </c>
      <c r="E19" s="13">
        <f t="shared" si="1"/>
        <v>-41.389060000000001</v>
      </c>
      <c r="F19" s="13">
        <f t="shared" si="1"/>
        <v>-70.965099999999993</v>
      </c>
      <c r="G19" s="13">
        <f t="shared" si="1"/>
        <v>-70.965099999999993</v>
      </c>
      <c r="H19" s="13">
        <f t="shared" si="1"/>
        <v>-70.965099999999993</v>
      </c>
      <c r="I19" s="13">
        <f t="shared" si="1"/>
        <v>-41.389060000000001</v>
      </c>
      <c r="J19" s="13">
        <f t="shared" si="1"/>
        <v>-70.965099999999993</v>
      </c>
      <c r="K19" s="13">
        <f t="shared" si="1"/>
        <v>-70.965099999999993</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(VLOOKUP(D$14,$AI2:$AK24,3,FALSE))*D$15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31.631250000000001</v>
      </c>
      <c r="D22" s="13">
        <f>$E32</f>
        <v>18.978750000000002</v>
      </c>
      <c r="E22" s="13">
        <f>$E33</f>
        <v>18.978750000000002</v>
      </c>
      <c r="F22" s="13">
        <f>$E34</f>
        <v>31.631250000000001</v>
      </c>
      <c r="G22" s="13">
        <f>$E35</f>
        <v>31.631250000000001</v>
      </c>
      <c r="H22" s="13">
        <f>$E36</f>
        <v>31.631250000000001</v>
      </c>
      <c r="I22" s="13">
        <f>$E37</f>
        <v>18.978750000000002</v>
      </c>
      <c r="J22" s="13">
        <f>$E38</f>
        <v>31.631250000000001</v>
      </c>
      <c r="K22" s="13">
        <f>$E39</f>
        <v>31.631250000000001</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-250.36875000000001</v>
      </c>
      <c r="D23" s="13">
        <f t="shared" ref="D23:V23" si="3">D22-D21</f>
        <v>-179.02125000000004</v>
      </c>
      <c r="E23" s="13">
        <f t="shared" si="3"/>
        <v>-47.021249999999995</v>
      </c>
      <c r="F23" s="13">
        <f t="shared" si="3"/>
        <v>-250.36875000000001</v>
      </c>
      <c r="G23" s="13">
        <f t="shared" si="3"/>
        <v>-250.36875000000001</v>
      </c>
      <c r="H23" s="13">
        <f t="shared" si="3"/>
        <v>-250.36875000000001</v>
      </c>
      <c r="I23" s="13">
        <f t="shared" si="3"/>
        <v>-47.021249999999995</v>
      </c>
      <c r="J23" s="13">
        <f t="shared" si="3"/>
        <v>-250.36875000000001</v>
      </c>
      <c r="K23" s="13">
        <f t="shared" si="3"/>
        <v>-250.36875000000001</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0.38</v>
      </c>
      <c r="C28" s="12">
        <v>0.01</v>
      </c>
      <c r="D28" s="12">
        <v>15.6</v>
      </c>
      <c r="E28" s="12">
        <v>105</v>
      </c>
      <c r="F28" s="12">
        <v>10</v>
      </c>
      <c r="G28" s="12">
        <v>0.2</v>
      </c>
      <c r="H28" s="12">
        <v>2</v>
      </c>
      <c r="I28" s="12">
        <v>0.5</v>
      </c>
      <c r="J28" s="12">
        <v>0.01</v>
      </c>
      <c r="K28" s="16">
        <v>0.05</v>
      </c>
      <c r="L28" s="12">
        <v>0.2</v>
      </c>
      <c r="M28" s="12">
        <v>0.2</v>
      </c>
      <c r="N28" s="12"/>
      <c r="O28" s="12"/>
      <c r="P28" s="12">
        <v>684</v>
      </c>
      <c r="Q28" s="12">
        <v>28.6</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250</v>
      </c>
      <c r="C31" s="68">
        <f>IF(C$27="%w/w SAR",((C$28*10)*$B31),IF(C$27="%w/w DM",(((C$28*10)*($B$28/100))*$B31),IF(C$27="kg/t SAR",(C$28*$B31),IF(C$27="kg/t DM",((C$28*($B$28/100))*$B31),IF(C$27="mg/kg SAR",((C$28*0.001)*$B31),IF(C$27="mg/kg DM",(((C$28*0.001)*($B$28/100))*$B31),0))))))</f>
        <v>25</v>
      </c>
      <c r="D31" s="68">
        <f>(IF(D$27="%w/w SAR",((D$28*10)*$B31),IF(D$27="%w/w DM",(((D$28*10)*($B$28/100))*$B31),IF(D$27="kg/t SAR",(D$28*$B31),IF(D$27="kg/t DM",((D$28*($B$28/100))*$B31),IF(D$27="mg/kg SAR",((D$28*0.001)*$B31),IF(D$27="mg/kg DM",(((D$28*0.001)*($B$28/100))*$B31),"0")))))))*2.291</f>
        <v>8.934899999999999</v>
      </c>
      <c r="E31" s="68">
        <f>(IF(E$27="%w/w SAR",((E$28*10)*$B31),IF(E$27="%w/w DM",(((E$28*10)*($B$28/100))*$B31),IF(E$27="kg/t SAR",(E$28*$B31),IF(E$27="kg/t DM",((E$28*($B$28/100))*$B31),IF(E$27="mg/kg SAR",((E$28*0.001)*$B31),IF(E$27="mg/kg DM",(((E$28*0.001)*($B$28/100))*$B31),"0")))))))*1.205</f>
        <v>31.631250000000001</v>
      </c>
      <c r="F31" s="68">
        <f>(IF(F$27="%w/w SAR",((F$28*10)*$B31),IF(F$27="%w/w DM",(((F$28*10)*($B$28/100))*$B31),IF(F$27="kg/t SAR",(F$28*$B31),IF(F$27="kg/t DM",((F$28*($B$28/100))*$B31),IF(F$27="mg/kg SAR",((F$28*0.001)*$B31),IF(F$27="mg/kg DM",(((F$28*0.001)*($B$28/100))*$B31),"0")))))))*1.658</f>
        <v>4.1449999999999996</v>
      </c>
      <c r="G31" s="68">
        <f t="shared" ref="G31:P46" si="5">IF(G$27="%w/w SAR",((G$28*10)*$B31),IF(G$27="%w/w DM",(((G$28*10)*($B$28/100))*$B31),IF(G$27="kg/t SAR",(G$28*$B31),IF(G$27="kg/t DM",((G$28*($B$28/100))*$B31),IF(G$27="mg/kg SAR",((G$28*0.001)*$B31),IF(G$27="mg/kg DM",(((G$28*0.001)*($B$28/100))*$B31),0))))))</f>
        <v>0.05</v>
      </c>
      <c r="H31" s="68">
        <f t="shared" si="5"/>
        <v>0.5</v>
      </c>
      <c r="I31" s="68">
        <f t="shared" si="5"/>
        <v>0.125</v>
      </c>
      <c r="J31" s="68">
        <f t="shared" si="5"/>
        <v>2.5000000000000001E-3</v>
      </c>
      <c r="K31" s="68">
        <f t="shared" si="5"/>
        <v>1.2500000000000001E-2</v>
      </c>
      <c r="L31" s="68">
        <f t="shared" si="5"/>
        <v>0.05</v>
      </c>
      <c r="M31" s="68">
        <f t="shared" si="5"/>
        <v>0.05</v>
      </c>
      <c r="N31" s="68">
        <f t="shared" si="5"/>
        <v>0</v>
      </c>
      <c r="O31" s="68">
        <f t="shared" si="5"/>
        <v>0</v>
      </c>
      <c r="P31" s="68">
        <f t="shared" si="5"/>
        <v>171</v>
      </c>
      <c r="Q31" s="68">
        <f>(IF(Q$27="%w/w SAR",((Q$28*10)*$B31),IF(Q$27="%w/w DM",(((Q$28*10)*($B$28/100))*$B31),IF(Q$27="kg/t SAR",(Q$28*$B31),IF(Q$27="kg/t DM",((Q$28*($B$28/100))*$B31),IF(Q$27="mg/kg SAR",((Q$28*0.001)*$B31),IF(Q$27="mg/kg DM",(((Q$28*0.001)*($B$28/100))*$B31),0)))))))*2.5</f>
        <v>17.875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150</v>
      </c>
      <c r="C32" s="68">
        <f t="shared" ref="C32:C50" si="6">IF(C$27="%w/w SAR",((C$28*10)*$B32),IF(C$27="%w/w DM",(((C$28*10)*($B$28/100))*$B32),IF(C$27="kg/t SAR",(C$28*$B32),IF(C$27="kg/t DM",((C$28*($B$28/100))*$B32),IF(C$27="mg/kg SAR",((C$28*0.001)*$B32),IF(C$27="mg/kg DM",(((C$28*0.001)*($B$28/100))*$B32),0))))))</f>
        <v>15</v>
      </c>
      <c r="D32" s="68">
        <f t="shared" ref="D32:D50" si="7">(IF(D$27="%w/w SAR",((D$28*10)*$B32),IF(D$27="%w/w DM",(((D$28*10)*($B$28/100))*$B32),IF(D$27="kg/t SAR",(D$28*$B32),IF(D$27="kg/t DM",((D$28*($B$28/100))*$B32),IF(D$27="mg/kg SAR",((D$28*0.001)*$B32),IF(D$27="mg/kg DM",(((D$28*0.001)*($B$28/100))*$B32),"0")))))))*2.291</f>
        <v>5.3609399999999994</v>
      </c>
      <c r="E32" s="68">
        <f t="shared" ref="E32:E50" si="8">(IF(E$27="%w/w SAR",((E$28*10)*$B32),IF(E$27="%w/w DM",(((E$28*10)*($B$28/100))*$B32),IF(E$27="kg/t SAR",(E$28*$B32),IF(E$27="kg/t DM",((E$28*($B$28/100))*$B32),IF(E$27="mg/kg SAR",((E$28*0.001)*$B32),IF(E$27="mg/kg DM",(((E$28*0.001)*($B$28/100))*$B32),"0")))))))*1.205</f>
        <v>18.978750000000002</v>
      </c>
      <c r="F32" s="68">
        <f t="shared" ref="F32:F50" si="9">(IF(F$27="%w/w SAR",((F$28*10)*$B32),IF(F$27="%w/w DM",(((F$28*10)*($B$28/100))*$B32),IF(F$27="kg/t SAR",(F$28*$B32),IF(F$27="kg/t DM",((F$28*($B$28/100))*$B32),IF(F$27="mg/kg SAR",((F$28*0.001)*$B32),IF(F$27="mg/kg DM",(((F$28*0.001)*($B$28/100))*$B32),"0")))))))*1.658</f>
        <v>2.4870000000000001</v>
      </c>
      <c r="G32" s="68">
        <f t="shared" si="5"/>
        <v>3.0000000000000002E-2</v>
      </c>
      <c r="H32" s="68">
        <f t="shared" si="5"/>
        <v>0.3</v>
      </c>
      <c r="I32" s="68">
        <f t="shared" si="5"/>
        <v>7.4999999999999997E-2</v>
      </c>
      <c r="J32" s="68">
        <f t="shared" si="5"/>
        <v>1.5E-3</v>
      </c>
      <c r="K32" s="68">
        <f t="shared" si="5"/>
        <v>7.5000000000000006E-3</v>
      </c>
      <c r="L32" s="68">
        <f t="shared" si="5"/>
        <v>3.0000000000000002E-2</v>
      </c>
      <c r="M32" s="68">
        <f t="shared" si="5"/>
        <v>3.0000000000000002E-2</v>
      </c>
      <c r="N32" s="68">
        <f t="shared" si="5"/>
        <v>0</v>
      </c>
      <c r="O32" s="68">
        <f t="shared" si="5"/>
        <v>0</v>
      </c>
      <c r="P32" s="68">
        <f t="shared" si="5"/>
        <v>102.60000000000001</v>
      </c>
      <c r="Q32" s="68">
        <f t="shared" ref="Q32:Q50" si="10">(IF(Q$27="%w/w SAR",((Q$28*10)*$B32),IF(Q$27="%w/w DM",(((Q$28*10)*($B$28/100))*$B32),IF(Q$27="kg/t SAR",(Q$28*$B32),IF(Q$27="kg/t DM",((Q$28*($B$28/100))*$B32),IF(Q$27="mg/kg SAR",((Q$28*0.001)*$B32),IF(Q$27="mg/kg DM",(((Q$28*0.001)*($B$28/100))*$B32),0)))))))*2.5</f>
        <v>10.725</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f>E8</f>
        <v>12</v>
      </c>
      <c r="B33" s="12">
        <v>150</v>
      </c>
      <c r="C33" s="68">
        <f t="shared" si="6"/>
        <v>15</v>
      </c>
      <c r="D33" s="68">
        <f t="shared" si="7"/>
        <v>5.3609399999999994</v>
      </c>
      <c r="E33" s="68">
        <f t="shared" si="8"/>
        <v>18.978750000000002</v>
      </c>
      <c r="F33" s="68">
        <f t="shared" si="9"/>
        <v>2.4870000000000001</v>
      </c>
      <c r="G33" s="68">
        <f t="shared" si="5"/>
        <v>3.0000000000000002E-2</v>
      </c>
      <c r="H33" s="68">
        <f t="shared" si="5"/>
        <v>0.3</v>
      </c>
      <c r="I33" s="68">
        <f t="shared" si="5"/>
        <v>7.4999999999999997E-2</v>
      </c>
      <c r="J33" s="68">
        <f t="shared" si="5"/>
        <v>1.5E-3</v>
      </c>
      <c r="K33" s="68">
        <f t="shared" si="5"/>
        <v>7.5000000000000006E-3</v>
      </c>
      <c r="L33" s="68">
        <f t="shared" si="5"/>
        <v>3.0000000000000002E-2</v>
      </c>
      <c r="M33" s="68">
        <f t="shared" si="5"/>
        <v>3.0000000000000002E-2</v>
      </c>
      <c r="N33" s="68">
        <f t="shared" si="5"/>
        <v>0</v>
      </c>
      <c r="O33" s="68">
        <f t="shared" si="5"/>
        <v>0</v>
      </c>
      <c r="P33" s="68">
        <f t="shared" si="5"/>
        <v>102.60000000000001</v>
      </c>
      <c r="Q33" s="68">
        <f t="shared" si="10"/>
        <v>10.725</v>
      </c>
      <c r="R33" s="68">
        <f t="shared" si="11"/>
        <v>0</v>
      </c>
      <c r="S33" s="68">
        <f t="shared" si="11"/>
        <v>0</v>
      </c>
      <c r="T33" s="68">
        <f t="shared" si="11"/>
        <v>0</v>
      </c>
      <c r="U33" s="68">
        <f t="shared" si="11"/>
        <v>0</v>
      </c>
    </row>
    <row r="34" spans="1:21" s="51" customFormat="1" ht="13" x14ac:dyDescent="0.35">
      <c r="A34" s="10">
        <f>F8</f>
        <v>15</v>
      </c>
      <c r="B34" s="12">
        <v>250</v>
      </c>
      <c r="C34" s="68">
        <f t="shared" si="6"/>
        <v>25</v>
      </c>
      <c r="D34" s="68">
        <f t="shared" si="7"/>
        <v>8.934899999999999</v>
      </c>
      <c r="E34" s="68">
        <f t="shared" si="8"/>
        <v>31.631250000000001</v>
      </c>
      <c r="F34" s="68">
        <f t="shared" si="9"/>
        <v>4.1449999999999996</v>
      </c>
      <c r="G34" s="68">
        <f t="shared" si="5"/>
        <v>0.05</v>
      </c>
      <c r="H34" s="68">
        <f t="shared" si="5"/>
        <v>0.5</v>
      </c>
      <c r="I34" s="68">
        <f t="shared" si="5"/>
        <v>0.125</v>
      </c>
      <c r="J34" s="68">
        <f t="shared" si="5"/>
        <v>2.5000000000000001E-3</v>
      </c>
      <c r="K34" s="68">
        <f t="shared" si="5"/>
        <v>1.2500000000000001E-2</v>
      </c>
      <c r="L34" s="68">
        <f t="shared" si="5"/>
        <v>0.05</v>
      </c>
      <c r="M34" s="68">
        <f t="shared" si="5"/>
        <v>0.05</v>
      </c>
      <c r="N34" s="68">
        <f t="shared" si="5"/>
        <v>0</v>
      </c>
      <c r="O34" s="68">
        <f t="shared" si="5"/>
        <v>0</v>
      </c>
      <c r="P34" s="68">
        <f t="shared" si="5"/>
        <v>171</v>
      </c>
      <c r="Q34" s="68">
        <f t="shared" si="10"/>
        <v>17.875</v>
      </c>
      <c r="R34" s="68">
        <f t="shared" si="11"/>
        <v>0</v>
      </c>
      <c r="S34" s="68">
        <f t="shared" si="11"/>
        <v>0</v>
      </c>
      <c r="T34" s="68">
        <f t="shared" si="11"/>
        <v>0</v>
      </c>
      <c r="U34" s="68">
        <f t="shared" si="11"/>
        <v>0</v>
      </c>
    </row>
    <row r="35" spans="1:21" s="51" customFormat="1" ht="13" x14ac:dyDescent="0.35">
      <c r="A35" s="10">
        <f>G8</f>
        <v>16</v>
      </c>
      <c r="B35" s="12">
        <v>250</v>
      </c>
      <c r="C35" s="68">
        <f t="shared" si="6"/>
        <v>25</v>
      </c>
      <c r="D35" s="68">
        <f t="shared" si="7"/>
        <v>8.934899999999999</v>
      </c>
      <c r="E35" s="68">
        <f t="shared" si="8"/>
        <v>31.631250000000001</v>
      </c>
      <c r="F35" s="68">
        <f t="shared" si="9"/>
        <v>4.1449999999999996</v>
      </c>
      <c r="G35" s="68">
        <f t="shared" si="5"/>
        <v>0.05</v>
      </c>
      <c r="H35" s="68">
        <f t="shared" si="5"/>
        <v>0.5</v>
      </c>
      <c r="I35" s="68">
        <f t="shared" si="5"/>
        <v>0.125</v>
      </c>
      <c r="J35" s="68">
        <f t="shared" si="5"/>
        <v>2.5000000000000001E-3</v>
      </c>
      <c r="K35" s="68">
        <f t="shared" si="5"/>
        <v>1.2500000000000001E-2</v>
      </c>
      <c r="L35" s="68">
        <f t="shared" si="5"/>
        <v>0.05</v>
      </c>
      <c r="M35" s="68">
        <f t="shared" si="5"/>
        <v>0.05</v>
      </c>
      <c r="N35" s="68">
        <f t="shared" si="5"/>
        <v>0</v>
      </c>
      <c r="O35" s="68">
        <f t="shared" si="5"/>
        <v>0</v>
      </c>
      <c r="P35" s="68">
        <f t="shared" si="5"/>
        <v>171</v>
      </c>
      <c r="Q35" s="68">
        <f t="shared" si="10"/>
        <v>17.875</v>
      </c>
      <c r="R35" s="68">
        <f t="shared" si="11"/>
        <v>0</v>
      </c>
      <c r="S35" s="68">
        <f t="shared" si="11"/>
        <v>0</v>
      </c>
      <c r="T35" s="68">
        <f t="shared" si="11"/>
        <v>0</v>
      </c>
      <c r="U35" s="68">
        <f t="shared" si="11"/>
        <v>0</v>
      </c>
    </row>
    <row r="36" spans="1:21" s="51" customFormat="1" ht="13" x14ac:dyDescent="0.35">
      <c r="A36" s="10">
        <f>H8</f>
        <v>17</v>
      </c>
      <c r="B36" s="12">
        <v>250</v>
      </c>
      <c r="C36" s="68">
        <f t="shared" si="6"/>
        <v>25</v>
      </c>
      <c r="D36" s="68">
        <f t="shared" si="7"/>
        <v>8.934899999999999</v>
      </c>
      <c r="E36" s="68">
        <f t="shared" si="8"/>
        <v>31.631250000000001</v>
      </c>
      <c r="F36" s="68">
        <f t="shared" si="9"/>
        <v>4.1449999999999996</v>
      </c>
      <c r="G36" s="68">
        <f t="shared" si="5"/>
        <v>0.05</v>
      </c>
      <c r="H36" s="68">
        <f t="shared" si="5"/>
        <v>0.5</v>
      </c>
      <c r="I36" s="68">
        <f t="shared" si="5"/>
        <v>0.125</v>
      </c>
      <c r="J36" s="68">
        <f t="shared" si="5"/>
        <v>2.5000000000000001E-3</v>
      </c>
      <c r="K36" s="68">
        <f t="shared" si="5"/>
        <v>1.2500000000000001E-2</v>
      </c>
      <c r="L36" s="68">
        <f t="shared" si="5"/>
        <v>0.05</v>
      </c>
      <c r="M36" s="68">
        <f t="shared" si="5"/>
        <v>0.05</v>
      </c>
      <c r="N36" s="68">
        <f t="shared" si="5"/>
        <v>0</v>
      </c>
      <c r="O36" s="68">
        <f t="shared" si="5"/>
        <v>0</v>
      </c>
      <c r="P36" s="68">
        <f t="shared" si="5"/>
        <v>171</v>
      </c>
      <c r="Q36" s="68">
        <f t="shared" si="10"/>
        <v>17.875</v>
      </c>
      <c r="R36" s="68">
        <f t="shared" si="11"/>
        <v>0</v>
      </c>
      <c r="S36" s="68">
        <f t="shared" si="11"/>
        <v>0</v>
      </c>
      <c r="T36" s="68">
        <f t="shared" si="11"/>
        <v>0</v>
      </c>
      <c r="U36" s="68">
        <f t="shared" si="11"/>
        <v>0</v>
      </c>
    </row>
    <row r="37" spans="1:21" s="51" customFormat="1" ht="13" x14ac:dyDescent="0.35">
      <c r="A37" s="10">
        <f>I8</f>
        <v>18</v>
      </c>
      <c r="B37" s="12">
        <v>150</v>
      </c>
      <c r="C37" s="68">
        <f t="shared" si="6"/>
        <v>15</v>
      </c>
      <c r="D37" s="68">
        <f t="shared" si="7"/>
        <v>5.3609399999999994</v>
      </c>
      <c r="E37" s="68">
        <f t="shared" si="8"/>
        <v>18.978750000000002</v>
      </c>
      <c r="F37" s="68">
        <f t="shared" si="9"/>
        <v>2.4870000000000001</v>
      </c>
      <c r="G37" s="68">
        <f t="shared" si="5"/>
        <v>3.0000000000000002E-2</v>
      </c>
      <c r="H37" s="68">
        <f t="shared" si="5"/>
        <v>0.3</v>
      </c>
      <c r="I37" s="68">
        <f t="shared" si="5"/>
        <v>7.4999999999999997E-2</v>
      </c>
      <c r="J37" s="68">
        <f t="shared" si="5"/>
        <v>1.5E-3</v>
      </c>
      <c r="K37" s="68">
        <f t="shared" si="5"/>
        <v>7.5000000000000006E-3</v>
      </c>
      <c r="L37" s="68">
        <f t="shared" si="5"/>
        <v>3.0000000000000002E-2</v>
      </c>
      <c r="M37" s="68">
        <f t="shared" si="5"/>
        <v>3.0000000000000002E-2</v>
      </c>
      <c r="N37" s="68">
        <f t="shared" si="5"/>
        <v>0</v>
      </c>
      <c r="O37" s="68">
        <f t="shared" si="5"/>
        <v>0</v>
      </c>
      <c r="P37" s="68">
        <f t="shared" si="5"/>
        <v>102.60000000000001</v>
      </c>
      <c r="Q37" s="68">
        <f t="shared" si="10"/>
        <v>10.725</v>
      </c>
      <c r="R37" s="68">
        <f t="shared" si="11"/>
        <v>0</v>
      </c>
      <c r="S37" s="68">
        <f t="shared" si="11"/>
        <v>0</v>
      </c>
      <c r="T37" s="68">
        <f t="shared" si="11"/>
        <v>0</v>
      </c>
      <c r="U37" s="68">
        <f t="shared" si="11"/>
        <v>0</v>
      </c>
    </row>
    <row r="38" spans="1:21" s="51" customFormat="1" ht="13" x14ac:dyDescent="0.35">
      <c r="A38" s="10">
        <f>J8</f>
        <v>4968</v>
      </c>
      <c r="B38" s="12">
        <v>250</v>
      </c>
      <c r="C38" s="68">
        <f t="shared" si="6"/>
        <v>25</v>
      </c>
      <c r="D38" s="68">
        <f t="shared" si="7"/>
        <v>8.934899999999999</v>
      </c>
      <c r="E38" s="68">
        <f t="shared" si="8"/>
        <v>31.631250000000001</v>
      </c>
      <c r="F38" s="68">
        <f t="shared" si="9"/>
        <v>4.1449999999999996</v>
      </c>
      <c r="G38" s="68">
        <f t="shared" si="5"/>
        <v>0.05</v>
      </c>
      <c r="H38" s="68">
        <f t="shared" si="5"/>
        <v>0.5</v>
      </c>
      <c r="I38" s="68">
        <f t="shared" si="5"/>
        <v>0.125</v>
      </c>
      <c r="J38" s="68">
        <f t="shared" si="5"/>
        <v>2.5000000000000001E-3</v>
      </c>
      <c r="K38" s="68">
        <f t="shared" si="5"/>
        <v>1.2500000000000001E-2</v>
      </c>
      <c r="L38" s="68">
        <f t="shared" si="5"/>
        <v>0.05</v>
      </c>
      <c r="M38" s="68">
        <f t="shared" si="5"/>
        <v>0.05</v>
      </c>
      <c r="N38" s="68">
        <f t="shared" si="5"/>
        <v>0</v>
      </c>
      <c r="O38" s="68">
        <f t="shared" si="5"/>
        <v>0</v>
      </c>
      <c r="P38" s="68">
        <f t="shared" si="5"/>
        <v>171</v>
      </c>
      <c r="Q38" s="68">
        <f t="shared" si="10"/>
        <v>17.875</v>
      </c>
      <c r="R38" s="68">
        <f t="shared" si="11"/>
        <v>0</v>
      </c>
      <c r="S38" s="68">
        <f t="shared" si="11"/>
        <v>0</v>
      </c>
      <c r="T38" s="68">
        <f t="shared" si="11"/>
        <v>0</v>
      </c>
      <c r="U38" s="68">
        <f t="shared" si="11"/>
        <v>0</v>
      </c>
    </row>
    <row r="39" spans="1:21" s="51" customFormat="1" ht="13" x14ac:dyDescent="0.35">
      <c r="A39" s="10">
        <f>K8</f>
        <v>961</v>
      </c>
      <c r="B39" s="12">
        <v>250</v>
      </c>
      <c r="C39" s="68">
        <f t="shared" si="6"/>
        <v>25</v>
      </c>
      <c r="D39" s="68">
        <f t="shared" si="7"/>
        <v>8.934899999999999</v>
      </c>
      <c r="E39" s="68">
        <f t="shared" si="8"/>
        <v>31.631250000000001</v>
      </c>
      <c r="F39" s="68">
        <f t="shared" si="9"/>
        <v>4.1449999999999996</v>
      </c>
      <c r="G39" s="68">
        <f t="shared" si="5"/>
        <v>0.05</v>
      </c>
      <c r="H39" s="68">
        <f t="shared" si="5"/>
        <v>0.5</v>
      </c>
      <c r="I39" s="68">
        <f t="shared" si="5"/>
        <v>0.125</v>
      </c>
      <c r="J39" s="68">
        <f t="shared" si="5"/>
        <v>2.5000000000000001E-3</v>
      </c>
      <c r="K39" s="68">
        <f t="shared" si="5"/>
        <v>1.2500000000000001E-2</v>
      </c>
      <c r="L39" s="68">
        <f t="shared" si="5"/>
        <v>0.05</v>
      </c>
      <c r="M39" s="68">
        <f t="shared" si="5"/>
        <v>0.05</v>
      </c>
      <c r="N39" s="68">
        <f t="shared" si="5"/>
        <v>0</v>
      </c>
      <c r="O39" s="68">
        <f t="shared" si="5"/>
        <v>0</v>
      </c>
      <c r="P39" s="68">
        <f t="shared" si="5"/>
        <v>171</v>
      </c>
      <c r="Q39" s="68">
        <f t="shared" si="10"/>
        <v>17.875</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Arable</v>
      </c>
      <c r="D58" s="10" t="str">
        <f>E16&amp;" I "&amp;(VLOOKUP(E14,Table245811[],6,FALSE))</f>
        <v>Medium/Clay I Arable</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Arable</v>
      </c>
      <c r="I58" s="10" t="str">
        <f>J16&amp;" I "&amp;(VLOOKUP(J14,Table245811[],6,FALSE))</f>
        <v>Medium/Clay I Grass</v>
      </c>
      <c r="J58" s="10" t="str">
        <f>K16&amp;" I "&amp;(VLOOKUP(K14,Table245811[],6,FALSE))</f>
        <v>Medium/Clay I Grass</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6.7</v>
      </c>
      <c r="D59" s="67">
        <f>VLOOKUP(E$14,Table245811[],5,FALSE)</f>
        <v>6.7</v>
      </c>
      <c r="E59" s="67">
        <f>VLOOKUP(F$14,Table245811[],5,FALSE)</f>
        <v>6.2</v>
      </c>
      <c r="F59" s="67">
        <f>VLOOKUP(G$14,Table245811[],5,FALSE)</f>
        <v>6.2</v>
      </c>
      <c r="G59" s="67">
        <f>VLOOKUP(H$14,Table245811[],5,FALSE)</f>
        <v>6.2</v>
      </c>
      <c r="H59" s="67">
        <f>VLOOKUP(I$14,Table245811[],5,FALSE)</f>
        <v>6.7</v>
      </c>
      <c r="I59" s="67">
        <f>VLOOKUP(J$14,Table245811[],5,FALSE)</f>
        <v>6.2</v>
      </c>
      <c r="J59" s="67">
        <f>VLOOKUP(K$14,Table245811[],5,FALSE)</f>
        <v>6.2</v>
      </c>
      <c r="K59" s="67" t="e">
        <f>VLOOKUP(L$14,Table245811[],5,FALSE)</f>
        <v>#N/A</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150</v>
      </c>
      <c r="D62" s="68">
        <f>B33</f>
        <v>150</v>
      </c>
      <c r="E62" s="68">
        <f>B34</f>
        <v>250</v>
      </c>
      <c r="F62" s="68">
        <f>B35</f>
        <v>250</v>
      </c>
      <c r="G62" s="68">
        <f>B36</f>
        <v>250</v>
      </c>
      <c r="H62" s="68">
        <f>B37</f>
        <v>150</v>
      </c>
      <c r="I62" s="68">
        <f>B38</f>
        <v>250</v>
      </c>
      <c r="J62" s="68">
        <f>B39</f>
        <v>250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4" sqref="G4:H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v>4.0599999999999996</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181</v>
      </c>
      <c r="G2" s="112" t="s">
        <v>110</v>
      </c>
      <c r="H2" s="113"/>
      <c r="I2" s="86"/>
      <c r="J2" s="114" t="s">
        <v>158</v>
      </c>
      <c r="K2" s="114"/>
      <c r="L2" s="86">
        <v>0.1</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c r="J3" s="110" t="s">
        <v>154</v>
      </c>
      <c r="K3" s="111"/>
      <c r="L3" s="86">
        <f>(L1/(L2*10000))*100</f>
        <v>2.5</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174</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74.915700000000001</v>
      </c>
      <c r="D18" s="13">
        <f>$D32</f>
        <v>62.929187999999996</v>
      </c>
      <c r="E18" s="13">
        <f>$D33</f>
        <v>44.949420000000003</v>
      </c>
      <c r="F18" s="13">
        <f>$D34</f>
        <v>74.915700000000001</v>
      </c>
      <c r="G18" s="13">
        <f>$D35</f>
        <v>74.915700000000001</v>
      </c>
      <c r="H18" s="13">
        <f>$D36</f>
        <v>74.915700000000001</v>
      </c>
      <c r="I18" s="13">
        <f>$D37</f>
        <v>44.949420000000003</v>
      </c>
      <c r="J18" s="13">
        <f>$D38</f>
        <v>74.915700000000001</v>
      </c>
      <c r="K18" s="13">
        <f>$D39</f>
        <v>74.915700000000001</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-4.9842999999999904</v>
      </c>
      <c r="D19" s="13">
        <f t="shared" ref="D19:V19" si="1">D18-D17</f>
        <v>-7.0811999999996544E-2</v>
      </c>
      <c r="E19" s="13">
        <f t="shared" si="1"/>
        <v>-1.8005799999999965</v>
      </c>
      <c r="F19" s="13">
        <f t="shared" si="1"/>
        <v>-4.9842999999999904</v>
      </c>
      <c r="G19" s="13">
        <f t="shared" si="1"/>
        <v>-4.9842999999999904</v>
      </c>
      <c r="H19" s="13">
        <f t="shared" si="1"/>
        <v>-4.9842999999999904</v>
      </c>
      <c r="I19" s="13">
        <f t="shared" si="1"/>
        <v>-1.8005799999999965</v>
      </c>
      <c r="J19" s="13">
        <f t="shared" si="1"/>
        <v>-4.9842999999999904</v>
      </c>
      <c r="K19" s="13">
        <f t="shared" si="1"/>
        <v>-4.9842999999999904</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86.519000000000005</v>
      </c>
      <c r="D22" s="13">
        <f>$E32</f>
        <v>72.675960000000003</v>
      </c>
      <c r="E22" s="13">
        <f>$E33</f>
        <v>51.9114</v>
      </c>
      <c r="F22" s="13">
        <f>$E34</f>
        <v>86.519000000000005</v>
      </c>
      <c r="G22" s="13">
        <f>$E35</f>
        <v>86.519000000000005</v>
      </c>
      <c r="H22" s="13">
        <f>$E36</f>
        <v>86.519000000000005</v>
      </c>
      <c r="I22" s="13">
        <f>$E37</f>
        <v>51.9114</v>
      </c>
      <c r="J22" s="13">
        <f>$E38</f>
        <v>86.519000000000005</v>
      </c>
      <c r="K22" s="13">
        <f>$E39</f>
        <v>86.519000000000005</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-195.48099999999999</v>
      </c>
      <c r="D23" s="13">
        <f t="shared" ref="D23:V23" si="3">D22-D21</f>
        <v>-125.32404000000002</v>
      </c>
      <c r="E23" s="13">
        <f t="shared" si="3"/>
        <v>-14.0886</v>
      </c>
      <c r="F23" s="13">
        <f t="shared" si="3"/>
        <v>-195.48099999999999</v>
      </c>
      <c r="G23" s="13">
        <f t="shared" si="3"/>
        <v>-195.48099999999999</v>
      </c>
      <c r="H23" s="13">
        <f t="shared" si="3"/>
        <v>-195.48099999999999</v>
      </c>
      <c r="I23" s="13">
        <f t="shared" si="3"/>
        <v>-14.0886</v>
      </c>
      <c r="J23" s="13">
        <f t="shared" si="3"/>
        <v>-195.48099999999999</v>
      </c>
      <c r="K23" s="13">
        <f t="shared" si="3"/>
        <v>-195.48099999999999</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c r="S27" s="96"/>
      <c r="T27" s="96"/>
      <c r="U27" s="96"/>
    </row>
    <row r="28" spans="1:40" x14ac:dyDescent="0.35">
      <c r="A28" s="97"/>
      <c r="B28" s="17">
        <v>2.95</v>
      </c>
      <c r="C28" s="12">
        <v>0.1</v>
      </c>
      <c r="D28" s="12">
        <v>327</v>
      </c>
      <c r="E28" s="12">
        <v>718</v>
      </c>
      <c r="F28" s="12">
        <v>128</v>
      </c>
      <c r="G28" s="12">
        <v>0.5</v>
      </c>
      <c r="H28" s="12">
        <v>1</v>
      </c>
      <c r="I28" s="12">
        <v>0.5</v>
      </c>
      <c r="J28" s="12">
        <v>0.01</v>
      </c>
      <c r="K28" s="16">
        <v>0.05</v>
      </c>
      <c r="L28" s="12">
        <v>0.2</v>
      </c>
      <c r="M28" s="12">
        <v>0.2</v>
      </c>
      <c r="N28" s="12"/>
      <c r="O28" s="12"/>
      <c r="P28" s="12">
        <v>308</v>
      </c>
      <c r="Q28" s="12">
        <v>114</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100</v>
      </c>
      <c r="C31" s="68">
        <f>IF(C$27="%w/w SAR",((C$28*10)*$B31),IF(C$27="%w/w DM",(((C$28*10)*($B$28/100))*$B31),IF(C$27="kg/t SAR",(C$28*$B31),IF(C$27="kg/t DM",((C$28*($B$28/100))*$B31),IF(C$27="mg/kg SAR",((C$28*0.001)*$B31),IF(C$27="mg/kg DM",(((C$28*0.001)*($B$28/100))*$B31),0))))))</f>
        <v>100</v>
      </c>
      <c r="D31" s="68">
        <f>(IF(D$27="%w/w SAR",((D$28*10)*$B31),IF(D$27="%w/w DM",(((D$28*10)*($B$28/100))*$B31),IF(D$27="kg/t SAR",(D$28*$B31),IF(D$27="kg/t DM",((D$28*($B$28/100))*$B31),IF(D$27="mg/kg SAR",((D$28*0.001)*$B31),IF(D$27="mg/kg DM",(((D$28*0.001)*($B$28/100))*$B31),"0")))))))*2.291</f>
        <v>74.915700000000001</v>
      </c>
      <c r="E31" s="68">
        <f>(IF(E$27="%w/w SAR",((E$28*10)*$B31),IF(E$27="%w/w DM",(((E$28*10)*($B$28/100))*$B31),IF(E$27="kg/t SAR",(E$28*$B31),IF(E$27="kg/t DM",((E$28*($B$28/100))*$B31),IF(E$27="mg/kg SAR",((E$28*0.001)*$B31),IF(E$27="mg/kg DM",(((E$28*0.001)*($B$28/100))*$B31),"0")))))))*1.205</f>
        <v>86.519000000000005</v>
      </c>
      <c r="F31" s="68">
        <f>(IF(F$27="%w/w SAR",((F$28*10)*$B31),IF(F$27="%w/w DM",(((F$28*10)*($B$28/100))*$B31),IF(F$27="kg/t SAR",(F$28*$B31),IF(F$27="kg/t DM",((F$28*($B$28/100))*$B31),IF(F$27="mg/kg SAR",((F$28*0.001)*$B31),IF(F$27="mg/kg DM",(((F$28*0.001)*($B$28/100))*$B31),"0")))))))*1.658</f>
        <v>21.2224</v>
      </c>
      <c r="G31" s="68">
        <f t="shared" ref="G31:P46" si="5">IF(G$27="%w/w SAR",((G$28*10)*$B31),IF(G$27="%w/w DM",(((G$28*10)*($B$28/100))*$B31),IF(G$27="kg/t SAR",(G$28*$B31),IF(G$27="kg/t DM",((G$28*($B$28/100))*$B31),IF(G$27="mg/kg SAR",((G$28*0.001)*$B31),IF(G$27="mg/kg DM",(((G$28*0.001)*($B$28/100))*$B31),0))))))</f>
        <v>0.05</v>
      </c>
      <c r="H31" s="68">
        <f t="shared" si="5"/>
        <v>0.1</v>
      </c>
      <c r="I31" s="68">
        <f t="shared" si="5"/>
        <v>0.05</v>
      </c>
      <c r="J31" s="68">
        <f t="shared" si="5"/>
        <v>1E-3</v>
      </c>
      <c r="K31" s="68">
        <f t="shared" si="5"/>
        <v>5.0000000000000001E-3</v>
      </c>
      <c r="L31" s="68">
        <f t="shared" si="5"/>
        <v>0.02</v>
      </c>
      <c r="M31" s="68">
        <f t="shared" si="5"/>
        <v>0.02</v>
      </c>
      <c r="N31" s="68">
        <f t="shared" si="5"/>
        <v>0</v>
      </c>
      <c r="O31" s="68">
        <f t="shared" si="5"/>
        <v>0</v>
      </c>
      <c r="P31" s="68">
        <f t="shared" si="5"/>
        <v>30.8</v>
      </c>
      <c r="Q31" s="68">
        <f>(IF(Q$27="%w/w SAR",((Q$28*10)*$B31),IF(Q$27="%w/w DM",(((Q$28*10)*($B$28/100))*$B31),IF(Q$27="kg/t SAR",(Q$28*$B31),IF(Q$27="kg/t DM",((Q$28*($B$28/100))*$B31),IF(Q$27="mg/kg SAR",((Q$28*0.001)*$B31),IF(Q$27="mg/kg DM",(((Q$28*0.001)*($B$28/100))*$B31),0)))))))*2.5</f>
        <v>28.5</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84</v>
      </c>
      <c r="C32" s="68">
        <f t="shared" ref="C32:C50" si="6">IF(C$27="%w/w SAR",((C$28*10)*$B32),IF(C$27="%w/w DM",(((C$28*10)*($B$28/100))*$B32),IF(C$27="kg/t SAR",(C$28*$B32),IF(C$27="kg/t DM",((C$28*($B$28/100))*$B32),IF(C$27="mg/kg SAR",((C$28*0.001)*$B32),IF(C$27="mg/kg DM",(((C$28*0.001)*($B$28/100))*$B32),0))))))</f>
        <v>84</v>
      </c>
      <c r="D32" s="68">
        <f t="shared" ref="D32:D50" si="7">(IF(D$27="%w/w SAR",((D$28*10)*$B32),IF(D$27="%w/w DM",(((D$28*10)*($B$28/100))*$B32),IF(D$27="kg/t SAR",(D$28*$B32),IF(D$27="kg/t DM",((D$28*($B$28/100))*$B32),IF(D$27="mg/kg SAR",((D$28*0.001)*$B32),IF(D$27="mg/kg DM",(((D$28*0.001)*($B$28/100))*$B32),"0")))))))*2.291</f>
        <v>62.929187999999996</v>
      </c>
      <c r="E32" s="68">
        <f t="shared" ref="E32:E50" si="8">(IF(E$27="%w/w SAR",((E$28*10)*$B32),IF(E$27="%w/w DM",(((E$28*10)*($B$28/100))*$B32),IF(E$27="kg/t SAR",(E$28*$B32),IF(E$27="kg/t DM",((E$28*($B$28/100))*$B32),IF(E$27="mg/kg SAR",((E$28*0.001)*$B32),IF(E$27="mg/kg DM",(((E$28*0.001)*($B$28/100))*$B32),"0")))))))*1.205</f>
        <v>72.675960000000003</v>
      </c>
      <c r="F32" s="68">
        <f t="shared" ref="F32:F50" si="9">(IF(F$27="%w/w SAR",((F$28*10)*$B32),IF(F$27="%w/w DM",(((F$28*10)*($B$28/100))*$B32),IF(F$27="kg/t SAR",(F$28*$B32),IF(F$27="kg/t DM",((F$28*($B$28/100))*$B32),IF(F$27="mg/kg SAR",((F$28*0.001)*$B32),IF(F$27="mg/kg DM",(((F$28*0.001)*($B$28/100))*$B32),"0")))))))*1.658</f>
        <v>17.826816000000001</v>
      </c>
      <c r="G32" s="68">
        <f t="shared" si="5"/>
        <v>4.2000000000000003E-2</v>
      </c>
      <c r="H32" s="68">
        <f t="shared" si="5"/>
        <v>8.4000000000000005E-2</v>
      </c>
      <c r="I32" s="68">
        <f t="shared" si="5"/>
        <v>4.2000000000000003E-2</v>
      </c>
      <c r="J32" s="68">
        <f t="shared" si="5"/>
        <v>8.4000000000000003E-4</v>
      </c>
      <c r="K32" s="68">
        <f t="shared" si="5"/>
        <v>4.2000000000000006E-3</v>
      </c>
      <c r="L32" s="68">
        <f t="shared" si="5"/>
        <v>1.6800000000000002E-2</v>
      </c>
      <c r="M32" s="68">
        <f t="shared" si="5"/>
        <v>1.6800000000000002E-2</v>
      </c>
      <c r="N32" s="68">
        <f t="shared" si="5"/>
        <v>0</v>
      </c>
      <c r="O32" s="68">
        <f t="shared" si="5"/>
        <v>0</v>
      </c>
      <c r="P32" s="68">
        <f t="shared" si="5"/>
        <v>25.872</v>
      </c>
      <c r="Q32" s="68">
        <f t="shared" ref="Q32:Q50" si="10">(IF(Q$27="%w/w SAR",((Q$28*10)*$B32),IF(Q$27="%w/w DM",(((Q$28*10)*($B$28/100))*$B32),IF(Q$27="kg/t SAR",(Q$28*$B32),IF(Q$27="kg/t DM",((Q$28*($B$28/100))*$B32),IF(Q$27="mg/kg SAR",((Q$28*0.001)*$B32),IF(Q$27="mg/kg DM",(((Q$28*0.001)*($B$28/100))*$B32),0)))))))*2.5</f>
        <v>23.94</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f>E8</f>
        <v>12</v>
      </c>
      <c r="B33" s="12">
        <v>60</v>
      </c>
      <c r="C33" s="68">
        <f t="shared" si="6"/>
        <v>60</v>
      </c>
      <c r="D33" s="68">
        <f t="shared" si="7"/>
        <v>44.949420000000003</v>
      </c>
      <c r="E33" s="68">
        <f t="shared" si="8"/>
        <v>51.9114</v>
      </c>
      <c r="F33" s="68">
        <f t="shared" si="9"/>
        <v>12.733439999999998</v>
      </c>
      <c r="G33" s="68">
        <f t="shared" si="5"/>
        <v>0.03</v>
      </c>
      <c r="H33" s="68">
        <f t="shared" si="5"/>
        <v>0.06</v>
      </c>
      <c r="I33" s="68">
        <f t="shared" si="5"/>
        <v>0.03</v>
      </c>
      <c r="J33" s="68">
        <f t="shared" si="5"/>
        <v>6.0000000000000006E-4</v>
      </c>
      <c r="K33" s="68">
        <f t="shared" si="5"/>
        <v>3.0000000000000001E-3</v>
      </c>
      <c r="L33" s="68">
        <f t="shared" si="5"/>
        <v>1.2E-2</v>
      </c>
      <c r="M33" s="68">
        <f t="shared" si="5"/>
        <v>1.2E-2</v>
      </c>
      <c r="N33" s="68">
        <f t="shared" si="5"/>
        <v>0</v>
      </c>
      <c r="O33" s="68">
        <f t="shared" si="5"/>
        <v>0</v>
      </c>
      <c r="P33" s="68">
        <f t="shared" si="5"/>
        <v>18.48</v>
      </c>
      <c r="Q33" s="68">
        <f t="shared" si="10"/>
        <v>17.100000000000001</v>
      </c>
      <c r="R33" s="68">
        <f t="shared" si="11"/>
        <v>0</v>
      </c>
      <c r="S33" s="68">
        <f t="shared" si="11"/>
        <v>0</v>
      </c>
      <c r="T33" s="68">
        <f t="shared" si="11"/>
        <v>0</v>
      </c>
      <c r="U33" s="68">
        <f t="shared" si="11"/>
        <v>0</v>
      </c>
    </row>
    <row r="34" spans="1:21" s="51" customFormat="1" ht="13" x14ac:dyDescent="0.35">
      <c r="A34" s="10">
        <f>F8</f>
        <v>15</v>
      </c>
      <c r="B34" s="12">
        <v>100</v>
      </c>
      <c r="C34" s="68">
        <f t="shared" si="6"/>
        <v>100</v>
      </c>
      <c r="D34" s="68">
        <f t="shared" si="7"/>
        <v>74.915700000000001</v>
      </c>
      <c r="E34" s="68">
        <f t="shared" si="8"/>
        <v>86.519000000000005</v>
      </c>
      <c r="F34" s="68">
        <f t="shared" si="9"/>
        <v>21.2224</v>
      </c>
      <c r="G34" s="68">
        <f t="shared" si="5"/>
        <v>0.05</v>
      </c>
      <c r="H34" s="68">
        <f t="shared" si="5"/>
        <v>0.1</v>
      </c>
      <c r="I34" s="68">
        <f t="shared" si="5"/>
        <v>0.05</v>
      </c>
      <c r="J34" s="68">
        <f t="shared" si="5"/>
        <v>1E-3</v>
      </c>
      <c r="K34" s="68">
        <f t="shared" si="5"/>
        <v>5.0000000000000001E-3</v>
      </c>
      <c r="L34" s="68">
        <f t="shared" si="5"/>
        <v>0.02</v>
      </c>
      <c r="M34" s="68">
        <f t="shared" si="5"/>
        <v>0.02</v>
      </c>
      <c r="N34" s="68">
        <f t="shared" si="5"/>
        <v>0</v>
      </c>
      <c r="O34" s="68">
        <f t="shared" si="5"/>
        <v>0</v>
      </c>
      <c r="P34" s="68">
        <f t="shared" si="5"/>
        <v>30.8</v>
      </c>
      <c r="Q34" s="68">
        <f t="shared" si="10"/>
        <v>28.5</v>
      </c>
      <c r="R34" s="68">
        <f t="shared" si="11"/>
        <v>0</v>
      </c>
      <c r="S34" s="68">
        <f t="shared" si="11"/>
        <v>0</v>
      </c>
      <c r="T34" s="68">
        <f t="shared" si="11"/>
        <v>0</v>
      </c>
      <c r="U34" s="68">
        <f t="shared" si="11"/>
        <v>0</v>
      </c>
    </row>
    <row r="35" spans="1:21" s="51" customFormat="1" ht="13" x14ac:dyDescent="0.35">
      <c r="A35" s="10">
        <f>G8</f>
        <v>16</v>
      </c>
      <c r="B35" s="12">
        <v>100</v>
      </c>
      <c r="C35" s="68">
        <f t="shared" si="6"/>
        <v>100</v>
      </c>
      <c r="D35" s="68">
        <f t="shared" si="7"/>
        <v>74.915700000000001</v>
      </c>
      <c r="E35" s="68">
        <f t="shared" si="8"/>
        <v>86.519000000000005</v>
      </c>
      <c r="F35" s="68">
        <f t="shared" si="9"/>
        <v>21.2224</v>
      </c>
      <c r="G35" s="68">
        <f t="shared" si="5"/>
        <v>0.05</v>
      </c>
      <c r="H35" s="68">
        <f t="shared" si="5"/>
        <v>0.1</v>
      </c>
      <c r="I35" s="68">
        <f t="shared" si="5"/>
        <v>0.05</v>
      </c>
      <c r="J35" s="68">
        <f t="shared" si="5"/>
        <v>1E-3</v>
      </c>
      <c r="K35" s="68">
        <f t="shared" si="5"/>
        <v>5.0000000000000001E-3</v>
      </c>
      <c r="L35" s="68">
        <f t="shared" si="5"/>
        <v>0.02</v>
      </c>
      <c r="M35" s="68">
        <f t="shared" si="5"/>
        <v>0.02</v>
      </c>
      <c r="N35" s="68">
        <f t="shared" si="5"/>
        <v>0</v>
      </c>
      <c r="O35" s="68">
        <f t="shared" si="5"/>
        <v>0</v>
      </c>
      <c r="P35" s="68">
        <f t="shared" si="5"/>
        <v>30.8</v>
      </c>
      <c r="Q35" s="68">
        <f t="shared" si="10"/>
        <v>28.5</v>
      </c>
      <c r="R35" s="68">
        <f t="shared" si="11"/>
        <v>0</v>
      </c>
      <c r="S35" s="68">
        <f t="shared" si="11"/>
        <v>0</v>
      </c>
      <c r="T35" s="68">
        <f t="shared" si="11"/>
        <v>0</v>
      </c>
      <c r="U35" s="68">
        <f t="shared" si="11"/>
        <v>0</v>
      </c>
    </row>
    <row r="36" spans="1:21" s="51" customFormat="1" ht="13" x14ac:dyDescent="0.35">
      <c r="A36" s="10">
        <f>H8</f>
        <v>17</v>
      </c>
      <c r="B36" s="12">
        <v>100</v>
      </c>
      <c r="C36" s="68">
        <f t="shared" si="6"/>
        <v>100</v>
      </c>
      <c r="D36" s="68">
        <f t="shared" si="7"/>
        <v>74.915700000000001</v>
      </c>
      <c r="E36" s="68">
        <f t="shared" si="8"/>
        <v>86.519000000000005</v>
      </c>
      <c r="F36" s="68">
        <f t="shared" si="9"/>
        <v>21.2224</v>
      </c>
      <c r="G36" s="68">
        <f t="shared" si="5"/>
        <v>0.05</v>
      </c>
      <c r="H36" s="68">
        <f t="shared" si="5"/>
        <v>0.1</v>
      </c>
      <c r="I36" s="68">
        <f t="shared" si="5"/>
        <v>0.05</v>
      </c>
      <c r="J36" s="68">
        <f t="shared" si="5"/>
        <v>1E-3</v>
      </c>
      <c r="K36" s="68">
        <f t="shared" si="5"/>
        <v>5.0000000000000001E-3</v>
      </c>
      <c r="L36" s="68">
        <f t="shared" si="5"/>
        <v>0.02</v>
      </c>
      <c r="M36" s="68">
        <f t="shared" si="5"/>
        <v>0.02</v>
      </c>
      <c r="N36" s="68">
        <f t="shared" si="5"/>
        <v>0</v>
      </c>
      <c r="O36" s="68">
        <f t="shared" si="5"/>
        <v>0</v>
      </c>
      <c r="P36" s="68">
        <f t="shared" si="5"/>
        <v>30.8</v>
      </c>
      <c r="Q36" s="68">
        <f t="shared" si="10"/>
        <v>28.5</v>
      </c>
      <c r="R36" s="68">
        <f t="shared" si="11"/>
        <v>0</v>
      </c>
      <c r="S36" s="68">
        <f t="shared" si="11"/>
        <v>0</v>
      </c>
      <c r="T36" s="68">
        <f t="shared" si="11"/>
        <v>0</v>
      </c>
      <c r="U36" s="68">
        <f t="shared" si="11"/>
        <v>0</v>
      </c>
    </row>
    <row r="37" spans="1:21" s="51" customFormat="1" ht="13" x14ac:dyDescent="0.35">
      <c r="A37" s="10">
        <f>I8</f>
        <v>18</v>
      </c>
      <c r="B37" s="12">
        <v>60</v>
      </c>
      <c r="C37" s="68">
        <f t="shared" si="6"/>
        <v>60</v>
      </c>
      <c r="D37" s="68">
        <f t="shared" si="7"/>
        <v>44.949420000000003</v>
      </c>
      <c r="E37" s="68">
        <f t="shared" si="8"/>
        <v>51.9114</v>
      </c>
      <c r="F37" s="68">
        <f t="shared" si="9"/>
        <v>12.733439999999998</v>
      </c>
      <c r="G37" s="68">
        <f t="shared" si="5"/>
        <v>0.03</v>
      </c>
      <c r="H37" s="68">
        <f t="shared" si="5"/>
        <v>0.06</v>
      </c>
      <c r="I37" s="68">
        <f t="shared" si="5"/>
        <v>0.03</v>
      </c>
      <c r="J37" s="68">
        <f t="shared" si="5"/>
        <v>6.0000000000000006E-4</v>
      </c>
      <c r="K37" s="68">
        <f t="shared" si="5"/>
        <v>3.0000000000000001E-3</v>
      </c>
      <c r="L37" s="68">
        <f t="shared" si="5"/>
        <v>1.2E-2</v>
      </c>
      <c r="M37" s="68">
        <f t="shared" si="5"/>
        <v>1.2E-2</v>
      </c>
      <c r="N37" s="68">
        <f t="shared" si="5"/>
        <v>0</v>
      </c>
      <c r="O37" s="68">
        <f t="shared" si="5"/>
        <v>0</v>
      </c>
      <c r="P37" s="68">
        <f t="shared" si="5"/>
        <v>18.48</v>
      </c>
      <c r="Q37" s="68">
        <f t="shared" si="10"/>
        <v>17.100000000000001</v>
      </c>
      <c r="R37" s="68">
        <f t="shared" si="11"/>
        <v>0</v>
      </c>
      <c r="S37" s="68">
        <f t="shared" si="11"/>
        <v>0</v>
      </c>
      <c r="T37" s="68">
        <f t="shared" si="11"/>
        <v>0</v>
      </c>
      <c r="U37" s="68">
        <f t="shared" si="11"/>
        <v>0</v>
      </c>
    </row>
    <row r="38" spans="1:21" s="51" customFormat="1" ht="13" x14ac:dyDescent="0.35">
      <c r="A38" s="10">
        <f>J8</f>
        <v>4968</v>
      </c>
      <c r="B38" s="12">
        <v>100</v>
      </c>
      <c r="C38" s="68">
        <f t="shared" si="6"/>
        <v>100</v>
      </c>
      <c r="D38" s="68">
        <f t="shared" si="7"/>
        <v>74.915700000000001</v>
      </c>
      <c r="E38" s="68">
        <f t="shared" si="8"/>
        <v>86.519000000000005</v>
      </c>
      <c r="F38" s="68">
        <f t="shared" si="9"/>
        <v>21.2224</v>
      </c>
      <c r="G38" s="68">
        <f t="shared" si="5"/>
        <v>0.05</v>
      </c>
      <c r="H38" s="68">
        <f t="shared" si="5"/>
        <v>0.1</v>
      </c>
      <c r="I38" s="68">
        <f t="shared" si="5"/>
        <v>0.05</v>
      </c>
      <c r="J38" s="68">
        <f t="shared" si="5"/>
        <v>1E-3</v>
      </c>
      <c r="K38" s="68">
        <f t="shared" si="5"/>
        <v>5.0000000000000001E-3</v>
      </c>
      <c r="L38" s="68">
        <f t="shared" si="5"/>
        <v>0.02</v>
      </c>
      <c r="M38" s="68">
        <f t="shared" si="5"/>
        <v>0.02</v>
      </c>
      <c r="N38" s="68">
        <f t="shared" si="5"/>
        <v>0</v>
      </c>
      <c r="O38" s="68">
        <f t="shared" si="5"/>
        <v>0</v>
      </c>
      <c r="P38" s="68">
        <f t="shared" si="5"/>
        <v>30.8</v>
      </c>
      <c r="Q38" s="68">
        <f t="shared" si="10"/>
        <v>28.5</v>
      </c>
      <c r="R38" s="68">
        <f t="shared" si="11"/>
        <v>0</v>
      </c>
      <c r="S38" s="68">
        <f t="shared" si="11"/>
        <v>0</v>
      </c>
      <c r="T38" s="68">
        <f t="shared" si="11"/>
        <v>0</v>
      </c>
      <c r="U38" s="68">
        <f t="shared" si="11"/>
        <v>0</v>
      </c>
    </row>
    <row r="39" spans="1:21" s="51" customFormat="1" ht="13" x14ac:dyDescent="0.35">
      <c r="A39" s="10">
        <f>K8</f>
        <v>961</v>
      </c>
      <c r="B39" s="12">
        <v>100</v>
      </c>
      <c r="C39" s="68">
        <f t="shared" si="6"/>
        <v>100</v>
      </c>
      <c r="D39" s="68">
        <f t="shared" si="7"/>
        <v>74.915700000000001</v>
      </c>
      <c r="E39" s="68">
        <f t="shared" si="8"/>
        <v>86.519000000000005</v>
      </c>
      <c r="F39" s="68">
        <f t="shared" si="9"/>
        <v>21.2224</v>
      </c>
      <c r="G39" s="68">
        <f t="shared" si="5"/>
        <v>0.05</v>
      </c>
      <c r="H39" s="68">
        <f t="shared" si="5"/>
        <v>0.1</v>
      </c>
      <c r="I39" s="68">
        <f t="shared" si="5"/>
        <v>0.05</v>
      </c>
      <c r="J39" s="68">
        <f t="shared" si="5"/>
        <v>1E-3</v>
      </c>
      <c r="K39" s="68">
        <f t="shared" si="5"/>
        <v>5.0000000000000001E-3</v>
      </c>
      <c r="L39" s="68">
        <f t="shared" si="5"/>
        <v>0.02</v>
      </c>
      <c r="M39" s="68">
        <f t="shared" si="5"/>
        <v>0.02</v>
      </c>
      <c r="N39" s="68">
        <f t="shared" si="5"/>
        <v>0</v>
      </c>
      <c r="O39" s="68">
        <f t="shared" si="5"/>
        <v>0</v>
      </c>
      <c r="P39" s="68">
        <f t="shared" si="5"/>
        <v>30.8</v>
      </c>
      <c r="Q39" s="68">
        <f t="shared" si="10"/>
        <v>28.5</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"&amp;(VLOOKUP(C14,Table24581112[],6,FALSE))</f>
        <v>Medium/Clay I Grass</v>
      </c>
      <c r="C58" s="10" t="str">
        <f>D16&amp;" I "&amp;(VLOOKUP(D14,Table24581112[],6,FALSE))</f>
        <v>Medium/Clay I Arable</v>
      </c>
      <c r="D58" s="10" t="str">
        <f>E16&amp;" I "&amp;(VLOOKUP(E14,Table24581112[],6,FALSE))</f>
        <v>Medium/Clay I Arable</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Arable</v>
      </c>
      <c r="I58" s="10" t="str">
        <f>J16&amp;" I "&amp;(VLOOKUP(J14,Table24581112[],6,FALSE))</f>
        <v>Medium/Clay I Grass</v>
      </c>
      <c r="J58" s="10" t="str">
        <f>K16&amp;" I "&amp;(VLOOKUP(K14,Table24581112[],6,FALSE))</f>
        <v>Medium/Clay I Grass</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100" t="s">
        <v>132</v>
      </c>
      <c r="B59" s="67">
        <f>VLOOKUP(C$14,Table24581112[],5,FALSE)</f>
        <v>6.2</v>
      </c>
      <c r="C59" s="67">
        <f>VLOOKUP(D$14,Table24581112[],5,FALSE)</f>
        <v>6.7</v>
      </c>
      <c r="D59" s="67">
        <f>VLOOKUP(E$14,Table24581112[],5,FALSE)</f>
        <v>6.7</v>
      </c>
      <c r="E59" s="67">
        <f>VLOOKUP(F$14,Table24581112[],5,FALSE)</f>
        <v>6.2</v>
      </c>
      <c r="F59" s="67">
        <f>VLOOKUP(G$14,Table24581112[],5,FALSE)</f>
        <v>6.2</v>
      </c>
      <c r="G59" s="67">
        <f>VLOOKUP(H$14,Table24581112[],5,FALSE)</f>
        <v>6.2</v>
      </c>
      <c r="H59" s="67">
        <f>VLOOKUP(I$14,Table24581112[],5,FALSE)</f>
        <v>6.7</v>
      </c>
      <c r="I59" s="67">
        <f>VLOOKUP(J$14,Table24581112[],5,FALSE)</f>
        <v>6.2</v>
      </c>
      <c r="J59" s="67">
        <f>VLOOKUP(K$14,Table24581112[],5,FALSE)</f>
        <v>6.2</v>
      </c>
      <c r="K59" s="67" t="e">
        <f>VLOOKUP(L$14,Table24581112[],5,FALSE)</f>
        <v>#N/A</v>
      </c>
      <c r="L59" s="67" t="e">
        <f>VLOOKUP(M$14,Table24581112[],5,FALSE)</f>
        <v>#N/A</v>
      </c>
      <c r="M59" s="67" t="e">
        <f>VLOOKUP(N$14,Table24581112[],5,FALSE)</f>
        <v>#N/A</v>
      </c>
      <c r="N59" s="67" t="e">
        <f>VLOOKUP(O$14,Table24581112[],5,FALSE)</f>
        <v>#N/A</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84</v>
      </c>
      <c r="D62" s="68">
        <f>B33</f>
        <v>60</v>
      </c>
      <c r="E62" s="68">
        <f>B34</f>
        <v>100</v>
      </c>
      <c r="F62" s="68">
        <f>B35</f>
        <v>100</v>
      </c>
      <c r="G62" s="68">
        <f>B36</f>
        <v>100</v>
      </c>
      <c r="H62" s="68">
        <f>B37</f>
        <v>60</v>
      </c>
      <c r="I62" s="68">
        <f>B38</f>
        <v>100</v>
      </c>
      <c r="J62" s="68">
        <f>B39</f>
        <v>100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zoomScale="90" zoomScaleNormal="90" workbookViewId="0">
      <selection activeCell="D14" sqref="D1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14" t="s">
        <v>41</v>
      </c>
      <c r="B1" s="114"/>
      <c r="C1" s="127" t="str">
        <f>'Dairy Partners'!C1:D1</f>
        <v>PAN-026593</v>
      </c>
      <c r="D1" s="128"/>
      <c r="E1" s="83" t="s">
        <v>45</v>
      </c>
      <c r="F1" s="32">
        <f>'Dairy Partners'!F1</f>
        <v>47.7</v>
      </c>
      <c r="G1" s="110" t="s">
        <v>43</v>
      </c>
      <c r="H1" s="111"/>
      <c r="I1" s="86">
        <v>6.1</v>
      </c>
      <c r="J1" s="114" t="s">
        <v>153</v>
      </c>
      <c r="K1" s="114"/>
      <c r="L1" s="86">
        <v>133</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173</v>
      </c>
      <c r="G2" s="112" t="s">
        <v>110</v>
      </c>
      <c r="H2" s="113"/>
      <c r="I2" s="86"/>
      <c r="J2" s="114" t="s">
        <v>158</v>
      </c>
      <c r="K2" s="114"/>
      <c r="L2" s="86">
        <v>0.7</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c r="J3" s="110" t="s">
        <v>154</v>
      </c>
      <c r="K3" s="111"/>
      <c r="L3" s="86">
        <f>(L1/(L2*10000))*100</f>
        <v>1.9</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175</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32.617402290000001</v>
      </c>
      <c r="D18" s="13">
        <f>$D32</f>
        <v>29.652183899999997</v>
      </c>
      <c r="E18" s="13">
        <f>$D33</f>
        <v>29.652183899999997</v>
      </c>
      <c r="F18" s="13">
        <f>$D34</f>
        <v>32.617402290000001</v>
      </c>
      <c r="G18" s="13">
        <f>$D35</f>
        <v>32.617402290000001</v>
      </c>
      <c r="H18" s="13">
        <f>$D36</f>
        <v>32.617402290000001</v>
      </c>
      <c r="I18" s="13">
        <f>$D37</f>
        <v>29.652183899999997</v>
      </c>
      <c r="J18" s="13">
        <f>$D38</f>
        <v>32.617402290000001</v>
      </c>
      <c r="K18" s="13">
        <f>$D39</f>
        <v>32.617402290000001</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-47.28259770999999</v>
      </c>
      <c r="D19" s="13">
        <f t="shared" ref="D19:V19" si="1">D18-D17</f>
        <v>-33.347816099999996</v>
      </c>
      <c r="E19" s="13">
        <f t="shared" si="1"/>
        <v>-17.097816100000003</v>
      </c>
      <c r="F19" s="13">
        <f t="shared" si="1"/>
        <v>-47.28259770999999</v>
      </c>
      <c r="G19" s="13">
        <f t="shared" si="1"/>
        <v>-47.28259770999999</v>
      </c>
      <c r="H19" s="13">
        <f t="shared" si="1"/>
        <v>-47.28259770999999</v>
      </c>
      <c r="I19" s="13">
        <f t="shared" si="1"/>
        <v>-17.097816100000003</v>
      </c>
      <c r="J19" s="13">
        <f t="shared" si="1"/>
        <v>-47.28259770999999</v>
      </c>
      <c r="K19" s="13">
        <f t="shared" si="1"/>
        <v>-47.28259770999999</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1.6333274924999999</v>
      </c>
      <c r="D22" s="13">
        <f>$E32</f>
        <v>1.4848431749999997</v>
      </c>
      <c r="E22" s="13">
        <f>$E33</f>
        <v>1.4848431749999997</v>
      </c>
      <c r="F22" s="13">
        <f>$E34</f>
        <v>1.6333274924999999</v>
      </c>
      <c r="G22" s="13">
        <f>$E35</f>
        <v>1.6333274924999999</v>
      </c>
      <c r="H22" s="13">
        <f>$E36</f>
        <v>1.6333274924999999</v>
      </c>
      <c r="I22" s="13">
        <f>$E37</f>
        <v>1.4848431749999997</v>
      </c>
      <c r="J22" s="13">
        <f>$E38</f>
        <v>1.6333274924999999</v>
      </c>
      <c r="K22" s="13">
        <f>$E39</f>
        <v>1.6333274924999999</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-280.36667250750003</v>
      </c>
      <c r="D23" s="13">
        <f t="shared" ref="D23:V23" si="3">D22-D21</f>
        <v>-196.51515682500002</v>
      </c>
      <c r="E23" s="13">
        <f t="shared" si="3"/>
        <v>-64.515156825000005</v>
      </c>
      <c r="F23" s="13">
        <f t="shared" si="3"/>
        <v>-280.36667250750003</v>
      </c>
      <c r="G23" s="13">
        <f t="shared" si="3"/>
        <v>-280.36667250750003</v>
      </c>
      <c r="H23" s="13">
        <f t="shared" si="3"/>
        <v>-280.36667250750003</v>
      </c>
      <c r="I23" s="13">
        <f t="shared" si="3"/>
        <v>-64.515156825000005</v>
      </c>
      <c r="J23" s="13">
        <f t="shared" si="3"/>
        <v>-280.36667250750003</v>
      </c>
      <c r="K23" s="13">
        <f t="shared" si="3"/>
        <v>-280.36667250750003</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5.91</v>
      </c>
      <c r="C28" s="12">
        <v>0.7</v>
      </c>
      <c r="D28" s="12">
        <v>0.14599999999999999</v>
      </c>
      <c r="E28" s="12">
        <v>1.3899999999999999E-2</v>
      </c>
      <c r="F28" s="12">
        <v>312</v>
      </c>
      <c r="G28" s="12">
        <v>8.91</v>
      </c>
      <c r="H28" s="12">
        <v>208</v>
      </c>
      <c r="I28" s="12">
        <v>29.1</v>
      </c>
      <c r="J28" s="12">
        <v>0.34</v>
      </c>
      <c r="K28" s="16">
        <v>0.68</v>
      </c>
      <c r="L28" s="12">
        <v>23.5</v>
      </c>
      <c r="M28" s="12">
        <v>16</v>
      </c>
      <c r="N28" s="12">
        <v>2960</v>
      </c>
      <c r="O28" s="12">
        <v>404000</v>
      </c>
      <c r="P28" s="12"/>
      <c r="Q28" s="12">
        <v>4870</v>
      </c>
      <c r="R28" s="12"/>
      <c r="S28" s="12">
        <v>22.6</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165</v>
      </c>
      <c r="C31" s="68">
        <f>IF(C$27="%w/w SAR",((C$28*10)*$B31),IF(C$27="%w/w DM",(((C$28*10)*($B$28/100))*$B31),IF(C$27="kg/t SAR",(C$28*$B31),IF(C$27="kg/t DM",((C$28*($B$28/100))*$B31),IF(C$27="mg/kg SAR",((C$28*0.001)*$B31),IF(C$27="mg/kg DM",(((C$28*0.001)*($B$28/100))*$B31),0))))))</f>
        <v>68.260500000000008</v>
      </c>
      <c r="D31" s="68">
        <f>(IF(D$27="%w/w SAR",((D$28*10)*$B31),IF(D$27="%w/w DM",(((D$28*10)*($B$28/100))*$B31),IF(D$27="kg/t SAR",(D$28*$B31),IF(D$27="kg/t DM",((D$28*($B$28/100))*$B31),IF(D$27="mg/kg SAR",((D$28*0.001)*$B31),IF(D$27="mg/kg DM",(((D$28*0.001)*($B$28/100))*$B31),"0")))))))*2.291</f>
        <v>32.617402290000001</v>
      </c>
      <c r="E31" s="68">
        <f>(IF(E$27="%w/w SAR",((E$28*10)*$B31),IF(E$27="%w/w DM",(((E$28*10)*($B$28/100))*$B31),IF(E$27="kg/t SAR",(E$28*$B31),IF(E$27="kg/t DM",((E$28*($B$28/100))*$B31),IF(E$27="mg/kg SAR",((E$28*0.001)*$B31),IF(E$27="mg/kg DM",(((E$28*0.001)*($B$28/100))*$B31),"0")))))))*1.205</f>
        <v>1.6333274924999999</v>
      </c>
      <c r="F31" s="68">
        <f>(IF(F$27="%w/w SAR",((F$28*10)*$B31),IF(F$27="%w/w DM",(((F$28*10)*($B$28/100))*$B31),IF(F$27="kg/t SAR",(F$28*$B31),IF(F$27="kg/t DM",((F$28*($B$28/100))*$B31),IF(F$27="mg/kg SAR",((F$28*0.001)*$B31),IF(F$27="mg/kg DM",(((F$28*0.001)*($B$28/100))*$B31),"0")))))))*1.658</f>
        <v>5.0444119439999993</v>
      </c>
      <c r="G31" s="68">
        <f t="shared" ref="G31:P46" si="5">IF(G$27="%w/w SAR",((G$28*10)*$B31),IF(G$27="%w/w DM",(((G$28*10)*($B$28/100))*$B31),IF(G$27="kg/t SAR",(G$28*$B31),IF(G$27="kg/t DM",((G$28*($B$28/100))*$B31),IF(G$27="mg/kg SAR",((G$28*0.001)*$B31),IF(G$27="mg/kg DM",(((G$28*0.001)*($B$28/100))*$B31),0))))))</f>
        <v>8.6885864999999993E-2</v>
      </c>
      <c r="H31" s="68">
        <f t="shared" si="5"/>
        <v>2.0283120000000001</v>
      </c>
      <c r="I31" s="68">
        <f t="shared" si="5"/>
        <v>0.28376865000000001</v>
      </c>
      <c r="J31" s="68">
        <f t="shared" si="5"/>
        <v>3.3155100000000002E-3</v>
      </c>
      <c r="K31" s="68">
        <f t="shared" si="5"/>
        <v>6.6310200000000005E-3</v>
      </c>
      <c r="L31" s="68">
        <f t="shared" si="5"/>
        <v>0.22916025000000001</v>
      </c>
      <c r="M31" s="68">
        <f t="shared" si="5"/>
        <v>0.156024</v>
      </c>
      <c r="N31" s="68">
        <f t="shared" si="5"/>
        <v>28.864440000000002</v>
      </c>
      <c r="O31" s="68">
        <f t="shared" si="5"/>
        <v>3939.6060000000002</v>
      </c>
      <c r="P31" s="68">
        <f t="shared" si="5"/>
        <v>0</v>
      </c>
      <c r="Q31" s="68">
        <f>(IF(Q$27="%w/w SAR",((Q$28*10)*$B31),IF(Q$27="%w/w DM",(((Q$28*10)*($B$28/100))*$B31),IF(Q$27="kg/t SAR",(Q$28*$B31),IF(Q$27="kg/t DM",((Q$28*($B$28/100))*$B31),IF(Q$27="mg/kg SAR",((Q$28*0.001)*$B31),IF(Q$27="mg/kg DM",(((Q$28*0.001)*($B$28/100))*$B31),0)))))))*2.5</f>
        <v>118.72451249999999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0.22038389999999999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150</v>
      </c>
      <c r="C32" s="68">
        <f t="shared" ref="C32:C50" si="6">IF(C$27="%w/w SAR",((C$28*10)*$B32),IF(C$27="%w/w DM",(((C$28*10)*($B$28/100))*$B32),IF(C$27="kg/t SAR",(C$28*$B32),IF(C$27="kg/t DM",((C$28*($B$28/100))*$B32),IF(C$27="mg/kg SAR",((C$28*0.001)*$B32),IF(C$27="mg/kg DM",(((C$28*0.001)*($B$28/100))*$B32),0))))))</f>
        <v>62.055</v>
      </c>
      <c r="D32" s="68">
        <f t="shared" ref="D32:D50" si="7">(IF(D$27="%w/w SAR",((D$28*10)*$B32),IF(D$27="%w/w DM",(((D$28*10)*($B$28/100))*$B32),IF(D$27="kg/t SAR",(D$28*$B32),IF(D$27="kg/t DM",((D$28*($B$28/100))*$B32),IF(D$27="mg/kg SAR",((D$28*0.001)*$B32),IF(D$27="mg/kg DM",(((D$28*0.001)*($B$28/100))*$B32),"0")))))))*2.291</f>
        <v>29.652183899999997</v>
      </c>
      <c r="E32" s="68">
        <f t="shared" ref="E32:E50" si="8">(IF(E$27="%w/w SAR",((E$28*10)*$B32),IF(E$27="%w/w DM",(((E$28*10)*($B$28/100))*$B32),IF(E$27="kg/t SAR",(E$28*$B32),IF(E$27="kg/t DM",((E$28*($B$28/100))*$B32),IF(E$27="mg/kg SAR",((E$28*0.001)*$B32),IF(E$27="mg/kg DM",(((E$28*0.001)*($B$28/100))*$B32),"0")))))))*1.205</f>
        <v>1.4848431749999997</v>
      </c>
      <c r="F32" s="68">
        <f t="shared" ref="F32:F50" si="9">(IF(F$27="%w/w SAR",((F$28*10)*$B32),IF(F$27="%w/w DM",(((F$28*10)*($B$28/100))*$B32),IF(F$27="kg/t SAR",(F$28*$B32),IF(F$27="kg/t DM",((F$28*($B$28/100))*$B32),IF(F$27="mg/kg SAR",((F$28*0.001)*$B32),IF(F$27="mg/kg DM",(((F$28*0.001)*($B$28/100))*$B32),"0")))))))*1.658</f>
        <v>4.5858290400000001</v>
      </c>
      <c r="G32" s="68">
        <f t="shared" si="5"/>
        <v>7.8987149999999992E-2</v>
      </c>
      <c r="H32" s="68">
        <f t="shared" si="5"/>
        <v>1.8439200000000002</v>
      </c>
      <c r="I32" s="68">
        <f t="shared" si="5"/>
        <v>0.25797150000000002</v>
      </c>
      <c r="J32" s="68">
        <f t="shared" si="5"/>
        <v>3.0141E-3</v>
      </c>
      <c r="K32" s="68">
        <f t="shared" si="5"/>
        <v>6.0282000000000001E-3</v>
      </c>
      <c r="L32" s="68">
        <f t="shared" si="5"/>
        <v>0.2083275</v>
      </c>
      <c r="M32" s="68">
        <f t="shared" si="5"/>
        <v>0.14183999999999999</v>
      </c>
      <c r="N32" s="68">
        <f t="shared" si="5"/>
        <v>26.240400000000001</v>
      </c>
      <c r="O32" s="68">
        <f t="shared" si="5"/>
        <v>3581.46</v>
      </c>
      <c r="P32" s="68">
        <f t="shared" si="5"/>
        <v>0</v>
      </c>
      <c r="Q32" s="68">
        <f t="shared" ref="Q32:Q50" si="10">(IF(Q$27="%w/w SAR",((Q$28*10)*$B32),IF(Q$27="%w/w DM",(((Q$28*10)*($B$28/100))*$B32),IF(Q$27="kg/t SAR",(Q$28*$B32),IF(Q$27="kg/t DM",((Q$28*($B$28/100))*$B32),IF(Q$27="mg/kg SAR",((Q$28*0.001)*$B32),IF(Q$27="mg/kg DM",(((Q$28*0.001)*($B$28/100))*$B32),0)))))))*2.5</f>
        <v>107.931375</v>
      </c>
      <c r="R32" s="68">
        <f t="shared" ref="R32:U50" si="11">IF(R$27="%w/w SAR",((R$28*10)*$B32),IF(R$27="%w/w DM",(((R$28*10)*($B$28/100))*$B32),IF(R$27="kg/t SAR",(R$28*$B32),IF(R$27="kg/t DM",((R$28*($B$28/100))*$B32),IF(R$27="mg/kg SAR",((R$28*0.001)*$B32),IF(R$27="mg/kg DM",(((R$28*0.001)*($B$28/100))*$B32),0))))))</f>
        <v>0</v>
      </c>
      <c r="S32" s="68">
        <f t="shared" si="11"/>
        <v>0.200349</v>
      </c>
      <c r="T32" s="68">
        <f t="shared" si="11"/>
        <v>0</v>
      </c>
      <c r="U32" s="68">
        <f t="shared" si="11"/>
        <v>0</v>
      </c>
    </row>
    <row r="33" spans="1:21" s="51" customFormat="1" ht="13" x14ac:dyDescent="0.35">
      <c r="A33" s="10">
        <f>E8</f>
        <v>12</v>
      </c>
      <c r="B33" s="12">
        <v>150</v>
      </c>
      <c r="C33" s="68">
        <f t="shared" si="6"/>
        <v>62.055</v>
      </c>
      <c r="D33" s="68">
        <f t="shared" si="7"/>
        <v>29.652183899999997</v>
      </c>
      <c r="E33" s="68">
        <f t="shared" si="8"/>
        <v>1.4848431749999997</v>
      </c>
      <c r="F33" s="68">
        <f t="shared" si="9"/>
        <v>4.5858290400000001</v>
      </c>
      <c r="G33" s="68">
        <f t="shared" si="5"/>
        <v>7.8987149999999992E-2</v>
      </c>
      <c r="H33" s="68">
        <f t="shared" si="5"/>
        <v>1.8439200000000002</v>
      </c>
      <c r="I33" s="68">
        <f t="shared" si="5"/>
        <v>0.25797150000000002</v>
      </c>
      <c r="J33" s="68">
        <f t="shared" si="5"/>
        <v>3.0141E-3</v>
      </c>
      <c r="K33" s="68">
        <f t="shared" si="5"/>
        <v>6.0282000000000001E-3</v>
      </c>
      <c r="L33" s="68">
        <f t="shared" si="5"/>
        <v>0.2083275</v>
      </c>
      <c r="M33" s="68">
        <f t="shared" si="5"/>
        <v>0.14183999999999999</v>
      </c>
      <c r="N33" s="68">
        <f t="shared" si="5"/>
        <v>26.240400000000001</v>
      </c>
      <c r="O33" s="68">
        <f t="shared" si="5"/>
        <v>3581.46</v>
      </c>
      <c r="P33" s="68">
        <f t="shared" si="5"/>
        <v>0</v>
      </c>
      <c r="Q33" s="68">
        <f t="shared" si="10"/>
        <v>107.931375</v>
      </c>
      <c r="R33" s="68">
        <f t="shared" si="11"/>
        <v>0</v>
      </c>
      <c r="S33" s="68">
        <f t="shared" si="11"/>
        <v>0.200349</v>
      </c>
      <c r="T33" s="68">
        <f t="shared" si="11"/>
        <v>0</v>
      </c>
      <c r="U33" s="68">
        <f t="shared" si="11"/>
        <v>0</v>
      </c>
    </row>
    <row r="34" spans="1:21" s="51" customFormat="1" ht="13" x14ac:dyDescent="0.35">
      <c r="A34" s="10">
        <f>F8</f>
        <v>15</v>
      </c>
      <c r="B34" s="12">
        <v>165</v>
      </c>
      <c r="C34" s="68">
        <f t="shared" si="6"/>
        <v>68.260500000000008</v>
      </c>
      <c r="D34" s="68">
        <f t="shared" si="7"/>
        <v>32.617402290000001</v>
      </c>
      <c r="E34" s="68">
        <f t="shared" si="8"/>
        <v>1.6333274924999999</v>
      </c>
      <c r="F34" s="68">
        <f t="shared" si="9"/>
        <v>5.0444119439999993</v>
      </c>
      <c r="G34" s="68">
        <f t="shared" si="5"/>
        <v>8.6885864999999993E-2</v>
      </c>
      <c r="H34" s="68">
        <f t="shared" si="5"/>
        <v>2.0283120000000001</v>
      </c>
      <c r="I34" s="68">
        <f t="shared" si="5"/>
        <v>0.28376865000000001</v>
      </c>
      <c r="J34" s="68">
        <f t="shared" si="5"/>
        <v>3.3155100000000002E-3</v>
      </c>
      <c r="K34" s="68">
        <f t="shared" si="5"/>
        <v>6.6310200000000005E-3</v>
      </c>
      <c r="L34" s="68">
        <f t="shared" si="5"/>
        <v>0.22916025000000001</v>
      </c>
      <c r="M34" s="68">
        <f t="shared" si="5"/>
        <v>0.156024</v>
      </c>
      <c r="N34" s="68">
        <f t="shared" si="5"/>
        <v>28.864440000000002</v>
      </c>
      <c r="O34" s="68">
        <f t="shared" si="5"/>
        <v>3939.6060000000002</v>
      </c>
      <c r="P34" s="68">
        <f t="shared" si="5"/>
        <v>0</v>
      </c>
      <c r="Q34" s="68">
        <f t="shared" si="10"/>
        <v>118.72451249999999</v>
      </c>
      <c r="R34" s="68">
        <f t="shared" si="11"/>
        <v>0</v>
      </c>
      <c r="S34" s="68">
        <f t="shared" si="11"/>
        <v>0.22038389999999999</v>
      </c>
      <c r="T34" s="68">
        <f t="shared" si="11"/>
        <v>0</v>
      </c>
      <c r="U34" s="68">
        <f t="shared" si="11"/>
        <v>0</v>
      </c>
    </row>
    <row r="35" spans="1:21" s="51" customFormat="1" ht="13" x14ac:dyDescent="0.35">
      <c r="A35" s="10">
        <f>G8</f>
        <v>16</v>
      </c>
      <c r="B35" s="12">
        <v>165</v>
      </c>
      <c r="C35" s="68">
        <f t="shared" si="6"/>
        <v>68.260500000000008</v>
      </c>
      <c r="D35" s="68">
        <f t="shared" si="7"/>
        <v>32.617402290000001</v>
      </c>
      <c r="E35" s="68">
        <f t="shared" si="8"/>
        <v>1.6333274924999999</v>
      </c>
      <c r="F35" s="68">
        <f t="shared" si="9"/>
        <v>5.0444119439999993</v>
      </c>
      <c r="G35" s="68">
        <f t="shared" si="5"/>
        <v>8.6885864999999993E-2</v>
      </c>
      <c r="H35" s="68">
        <f t="shared" si="5"/>
        <v>2.0283120000000001</v>
      </c>
      <c r="I35" s="68">
        <f t="shared" si="5"/>
        <v>0.28376865000000001</v>
      </c>
      <c r="J35" s="68">
        <f t="shared" si="5"/>
        <v>3.3155100000000002E-3</v>
      </c>
      <c r="K35" s="68">
        <f t="shared" si="5"/>
        <v>6.6310200000000005E-3</v>
      </c>
      <c r="L35" s="68">
        <f t="shared" si="5"/>
        <v>0.22916025000000001</v>
      </c>
      <c r="M35" s="68">
        <f t="shared" si="5"/>
        <v>0.156024</v>
      </c>
      <c r="N35" s="68">
        <f t="shared" si="5"/>
        <v>28.864440000000002</v>
      </c>
      <c r="O35" s="68">
        <f t="shared" si="5"/>
        <v>3939.6060000000002</v>
      </c>
      <c r="P35" s="68">
        <f t="shared" si="5"/>
        <v>0</v>
      </c>
      <c r="Q35" s="68">
        <f t="shared" si="10"/>
        <v>118.72451249999999</v>
      </c>
      <c r="R35" s="68">
        <f t="shared" si="11"/>
        <v>0</v>
      </c>
      <c r="S35" s="68">
        <f t="shared" si="11"/>
        <v>0.22038389999999999</v>
      </c>
      <c r="T35" s="68">
        <f t="shared" si="11"/>
        <v>0</v>
      </c>
      <c r="U35" s="68">
        <f t="shared" si="11"/>
        <v>0</v>
      </c>
    </row>
    <row r="36" spans="1:21" s="51" customFormat="1" ht="13" x14ac:dyDescent="0.35">
      <c r="A36" s="10">
        <f>H8</f>
        <v>17</v>
      </c>
      <c r="B36" s="12">
        <v>165</v>
      </c>
      <c r="C36" s="68">
        <f t="shared" si="6"/>
        <v>68.260500000000008</v>
      </c>
      <c r="D36" s="68">
        <f t="shared" si="7"/>
        <v>32.617402290000001</v>
      </c>
      <c r="E36" s="68">
        <f t="shared" si="8"/>
        <v>1.6333274924999999</v>
      </c>
      <c r="F36" s="68">
        <f t="shared" si="9"/>
        <v>5.0444119439999993</v>
      </c>
      <c r="G36" s="68">
        <f t="shared" si="5"/>
        <v>8.6885864999999993E-2</v>
      </c>
      <c r="H36" s="68">
        <f t="shared" si="5"/>
        <v>2.0283120000000001</v>
      </c>
      <c r="I36" s="68">
        <f t="shared" si="5"/>
        <v>0.28376865000000001</v>
      </c>
      <c r="J36" s="68">
        <f t="shared" si="5"/>
        <v>3.3155100000000002E-3</v>
      </c>
      <c r="K36" s="68">
        <f t="shared" si="5"/>
        <v>6.6310200000000005E-3</v>
      </c>
      <c r="L36" s="68">
        <f t="shared" si="5"/>
        <v>0.22916025000000001</v>
      </c>
      <c r="M36" s="68">
        <f t="shared" si="5"/>
        <v>0.156024</v>
      </c>
      <c r="N36" s="68">
        <f t="shared" si="5"/>
        <v>28.864440000000002</v>
      </c>
      <c r="O36" s="68">
        <f t="shared" si="5"/>
        <v>3939.6060000000002</v>
      </c>
      <c r="P36" s="68">
        <f t="shared" si="5"/>
        <v>0</v>
      </c>
      <c r="Q36" s="68">
        <f t="shared" si="10"/>
        <v>118.72451249999999</v>
      </c>
      <c r="R36" s="68">
        <f t="shared" si="11"/>
        <v>0</v>
      </c>
      <c r="S36" s="68">
        <f t="shared" si="11"/>
        <v>0.22038389999999999</v>
      </c>
      <c r="T36" s="68">
        <f t="shared" si="11"/>
        <v>0</v>
      </c>
      <c r="U36" s="68">
        <f t="shared" si="11"/>
        <v>0</v>
      </c>
    </row>
    <row r="37" spans="1:21" s="51" customFormat="1" ht="13" x14ac:dyDescent="0.35">
      <c r="A37" s="10">
        <f>I8</f>
        <v>18</v>
      </c>
      <c r="B37" s="12">
        <v>150</v>
      </c>
      <c r="C37" s="68">
        <f t="shared" si="6"/>
        <v>62.055</v>
      </c>
      <c r="D37" s="68">
        <f t="shared" si="7"/>
        <v>29.652183899999997</v>
      </c>
      <c r="E37" s="68">
        <f t="shared" si="8"/>
        <v>1.4848431749999997</v>
      </c>
      <c r="F37" s="68">
        <f t="shared" si="9"/>
        <v>4.5858290400000001</v>
      </c>
      <c r="G37" s="68">
        <f t="shared" si="5"/>
        <v>7.8987149999999992E-2</v>
      </c>
      <c r="H37" s="68">
        <f t="shared" si="5"/>
        <v>1.8439200000000002</v>
      </c>
      <c r="I37" s="68">
        <f t="shared" si="5"/>
        <v>0.25797150000000002</v>
      </c>
      <c r="J37" s="68">
        <f t="shared" si="5"/>
        <v>3.0141E-3</v>
      </c>
      <c r="K37" s="68">
        <f t="shared" si="5"/>
        <v>6.0282000000000001E-3</v>
      </c>
      <c r="L37" s="68">
        <f t="shared" si="5"/>
        <v>0.2083275</v>
      </c>
      <c r="M37" s="68">
        <f t="shared" si="5"/>
        <v>0.14183999999999999</v>
      </c>
      <c r="N37" s="68">
        <f t="shared" si="5"/>
        <v>26.240400000000001</v>
      </c>
      <c r="O37" s="68">
        <f t="shared" si="5"/>
        <v>3581.46</v>
      </c>
      <c r="P37" s="68">
        <f t="shared" si="5"/>
        <v>0</v>
      </c>
      <c r="Q37" s="68">
        <f t="shared" si="10"/>
        <v>107.931375</v>
      </c>
      <c r="R37" s="68">
        <f t="shared" si="11"/>
        <v>0</v>
      </c>
      <c r="S37" s="68">
        <f t="shared" si="11"/>
        <v>0.200349</v>
      </c>
      <c r="T37" s="68">
        <f t="shared" si="11"/>
        <v>0</v>
      </c>
      <c r="U37" s="68">
        <f t="shared" si="11"/>
        <v>0</v>
      </c>
    </row>
    <row r="38" spans="1:21" s="51" customFormat="1" ht="13" x14ac:dyDescent="0.35">
      <c r="A38" s="10">
        <f>J8</f>
        <v>4968</v>
      </c>
      <c r="B38" s="12">
        <v>165</v>
      </c>
      <c r="C38" s="68">
        <f t="shared" si="6"/>
        <v>68.260500000000008</v>
      </c>
      <c r="D38" s="68">
        <f t="shared" si="7"/>
        <v>32.617402290000001</v>
      </c>
      <c r="E38" s="68">
        <f t="shared" si="8"/>
        <v>1.6333274924999999</v>
      </c>
      <c r="F38" s="68">
        <f t="shared" si="9"/>
        <v>5.0444119439999993</v>
      </c>
      <c r="G38" s="68">
        <f t="shared" si="5"/>
        <v>8.6885864999999993E-2</v>
      </c>
      <c r="H38" s="68">
        <f t="shared" si="5"/>
        <v>2.0283120000000001</v>
      </c>
      <c r="I38" s="68">
        <f t="shared" si="5"/>
        <v>0.28376865000000001</v>
      </c>
      <c r="J38" s="68">
        <f t="shared" si="5"/>
        <v>3.3155100000000002E-3</v>
      </c>
      <c r="K38" s="68">
        <f t="shared" si="5"/>
        <v>6.6310200000000005E-3</v>
      </c>
      <c r="L38" s="68">
        <f t="shared" si="5"/>
        <v>0.22916025000000001</v>
      </c>
      <c r="M38" s="68">
        <f t="shared" si="5"/>
        <v>0.156024</v>
      </c>
      <c r="N38" s="68">
        <f t="shared" si="5"/>
        <v>28.864440000000002</v>
      </c>
      <c r="O38" s="68">
        <f t="shared" si="5"/>
        <v>3939.6060000000002</v>
      </c>
      <c r="P38" s="68">
        <f t="shared" si="5"/>
        <v>0</v>
      </c>
      <c r="Q38" s="68">
        <f t="shared" si="10"/>
        <v>118.72451249999999</v>
      </c>
      <c r="R38" s="68">
        <f t="shared" si="11"/>
        <v>0</v>
      </c>
      <c r="S38" s="68">
        <f t="shared" si="11"/>
        <v>0.22038389999999999</v>
      </c>
      <c r="T38" s="68">
        <f t="shared" si="11"/>
        <v>0</v>
      </c>
      <c r="U38" s="68">
        <f t="shared" si="11"/>
        <v>0</v>
      </c>
    </row>
    <row r="39" spans="1:21" s="51" customFormat="1" ht="13" x14ac:dyDescent="0.35">
      <c r="A39" s="10">
        <f>K8</f>
        <v>961</v>
      </c>
      <c r="B39" s="12">
        <v>165</v>
      </c>
      <c r="C39" s="68">
        <f t="shared" si="6"/>
        <v>68.260500000000008</v>
      </c>
      <c r="D39" s="68">
        <f t="shared" si="7"/>
        <v>32.617402290000001</v>
      </c>
      <c r="E39" s="68">
        <f t="shared" si="8"/>
        <v>1.6333274924999999</v>
      </c>
      <c r="F39" s="68">
        <f t="shared" si="9"/>
        <v>5.0444119439999993</v>
      </c>
      <c r="G39" s="68">
        <f t="shared" si="5"/>
        <v>8.6885864999999993E-2</v>
      </c>
      <c r="H39" s="68">
        <f t="shared" si="5"/>
        <v>2.0283120000000001</v>
      </c>
      <c r="I39" s="68">
        <f t="shared" si="5"/>
        <v>0.28376865000000001</v>
      </c>
      <c r="J39" s="68">
        <f t="shared" si="5"/>
        <v>3.3155100000000002E-3</v>
      </c>
      <c r="K39" s="68">
        <f t="shared" si="5"/>
        <v>6.6310200000000005E-3</v>
      </c>
      <c r="L39" s="68">
        <f t="shared" si="5"/>
        <v>0.22916025000000001</v>
      </c>
      <c r="M39" s="68">
        <f t="shared" si="5"/>
        <v>0.156024</v>
      </c>
      <c r="N39" s="68">
        <f t="shared" si="5"/>
        <v>28.864440000000002</v>
      </c>
      <c r="O39" s="68">
        <f t="shared" si="5"/>
        <v>3939.6060000000002</v>
      </c>
      <c r="P39" s="68">
        <f t="shared" si="5"/>
        <v>0</v>
      </c>
      <c r="Q39" s="68">
        <f t="shared" si="10"/>
        <v>118.72451249999999</v>
      </c>
      <c r="R39" s="68">
        <f t="shared" si="11"/>
        <v>0</v>
      </c>
      <c r="S39" s="68">
        <f t="shared" si="11"/>
        <v>0.22038389999999999</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"&amp;(VLOOKUP(C14,Table24581114[],6,FALSE))</f>
        <v>Medium/Clay I Grass</v>
      </c>
      <c r="C58" s="10" t="str">
        <f>D16&amp;" I "&amp;(VLOOKUP(D14,Table24581114[],6,FALSE))</f>
        <v>Medium/Clay I Arable</v>
      </c>
      <c r="D58" s="10" t="str">
        <f>E16&amp;" I "&amp;(VLOOKUP(E14,Table24581114[],6,FALSE))</f>
        <v>Medium/Clay I Arable</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Arable</v>
      </c>
      <c r="I58" s="10" t="str">
        <f>J16&amp;" I "&amp;(VLOOKUP(J14,Table24581114[],6,FALSE))</f>
        <v>Medium/Clay I Grass</v>
      </c>
      <c r="J58" s="10" t="str">
        <f>K16&amp;" I "&amp;(VLOOKUP(K14,Table24581114[],6,FALSE))</f>
        <v>Medium/Clay I Grass</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100" t="s">
        <v>132</v>
      </c>
      <c r="B59" s="67">
        <f>VLOOKUP(C$14,Table24581114[],5,FALSE)</f>
        <v>6.2</v>
      </c>
      <c r="C59" s="67">
        <f>VLOOKUP(D$14,Table24581114[],5,FALSE)</f>
        <v>6.7</v>
      </c>
      <c r="D59" s="67">
        <f>VLOOKUP(E$14,Table24581114[],5,FALSE)</f>
        <v>6.7</v>
      </c>
      <c r="E59" s="67">
        <f>VLOOKUP(F$14,Table24581114[],5,FALSE)</f>
        <v>6.2</v>
      </c>
      <c r="F59" s="67">
        <f>VLOOKUP(G$14,Table24581114[],5,FALSE)</f>
        <v>6.2</v>
      </c>
      <c r="G59" s="67">
        <f>VLOOKUP(H$14,Table24581114[],5,FALSE)</f>
        <v>6.2</v>
      </c>
      <c r="H59" s="67">
        <f>VLOOKUP(I$14,Table24581114[],5,FALSE)</f>
        <v>6.7</v>
      </c>
      <c r="I59" s="67">
        <f>VLOOKUP(J$14,Table24581114[],5,FALSE)</f>
        <v>6.2</v>
      </c>
      <c r="J59" s="67">
        <f>VLOOKUP(K$14,Table24581114[],5,FALSE)</f>
        <v>6.2</v>
      </c>
      <c r="K59" s="67" t="e">
        <f>VLOOKUP(L$14,Table24581114[],5,FALSE)</f>
        <v>#N/A</v>
      </c>
      <c r="L59" s="67" t="e">
        <f>VLOOKUP(M$14,Table24581114[],5,FALSE)</f>
        <v>#N/A</v>
      </c>
      <c r="M59" s="67" t="e">
        <f>VLOOKUP(N$14,Table24581114[],5,FALSE)</f>
        <v>#N/A</v>
      </c>
      <c r="N59" s="67" t="e">
        <f>VLOOKUP(O$14,Table24581114[],5,FALSE)</f>
        <v>#N/A</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165</v>
      </c>
      <c r="C62" s="68">
        <f>B32</f>
        <v>150</v>
      </c>
      <c r="D62" s="68">
        <f>B33</f>
        <v>150</v>
      </c>
      <c r="E62" s="68">
        <f>B34</f>
        <v>165</v>
      </c>
      <c r="F62" s="68">
        <f>B35</f>
        <v>165</v>
      </c>
      <c r="G62" s="68">
        <f>B36</f>
        <v>165</v>
      </c>
      <c r="H62" s="68">
        <f>B37</f>
        <v>150</v>
      </c>
      <c r="I62" s="68">
        <f>B38</f>
        <v>165</v>
      </c>
      <c r="J62" s="68">
        <f>B39</f>
        <v>165</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T27" sqref="T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v>6.62</v>
      </c>
      <c r="J1" s="114" t="s">
        <v>153</v>
      </c>
      <c r="K1" s="114"/>
      <c r="L1" s="86">
        <v>25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173</v>
      </c>
      <c r="G2" s="112" t="s">
        <v>110</v>
      </c>
      <c r="H2" s="113"/>
      <c r="I2" s="86"/>
      <c r="J2" s="114" t="s">
        <v>158</v>
      </c>
      <c r="K2" s="114"/>
      <c r="L2" s="86">
        <v>0.05</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77</v>
      </c>
      <c r="G3" s="114" t="s">
        <v>159</v>
      </c>
      <c r="H3" s="114"/>
      <c r="I3" s="86"/>
      <c r="J3" s="110" t="s">
        <v>154</v>
      </c>
      <c r="K3" s="111"/>
      <c r="L3" s="86">
        <f>(L1/(L2*10000))*100</f>
        <v>5</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176</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2.6914095250000005</v>
      </c>
      <c r="D18" s="13">
        <f>$D32</f>
        <v>1.6148457150000004</v>
      </c>
      <c r="E18" s="13">
        <f>$D33</f>
        <v>1.6148457150000004</v>
      </c>
      <c r="F18" s="13">
        <f>$D34</f>
        <v>2.6914095250000005</v>
      </c>
      <c r="G18" s="13">
        <f>$D35</f>
        <v>2.6914095250000005</v>
      </c>
      <c r="H18" s="13">
        <f>$D36</f>
        <v>2.6914095250000005</v>
      </c>
      <c r="I18" s="13">
        <f>$D37</f>
        <v>1.6148457150000004</v>
      </c>
      <c r="J18" s="13">
        <f>$D38</f>
        <v>2.6914095250000005</v>
      </c>
      <c r="K18" s="13">
        <f>$D39</f>
        <v>2.6914095250000005</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-77.208590474999994</v>
      </c>
      <c r="D19" s="13">
        <f t="shared" ref="D19:V19" si="1">D18-D17</f>
        <v>-61.385154284999992</v>
      </c>
      <c r="E19" s="13">
        <f t="shared" si="1"/>
        <v>-45.135154284999999</v>
      </c>
      <c r="F19" s="13">
        <f t="shared" si="1"/>
        <v>-77.208590474999994</v>
      </c>
      <c r="G19" s="13">
        <f t="shared" si="1"/>
        <v>-77.208590474999994</v>
      </c>
      <c r="H19" s="13">
        <f t="shared" si="1"/>
        <v>-77.208590474999994</v>
      </c>
      <c r="I19" s="13">
        <f t="shared" si="1"/>
        <v>-45.135154284999999</v>
      </c>
      <c r="J19" s="13">
        <f t="shared" si="1"/>
        <v>-77.208590474999994</v>
      </c>
      <c r="K19" s="13">
        <f t="shared" si="1"/>
        <v>-77.208590474999994</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0.64654275000000005</v>
      </c>
      <c r="D22" s="13">
        <f>$E32</f>
        <v>0.38792565000000001</v>
      </c>
      <c r="E22" s="13">
        <f>$E33</f>
        <v>0.38792565000000001</v>
      </c>
      <c r="F22" s="13">
        <f>$E34</f>
        <v>0.64654275000000005</v>
      </c>
      <c r="G22" s="13">
        <f>$E35</f>
        <v>0.64654275000000005</v>
      </c>
      <c r="H22" s="13">
        <f>$E36</f>
        <v>0.64654275000000005</v>
      </c>
      <c r="I22" s="13">
        <f>$E37</f>
        <v>0.38792565000000001</v>
      </c>
      <c r="J22" s="13">
        <f>$E38</f>
        <v>0.64654275000000005</v>
      </c>
      <c r="K22" s="13">
        <f>$E39</f>
        <v>0.64654275000000005</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-281.35345725000002</v>
      </c>
      <c r="D23" s="13">
        <f t="shared" ref="D23:V23" si="3">D22-D21</f>
        <v>-197.61207435000003</v>
      </c>
      <c r="E23" s="13">
        <f t="shared" si="3"/>
        <v>-65.61207435</v>
      </c>
      <c r="F23" s="13">
        <f t="shared" si="3"/>
        <v>-281.35345725000002</v>
      </c>
      <c r="G23" s="13">
        <f t="shared" si="3"/>
        <v>-281.35345725000002</v>
      </c>
      <c r="H23" s="13">
        <f t="shared" si="3"/>
        <v>-281.35345725000002</v>
      </c>
      <c r="I23" s="13">
        <f t="shared" si="3"/>
        <v>-65.61207435</v>
      </c>
      <c r="J23" s="13">
        <f t="shared" si="3"/>
        <v>-281.35345725000002</v>
      </c>
      <c r="K23" s="13">
        <f t="shared" si="3"/>
        <v>-281.35345725000002</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c r="U27" s="96"/>
    </row>
    <row r="28" spans="1:40" x14ac:dyDescent="0.35">
      <c r="A28" s="97"/>
      <c r="B28" s="17">
        <v>4.9000000000000004</v>
      </c>
      <c r="C28" s="12">
        <v>0.05</v>
      </c>
      <c r="D28" s="12">
        <v>95.9</v>
      </c>
      <c r="E28" s="12">
        <v>43.8</v>
      </c>
      <c r="F28" s="12">
        <v>57.9</v>
      </c>
      <c r="G28" s="12">
        <v>2.34</v>
      </c>
      <c r="H28" s="12">
        <v>4.68</v>
      </c>
      <c r="I28" s="12">
        <v>0.77</v>
      </c>
      <c r="J28" s="12">
        <v>0.02</v>
      </c>
      <c r="K28" s="16">
        <v>0.05</v>
      </c>
      <c r="L28" s="12">
        <v>1.33</v>
      </c>
      <c r="M28" s="12">
        <v>1.25</v>
      </c>
      <c r="N28" s="12">
        <v>5354</v>
      </c>
      <c r="O28" s="12">
        <v>895</v>
      </c>
      <c r="P28" s="12">
        <v>16.7</v>
      </c>
      <c r="Q28" s="12">
        <v>362</v>
      </c>
      <c r="R28" s="12">
        <v>0.15</v>
      </c>
      <c r="S28" s="12">
        <v>0.68</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250</v>
      </c>
      <c r="C31" s="68">
        <f>IF(C$27="%w/w SAR",((C$28*10)*$B31),IF(C$27="%w/w DM",(((C$28*10)*($B$28/100))*$B31),IF(C$27="kg/t SAR",(C$28*$B31),IF(C$27="kg/t DM",((C$28*($B$28/100))*$B31),IF(C$27="mg/kg SAR",((C$28*0.001)*$B31),IF(C$27="mg/kg DM",(((C$28*0.001)*($B$28/100))*$B31),0))))))</f>
        <v>6.125</v>
      </c>
      <c r="D31" s="68">
        <f>(IF(D$27="%w/w SAR",((D$28*10)*$B31),IF(D$27="%w/w DM",(((D$28*10)*($B$28/100))*$B31),IF(D$27="kg/t SAR",(D$28*$B31),IF(D$27="kg/t DM",((D$28*($B$28/100))*$B31),IF(D$27="mg/kg SAR",((D$28*0.001)*$B31),IF(D$27="mg/kg DM",(((D$28*0.001)*($B$28/100))*$B31),"0")))))))*2.291</f>
        <v>2.6914095250000005</v>
      </c>
      <c r="E31" s="68">
        <f>(IF(E$27="%w/w SAR",((E$28*10)*$B31),IF(E$27="%w/w DM",(((E$28*10)*($B$28/100))*$B31),IF(E$27="kg/t SAR",(E$28*$B31),IF(E$27="kg/t DM",((E$28*($B$28/100))*$B31),IF(E$27="mg/kg SAR",((E$28*0.001)*$B31),IF(E$27="mg/kg DM",(((E$28*0.001)*($B$28/100))*$B31),"0")))))))*1.205</f>
        <v>0.64654275000000005</v>
      </c>
      <c r="F31" s="68">
        <f>(IF(F$27="%w/w SAR",((F$28*10)*$B31),IF(F$27="%w/w DM",(((F$28*10)*($B$28/100))*$B31),IF(F$27="kg/t SAR",(F$28*$B31),IF(F$27="kg/t DM",((F$28*($B$28/100))*$B31),IF(F$27="mg/kg SAR",((F$28*0.001)*$B31),IF(F$27="mg/kg DM",(((F$28*0.001)*($B$28/100))*$B31),"0")))))))*1.658</f>
        <v>1.1759779499999998</v>
      </c>
      <c r="G31" s="68">
        <f t="shared" ref="G31:P46" si="5">IF(G$27="%w/w SAR",((G$28*10)*$B31),IF(G$27="%w/w DM",(((G$28*10)*($B$28/100))*$B31),IF(G$27="kg/t SAR",(G$28*$B31),IF(G$27="kg/t DM",((G$28*($B$28/100))*$B31),IF(G$27="mg/kg SAR",((G$28*0.001)*$B31),IF(G$27="mg/kg DM",(((G$28*0.001)*($B$28/100))*$B31),0))))))</f>
        <v>2.8665E-2</v>
      </c>
      <c r="H31" s="68">
        <f t="shared" si="5"/>
        <v>5.7329999999999999E-2</v>
      </c>
      <c r="I31" s="68">
        <f t="shared" si="5"/>
        <v>9.4325000000000016E-3</v>
      </c>
      <c r="J31" s="68">
        <f t="shared" si="5"/>
        <v>2.4500000000000005E-4</v>
      </c>
      <c r="K31" s="68">
        <f t="shared" si="5"/>
        <v>6.1250000000000009E-4</v>
      </c>
      <c r="L31" s="68">
        <f t="shared" si="5"/>
        <v>1.6292500000000001E-2</v>
      </c>
      <c r="M31" s="68">
        <f t="shared" si="5"/>
        <v>1.53125E-2</v>
      </c>
      <c r="N31" s="68">
        <f t="shared" si="5"/>
        <v>65.586500000000001</v>
      </c>
      <c r="O31" s="68">
        <f t="shared" si="5"/>
        <v>10.963750000000001</v>
      </c>
      <c r="P31" s="68">
        <f t="shared" si="5"/>
        <v>0.20457500000000001</v>
      </c>
      <c r="Q31" s="68">
        <f>(IF(Q$27="%w/w SAR",((Q$28*10)*$B31),IF(Q$27="%w/w DM",(((Q$28*10)*($B$28/100))*$B31),IF(Q$27="kg/t SAR",(Q$28*$B31),IF(Q$27="kg/t DM",((Q$28*($B$28/100))*$B31),IF(Q$27="mg/kg SAR",((Q$28*0.001)*$B31),IF(Q$27="mg/kg DM",(((Q$28*0.001)*($B$28/100))*$B31),0)))))))*2.5</f>
        <v>11.08625</v>
      </c>
      <c r="R31" s="68">
        <f>IF(R$27="%w/w SAR",((R$28*10)*$B31),IF(R$27="%w/w DM",(((R$28*10)*($B$28/100))*$B31),IF(R$27="kg/t SAR",(R$28*$B31),IF(R$27="kg/t DM",((R$28*($B$28/100))*$B31),IF(R$27="mg/kg SAR",((R$28*0.001)*$B31),IF(R$27="mg/kg DM",(((R$28*0.001)*($B$28/100))*$B31),0))))))</f>
        <v>1.8374999999999999E-3</v>
      </c>
      <c r="S31" s="68">
        <f>IF(S$27="%w/w SAR",((S$28*10)*$B31),IF(S$27="%w/w DM",(((S$28*10)*($B$28/100))*$B31),IF(S$27="kg/t SAR",(S$28*$B31),IF(S$27="kg/t DM",((S$28*($B$28/100))*$B31),IF(S$27="mg/kg SAR",((S$28*0.001)*$B31),IF(S$27="mg/kg DM",(((S$28*0.001)*($B$28/100))*$B31),0))))))</f>
        <v>8.3300000000000023E-3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150</v>
      </c>
      <c r="C32" s="68">
        <f t="shared" ref="C32:C50" si="6">IF(C$27="%w/w SAR",((C$28*10)*$B32),IF(C$27="%w/w DM",(((C$28*10)*($B$28/100))*$B32),IF(C$27="kg/t SAR",(C$28*$B32),IF(C$27="kg/t DM",((C$28*($B$28/100))*$B32),IF(C$27="mg/kg SAR",((C$28*0.001)*$B32),IF(C$27="mg/kg DM",(((C$28*0.001)*($B$28/100))*$B32),0))))))</f>
        <v>3.6750000000000003</v>
      </c>
      <c r="D32" s="68">
        <f t="shared" ref="D32:D50" si="7">(IF(D$27="%w/w SAR",((D$28*10)*$B32),IF(D$27="%w/w DM",(((D$28*10)*($B$28/100))*$B32),IF(D$27="kg/t SAR",(D$28*$B32),IF(D$27="kg/t DM",((D$28*($B$28/100))*$B32),IF(D$27="mg/kg SAR",((D$28*0.001)*$B32),IF(D$27="mg/kg DM",(((D$28*0.001)*($B$28/100))*$B32),"0")))))))*2.291</f>
        <v>1.6148457150000004</v>
      </c>
      <c r="E32" s="68">
        <f t="shared" ref="E32:E50" si="8">(IF(E$27="%w/w SAR",((E$28*10)*$B32),IF(E$27="%w/w DM",(((E$28*10)*($B$28/100))*$B32),IF(E$27="kg/t SAR",(E$28*$B32),IF(E$27="kg/t DM",((E$28*($B$28/100))*$B32),IF(E$27="mg/kg SAR",((E$28*0.001)*$B32),IF(E$27="mg/kg DM",(((E$28*0.001)*($B$28/100))*$B32),"0")))))))*1.205</f>
        <v>0.38792565000000001</v>
      </c>
      <c r="F32" s="68">
        <f t="shared" ref="F32:F50" si="9">(IF(F$27="%w/w SAR",((F$28*10)*$B32),IF(F$27="%w/w DM",(((F$28*10)*($B$28/100))*$B32),IF(F$27="kg/t SAR",(F$28*$B32),IF(F$27="kg/t DM",((F$28*($B$28/100))*$B32),IF(F$27="mg/kg SAR",((F$28*0.001)*$B32),IF(F$27="mg/kg DM",(((F$28*0.001)*($B$28/100))*$B32),"0")))))))*1.658</f>
        <v>0.70558676999999992</v>
      </c>
      <c r="G32" s="68">
        <f t="shared" si="5"/>
        <v>1.7198999999999999E-2</v>
      </c>
      <c r="H32" s="68">
        <f t="shared" si="5"/>
        <v>3.4397999999999998E-2</v>
      </c>
      <c r="I32" s="68">
        <f t="shared" si="5"/>
        <v>5.6595000000000013E-3</v>
      </c>
      <c r="J32" s="68">
        <f t="shared" si="5"/>
        <v>1.4700000000000002E-4</v>
      </c>
      <c r="K32" s="68">
        <f t="shared" si="5"/>
        <v>3.6750000000000004E-4</v>
      </c>
      <c r="L32" s="68">
        <f t="shared" si="5"/>
        <v>9.7754999999999995E-3</v>
      </c>
      <c r="M32" s="68">
        <f t="shared" si="5"/>
        <v>9.1874999999999995E-3</v>
      </c>
      <c r="N32" s="68">
        <f t="shared" si="5"/>
        <v>39.351900000000001</v>
      </c>
      <c r="O32" s="68">
        <f t="shared" si="5"/>
        <v>6.5782500000000006</v>
      </c>
      <c r="P32" s="68">
        <f t="shared" si="5"/>
        <v>0.12274499999999999</v>
      </c>
      <c r="Q32" s="68">
        <f t="shared" ref="Q32:Q50" si="10">(IF(Q$27="%w/w SAR",((Q$28*10)*$B32),IF(Q$27="%w/w DM",(((Q$28*10)*($B$28/100))*$B32),IF(Q$27="kg/t SAR",(Q$28*$B32),IF(Q$27="kg/t DM",((Q$28*($B$28/100))*$B32),IF(Q$27="mg/kg SAR",((Q$28*0.001)*$B32),IF(Q$27="mg/kg DM",(((Q$28*0.001)*($B$28/100))*$B32),0)))))))*2.5</f>
        <v>6.6517499999999998</v>
      </c>
      <c r="R32" s="68">
        <f t="shared" ref="R32:U50" si="11">IF(R$27="%w/w SAR",((R$28*10)*$B32),IF(R$27="%w/w DM",(((R$28*10)*($B$28/100))*$B32),IF(R$27="kg/t SAR",(R$28*$B32),IF(R$27="kg/t DM",((R$28*($B$28/100))*$B32),IF(R$27="mg/kg SAR",((R$28*0.001)*$B32),IF(R$27="mg/kg DM",(((R$28*0.001)*($B$28/100))*$B32),0))))))</f>
        <v>1.1025E-3</v>
      </c>
      <c r="S32" s="68">
        <f t="shared" si="11"/>
        <v>4.9980000000000007E-3</v>
      </c>
      <c r="T32" s="68">
        <f t="shared" si="11"/>
        <v>0</v>
      </c>
      <c r="U32" s="68">
        <f t="shared" si="11"/>
        <v>0</v>
      </c>
    </row>
    <row r="33" spans="1:21" s="51" customFormat="1" ht="13" x14ac:dyDescent="0.35">
      <c r="A33" s="10">
        <f>E8</f>
        <v>12</v>
      </c>
      <c r="B33" s="12">
        <v>150</v>
      </c>
      <c r="C33" s="68">
        <f t="shared" si="6"/>
        <v>3.6750000000000003</v>
      </c>
      <c r="D33" s="68">
        <f t="shared" si="7"/>
        <v>1.6148457150000004</v>
      </c>
      <c r="E33" s="68">
        <f t="shared" si="8"/>
        <v>0.38792565000000001</v>
      </c>
      <c r="F33" s="68">
        <f t="shared" si="9"/>
        <v>0.70558676999999992</v>
      </c>
      <c r="G33" s="68">
        <f t="shared" si="5"/>
        <v>1.7198999999999999E-2</v>
      </c>
      <c r="H33" s="68">
        <f t="shared" si="5"/>
        <v>3.4397999999999998E-2</v>
      </c>
      <c r="I33" s="68">
        <f t="shared" si="5"/>
        <v>5.6595000000000013E-3</v>
      </c>
      <c r="J33" s="68">
        <f t="shared" si="5"/>
        <v>1.4700000000000002E-4</v>
      </c>
      <c r="K33" s="68">
        <f t="shared" si="5"/>
        <v>3.6750000000000004E-4</v>
      </c>
      <c r="L33" s="68">
        <f t="shared" si="5"/>
        <v>9.7754999999999995E-3</v>
      </c>
      <c r="M33" s="68">
        <f t="shared" si="5"/>
        <v>9.1874999999999995E-3</v>
      </c>
      <c r="N33" s="68">
        <f t="shared" si="5"/>
        <v>39.351900000000001</v>
      </c>
      <c r="O33" s="68">
        <f t="shared" si="5"/>
        <v>6.5782500000000006</v>
      </c>
      <c r="P33" s="68">
        <f t="shared" si="5"/>
        <v>0.12274499999999999</v>
      </c>
      <c r="Q33" s="68">
        <f t="shared" si="10"/>
        <v>6.6517499999999998</v>
      </c>
      <c r="R33" s="68">
        <f t="shared" si="11"/>
        <v>1.1025E-3</v>
      </c>
      <c r="S33" s="68">
        <f t="shared" si="11"/>
        <v>4.9980000000000007E-3</v>
      </c>
      <c r="T33" s="68">
        <f t="shared" si="11"/>
        <v>0</v>
      </c>
      <c r="U33" s="68">
        <f t="shared" si="11"/>
        <v>0</v>
      </c>
    </row>
    <row r="34" spans="1:21" s="51" customFormat="1" ht="13" x14ac:dyDescent="0.35">
      <c r="A34" s="10">
        <f>F8</f>
        <v>15</v>
      </c>
      <c r="B34" s="12">
        <v>250</v>
      </c>
      <c r="C34" s="68">
        <f t="shared" si="6"/>
        <v>6.125</v>
      </c>
      <c r="D34" s="68">
        <f t="shared" si="7"/>
        <v>2.6914095250000005</v>
      </c>
      <c r="E34" s="68">
        <f t="shared" si="8"/>
        <v>0.64654275000000005</v>
      </c>
      <c r="F34" s="68">
        <f t="shared" si="9"/>
        <v>1.1759779499999998</v>
      </c>
      <c r="G34" s="68">
        <f t="shared" si="5"/>
        <v>2.8665E-2</v>
      </c>
      <c r="H34" s="68">
        <f t="shared" si="5"/>
        <v>5.7329999999999999E-2</v>
      </c>
      <c r="I34" s="68">
        <f t="shared" si="5"/>
        <v>9.4325000000000016E-3</v>
      </c>
      <c r="J34" s="68">
        <f t="shared" si="5"/>
        <v>2.4500000000000005E-4</v>
      </c>
      <c r="K34" s="68">
        <f t="shared" si="5"/>
        <v>6.1250000000000009E-4</v>
      </c>
      <c r="L34" s="68">
        <f t="shared" si="5"/>
        <v>1.6292500000000001E-2</v>
      </c>
      <c r="M34" s="68">
        <f t="shared" si="5"/>
        <v>1.53125E-2</v>
      </c>
      <c r="N34" s="68">
        <f t="shared" si="5"/>
        <v>65.586500000000001</v>
      </c>
      <c r="O34" s="68">
        <f t="shared" si="5"/>
        <v>10.963750000000001</v>
      </c>
      <c r="P34" s="68">
        <f t="shared" si="5"/>
        <v>0.20457500000000001</v>
      </c>
      <c r="Q34" s="68">
        <f t="shared" si="10"/>
        <v>11.08625</v>
      </c>
      <c r="R34" s="68">
        <f t="shared" si="11"/>
        <v>1.8374999999999999E-3</v>
      </c>
      <c r="S34" s="68">
        <f t="shared" si="11"/>
        <v>8.3300000000000023E-3</v>
      </c>
      <c r="T34" s="68">
        <f t="shared" si="11"/>
        <v>0</v>
      </c>
      <c r="U34" s="68">
        <f t="shared" si="11"/>
        <v>0</v>
      </c>
    </row>
    <row r="35" spans="1:21" s="51" customFormat="1" ht="13" x14ac:dyDescent="0.35">
      <c r="A35" s="10">
        <f>G8</f>
        <v>16</v>
      </c>
      <c r="B35" s="12">
        <v>250</v>
      </c>
      <c r="C35" s="68">
        <f t="shared" si="6"/>
        <v>6.125</v>
      </c>
      <c r="D35" s="68">
        <f t="shared" si="7"/>
        <v>2.6914095250000005</v>
      </c>
      <c r="E35" s="68">
        <f t="shared" si="8"/>
        <v>0.64654275000000005</v>
      </c>
      <c r="F35" s="68">
        <f t="shared" si="9"/>
        <v>1.1759779499999998</v>
      </c>
      <c r="G35" s="68">
        <f t="shared" si="5"/>
        <v>2.8665E-2</v>
      </c>
      <c r="H35" s="68">
        <f t="shared" si="5"/>
        <v>5.7329999999999999E-2</v>
      </c>
      <c r="I35" s="68">
        <f t="shared" si="5"/>
        <v>9.4325000000000016E-3</v>
      </c>
      <c r="J35" s="68">
        <f t="shared" si="5"/>
        <v>2.4500000000000005E-4</v>
      </c>
      <c r="K35" s="68">
        <f t="shared" si="5"/>
        <v>6.1250000000000009E-4</v>
      </c>
      <c r="L35" s="68">
        <f t="shared" si="5"/>
        <v>1.6292500000000001E-2</v>
      </c>
      <c r="M35" s="68">
        <f t="shared" si="5"/>
        <v>1.53125E-2</v>
      </c>
      <c r="N35" s="68">
        <f t="shared" si="5"/>
        <v>65.586500000000001</v>
      </c>
      <c r="O35" s="68">
        <f t="shared" si="5"/>
        <v>10.963750000000001</v>
      </c>
      <c r="P35" s="68">
        <f t="shared" si="5"/>
        <v>0.20457500000000001</v>
      </c>
      <c r="Q35" s="68">
        <f t="shared" si="10"/>
        <v>11.08625</v>
      </c>
      <c r="R35" s="68">
        <f t="shared" si="11"/>
        <v>1.8374999999999999E-3</v>
      </c>
      <c r="S35" s="68">
        <f t="shared" si="11"/>
        <v>8.3300000000000023E-3</v>
      </c>
      <c r="T35" s="68">
        <f t="shared" si="11"/>
        <v>0</v>
      </c>
      <c r="U35" s="68">
        <f t="shared" si="11"/>
        <v>0</v>
      </c>
    </row>
    <row r="36" spans="1:21" s="51" customFormat="1" ht="13" x14ac:dyDescent="0.35">
      <c r="A36" s="10">
        <f>H8</f>
        <v>17</v>
      </c>
      <c r="B36" s="12">
        <v>250</v>
      </c>
      <c r="C36" s="68">
        <f t="shared" si="6"/>
        <v>6.125</v>
      </c>
      <c r="D36" s="68">
        <f t="shared" si="7"/>
        <v>2.6914095250000005</v>
      </c>
      <c r="E36" s="68">
        <f t="shared" si="8"/>
        <v>0.64654275000000005</v>
      </c>
      <c r="F36" s="68">
        <f t="shared" si="9"/>
        <v>1.1759779499999998</v>
      </c>
      <c r="G36" s="68">
        <f t="shared" si="5"/>
        <v>2.8665E-2</v>
      </c>
      <c r="H36" s="68">
        <f t="shared" si="5"/>
        <v>5.7329999999999999E-2</v>
      </c>
      <c r="I36" s="68">
        <f t="shared" si="5"/>
        <v>9.4325000000000016E-3</v>
      </c>
      <c r="J36" s="68">
        <f t="shared" si="5"/>
        <v>2.4500000000000005E-4</v>
      </c>
      <c r="K36" s="68">
        <f t="shared" si="5"/>
        <v>6.1250000000000009E-4</v>
      </c>
      <c r="L36" s="68">
        <f t="shared" si="5"/>
        <v>1.6292500000000001E-2</v>
      </c>
      <c r="M36" s="68">
        <f t="shared" si="5"/>
        <v>1.53125E-2</v>
      </c>
      <c r="N36" s="68">
        <f t="shared" si="5"/>
        <v>65.586500000000001</v>
      </c>
      <c r="O36" s="68">
        <f t="shared" si="5"/>
        <v>10.963750000000001</v>
      </c>
      <c r="P36" s="68">
        <f t="shared" si="5"/>
        <v>0.20457500000000001</v>
      </c>
      <c r="Q36" s="68">
        <f t="shared" si="10"/>
        <v>11.08625</v>
      </c>
      <c r="R36" s="68">
        <f t="shared" si="11"/>
        <v>1.8374999999999999E-3</v>
      </c>
      <c r="S36" s="68">
        <f t="shared" si="11"/>
        <v>8.3300000000000023E-3</v>
      </c>
      <c r="T36" s="68">
        <f t="shared" si="11"/>
        <v>0</v>
      </c>
      <c r="U36" s="68">
        <f t="shared" si="11"/>
        <v>0</v>
      </c>
    </row>
    <row r="37" spans="1:21" s="51" customFormat="1" ht="13" x14ac:dyDescent="0.35">
      <c r="A37" s="10">
        <f>I8</f>
        <v>18</v>
      </c>
      <c r="B37" s="12">
        <v>150</v>
      </c>
      <c r="C37" s="68">
        <f t="shared" si="6"/>
        <v>3.6750000000000003</v>
      </c>
      <c r="D37" s="68">
        <f t="shared" si="7"/>
        <v>1.6148457150000004</v>
      </c>
      <c r="E37" s="68">
        <f t="shared" si="8"/>
        <v>0.38792565000000001</v>
      </c>
      <c r="F37" s="68">
        <f t="shared" si="9"/>
        <v>0.70558676999999992</v>
      </c>
      <c r="G37" s="68">
        <f t="shared" si="5"/>
        <v>1.7198999999999999E-2</v>
      </c>
      <c r="H37" s="68">
        <f t="shared" si="5"/>
        <v>3.4397999999999998E-2</v>
      </c>
      <c r="I37" s="68">
        <f t="shared" si="5"/>
        <v>5.6595000000000013E-3</v>
      </c>
      <c r="J37" s="68">
        <f t="shared" si="5"/>
        <v>1.4700000000000002E-4</v>
      </c>
      <c r="K37" s="68">
        <f t="shared" si="5"/>
        <v>3.6750000000000004E-4</v>
      </c>
      <c r="L37" s="68">
        <f t="shared" si="5"/>
        <v>9.7754999999999995E-3</v>
      </c>
      <c r="M37" s="68">
        <f t="shared" si="5"/>
        <v>9.1874999999999995E-3</v>
      </c>
      <c r="N37" s="68">
        <f t="shared" si="5"/>
        <v>39.351900000000001</v>
      </c>
      <c r="O37" s="68">
        <f t="shared" si="5"/>
        <v>6.5782500000000006</v>
      </c>
      <c r="P37" s="68">
        <f t="shared" si="5"/>
        <v>0.12274499999999999</v>
      </c>
      <c r="Q37" s="68">
        <f t="shared" si="10"/>
        <v>6.6517499999999998</v>
      </c>
      <c r="R37" s="68">
        <f t="shared" si="11"/>
        <v>1.1025E-3</v>
      </c>
      <c r="S37" s="68">
        <f t="shared" si="11"/>
        <v>4.9980000000000007E-3</v>
      </c>
      <c r="T37" s="68">
        <f t="shared" si="11"/>
        <v>0</v>
      </c>
      <c r="U37" s="68">
        <f t="shared" si="11"/>
        <v>0</v>
      </c>
    </row>
    <row r="38" spans="1:21" s="51" customFormat="1" ht="13" x14ac:dyDescent="0.35">
      <c r="A38" s="10">
        <f>J8</f>
        <v>4968</v>
      </c>
      <c r="B38" s="12">
        <v>250</v>
      </c>
      <c r="C38" s="68">
        <f t="shared" si="6"/>
        <v>6.125</v>
      </c>
      <c r="D38" s="68">
        <f t="shared" si="7"/>
        <v>2.6914095250000005</v>
      </c>
      <c r="E38" s="68">
        <f t="shared" si="8"/>
        <v>0.64654275000000005</v>
      </c>
      <c r="F38" s="68">
        <f t="shared" si="9"/>
        <v>1.1759779499999998</v>
      </c>
      <c r="G38" s="68">
        <f t="shared" si="5"/>
        <v>2.8665E-2</v>
      </c>
      <c r="H38" s="68">
        <f t="shared" si="5"/>
        <v>5.7329999999999999E-2</v>
      </c>
      <c r="I38" s="68">
        <f t="shared" si="5"/>
        <v>9.4325000000000016E-3</v>
      </c>
      <c r="J38" s="68">
        <f t="shared" si="5"/>
        <v>2.4500000000000005E-4</v>
      </c>
      <c r="K38" s="68">
        <f t="shared" si="5"/>
        <v>6.1250000000000009E-4</v>
      </c>
      <c r="L38" s="68">
        <f t="shared" si="5"/>
        <v>1.6292500000000001E-2</v>
      </c>
      <c r="M38" s="68">
        <f t="shared" si="5"/>
        <v>1.53125E-2</v>
      </c>
      <c r="N38" s="68">
        <f t="shared" si="5"/>
        <v>65.586500000000001</v>
      </c>
      <c r="O38" s="68">
        <f t="shared" si="5"/>
        <v>10.963750000000001</v>
      </c>
      <c r="P38" s="68">
        <f t="shared" si="5"/>
        <v>0.20457500000000001</v>
      </c>
      <c r="Q38" s="68">
        <f t="shared" si="10"/>
        <v>11.08625</v>
      </c>
      <c r="R38" s="68">
        <f t="shared" si="11"/>
        <v>1.8374999999999999E-3</v>
      </c>
      <c r="S38" s="68">
        <f t="shared" si="11"/>
        <v>8.3300000000000023E-3</v>
      </c>
      <c r="T38" s="68">
        <f t="shared" si="11"/>
        <v>0</v>
      </c>
      <c r="U38" s="68">
        <f t="shared" si="11"/>
        <v>0</v>
      </c>
    </row>
    <row r="39" spans="1:21" s="51" customFormat="1" ht="13" x14ac:dyDescent="0.35">
      <c r="A39" s="10">
        <f>K8</f>
        <v>961</v>
      </c>
      <c r="B39" s="12">
        <v>250</v>
      </c>
      <c r="C39" s="68">
        <f t="shared" si="6"/>
        <v>6.125</v>
      </c>
      <c r="D39" s="68">
        <f t="shared" si="7"/>
        <v>2.6914095250000005</v>
      </c>
      <c r="E39" s="68">
        <f t="shared" si="8"/>
        <v>0.64654275000000005</v>
      </c>
      <c r="F39" s="68">
        <f t="shared" si="9"/>
        <v>1.1759779499999998</v>
      </c>
      <c r="G39" s="68">
        <f t="shared" si="5"/>
        <v>2.8665E-2</v>
      </c>
      <c r="H39" s="68">
        <f t="shared" si="5"/>
        <v>5.7329999999999999E-2</v>
      </c>
      <c r="I39" s="68">
        <f t="shared" si="5"/>
        <v>9.4325000000000016E-3</v>
      </c>
      <c r="J39" s="68">
        <f t="shared" si="5"/>
        <v>2.4500000000000005E-4</v>
      </c>
      <c r="K39" s="68">
        <f t="shared" si="5"/>
        <v>6.1250000000000009E-4</v>
      </c>
      <c r="L39" s="68">
        <f t="shared" si="5"/>
        <v>1.6292500000000001E-2</v>
      </c>
      <c r="M39" s="68">
        <f t="shared" si="5"/>
        <v>1.53125E-2</v>
      </c>
      <c r="N39" s="68">
        <f t="shared" si="5"/>
        <v>65.586500000000001</v>
      </c>
      <c r="O39" s="68">
        <f t="shared" si="5"/>
        <v>10.963750000000001</v>
      </c>
      <c r="P39" s="68">
        <f t="shared" si="5"/>
        <v>0.20457500000000001</v>
      </c>
      <c r="Q39" s="68">
        <f t="shared" si="10"/>
        <v>11.08625</v>
      </c>
      <c r="R39" s="68">
        <f t="shared" si="11"/>
        <v>1.8374999999999999E-3</v>
      </c>
      <c r="S39" s="68">
        <f t="shared" si="11"/>
        <v>8.3300000000000023E-3</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"&amp;(VLOOKUP(C14,Table245810[],6,FALSE))</f>
        <v>Medium/Clay I Grass</v>
      </c>
      <c r="C58" s="10" t="str">
        <f>D16&amp;" I "&amp;(VLOOKUP(D14,Table245810[],6,FALSE))</f>
        <v>Medium/Clay I Arable</v>
      </c>
      <c r="D58" s="10" t="str">
        <f>E16&amp;" I "&amp;(VLOOKUP(E14,Table245810[],6,FALSE))</f>
        <v>Medium/Clay I Arable</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Arable</v>
      </c>
      <c r="I58" s="10" t="str">
        <f>J16&amp;" I "&amp;(VLOOKUP(J14,Table245810[],6,FALSE))</f>
        <v>Medium/Clay I Grass</v>
      </c>
      <c r="J58" s="10" t="str">
        <f>K16&amp;" I "&amp;(VLOOKUP(K14,Table245810[],6,FALSE))</f>
        <v>Medium/Clay I Grass</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100" t="s">
        <v>132</v>
      </c>
      <c r="B59" s="67">
        <f>VLOOKUP(C$14,Table245810[],5,FALSE)</f>
        <v>6.2</v>
      </c>
      <c r="C59" s="67">
        <f>VLOOKUP(D$14,Table245810[],5,FALSE)</f>
        <v>6.7</v>
      </c>
      <c r="D59" s="67">
        <f>VLOOKUP(E$14,Table245810[],5,FALSE)</f>
        <v>6.7</v>
      </c>
      <c r="E59" s="67">
        <f>VLOOKUP(F$14,Table245810[],5,FALSE)</f>
        <v>6.2</v>
      </c>
      <c r="F59" s="67">
        <f>VLOOKUP(G$14,Table245810[],5,FALSE)</f>
        <v>6.2</v>
      </c>
      <c r="G59" s="67">
        <f>VLOOKUP(H$14,Table245810[],5,FALSE)</f>
        <v>6.2</v>
      </c>
      <c r="H59" s="67">
        <f>VLOOKUP(I$14,Table245810[],5,FALSE)</f>
        <v>6.7</v>
      </c>
      <c r="I59" s="67">
        <f>VLOOKUP(J$14,Table245810[],5,FALSE)</f>
        <v>6.2</v>
      </c>
      <c r="J59" s="67">
        <f>VLOOKUP(K$14,Table245810[],5,FALSE)</f>
        <v>6.2</v>
      </c>
      <c r="K59" s="67" t="e">
        <f>VLOOKUP(L$14,Table245810[],5,FALSE)</f>
        <v>#N/A</v>
      </c>
      <c r="L59" s="67" t="e">
        <f>VLOOKUP(M$14,Table245810[],5,FALSE)</f>
        <v>#N/A</v>
      </c>
      <c r="M59" s="67" t="e">
        <f>VLOOKUP(N$14,Table245810[],5,FALSE)</f>
        <v>#N/A</v>
      </c>
      <c r="N59" s="67" t="e">
        <f>VLOOKUP(O$14,Table245810[],5,FALSE)</f>
        <v>#N/A</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150</v>
      </c>
      <c r="D62" s="68">
        <f>B33</f>
        <v>150</v>
      </c>
      <c r="E62" s="68">
        <f>B34</f>
        <v>250</v>
      </c>
      <c r="F62" s="68">
        <f>B35</f>
        <v>250</v>
      </c>
      <c r="G62" s="68">
        <f>B36</f>
        <v>250</v>
      </c>
      <c r="H62" s="68">
        <f>B37</f>
        <v>150</v>
      </c>
      <c r="I62" s="68">
        <f>B38</f>
        <v>250</v>
      </c>
      <c r="J62" s="68">
        <f>B39</f>
        <v>250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T27" sqref="T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v>6.6</v>
      </c>
      <c r="J1" s="114" t="s">
        <v>153</v>
      </c>
      <c r="K1" s="114"/>
      <c r="L1" s="86">
        <v>33.799999999999997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173</v>
      </c>
      <c r="G2" s="112" t="s">
        <v>110</v>
      </c>
      <c r="H2" s="113"/>
      <c r="I2" s="86"/>
      <c r="J2" s="114" t="s">
        <v>158</v>
      </c>
      <c r="K2" s="114"/>
      <c r="L2" s="86">
        <v>1.07</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c r="J3" s="110" t="s">
        <v>154</v>
      </c>
      <c r="K3" s="111"/>
      <c r="L3" s="86">
        <f>(L1/(L2*10000))*100</f>
        <v>0.31588785046728968</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79.125641599999994</v>
      </c>
      <c r="D18" s="13">
        <f>$D32</f>
        <v>62.311442759999991</v>
      </c>
      <c r="E18" s="13">
        <f>$D33</f>
        <v>44.508173399999997</v>
      </c>
      <c r="F18" s="13">
        <f>$D34</f>
        <v>79.125641599999994</v>
      </c>
      <c r="G18" s="13">
        <f>$D35</f>
        <v>79.125641599999994</v>
      </c>
      <c r="H18" s="13">
        <f>$D36</f>
        <v>79.125641599999994</v>
      </c>
      <c r="I18" s="13">
        <f>$D37</f>
        <v>44.508173399999997</v>
      </c>
      <c r="J18" s="13">
        <f>$D38</f>
        <v>79.125641599999994</v>
      </c>
      <c r="K18" s="13">
        <f>$D39</f>
        <v>79.125641599999994</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-0.774358399999997</v>
      </c>
      <c r="D19" s="13">
        <f t="shared" ref="D19:V19" si="1">D18-D17</f>
        <v>-0.68855724000000151</v>
      </c>
      <c r="E19" s="13">
        <f t="shared" si="1"/>
        <v>-2.2418266000000031</v>
      </c>
      <c r="F19" s="13">
        <f t="shared" si="1"/>
        <v>-0.774358399999997</v>
      </c>
      <c r="G19" s="13">
        <f t="shared" si="1"/>
        <v>-0.774358399999997</v>
      </c>
      <c r="H19" s="13">
        <f t="shared" si="1"/>
        <v>-0.774358399999997</v>
      </c>
      <c r="I19" s="13">
        <f t="shared" si="1"/>
        <v>-2.2418266000000031</v>
      </c>
      <c r="J19" s="13">
        <f t="shared" si="1"/>
        <v>-0.774358399999997</v>
      </c>
      <c r="K19" s="13">
        <f t="shared" si="1"/>
        <v>-0.774358399999997</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11.6231408</v>
      </c>
      <c r="D22" s="13">
        <f>$E32</f>
        <v>9.15322338</v>
      </c>
      <c r="E22" s="13">
        <f>$E33</f>
        <v>6.5380167</v>
      </c>
      <c r="F22" s="13">
        <f>$E34</f>
        <v>11.6231408</v>
      </c>
      <c r="G22" s="13">
        <f>$E35</f>
        <v>11.6231408</v>
      </c>
      <c r="H22" s="13">
        <f>$E36</f>
        <v>11.6231408</v>
      </c>
      <c r="I22" s="13">
        <f>$E37</f>
        <v>6.5380167</v>
      </c>
      <c r="J22" s="13">
        <f>$E38</f>
        <v>11.6231408</v>
      </c>
      <c r="K22" s="13">
        <f>$E39</f>
        <v>11.6231408</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-270.37685920000001</v>
      </c>
      <c r="D23" s="13">
        <f t="shared" ref="D23:V23" si="3">D22-D21</f>
        <v>-188.84677662000001</v>
      </c>
      <c r="E23" s="13">
        <f t="shared" si="3"/>
        <v>-59.4619833</v>
      </c>
      <c r="F23" s="13">
        <f t="shared" si="3"/>
        <v>-270.37685920000001</v>
      </c>
      <c r="G23" s="13">
        <f t="shared" si="3"/>
        <v>-270.37685920000001</v>
      </c>
      <c r="H23" s="13">
        <f t="shared" si="3"/>
        <v>-270.37685920000001</v>
      </c>
      <c r="I23" s="13">
        <f t="shared" si="3"/>
        <v>-59.4619833</v>
      </c>
      <c r="J23" s="13">
        <f t="shared" si="3"/>
        <v>-270.37685920000001</v>
      </c>
      <c r="K23" s="13">
        <f t="shared" si="3"/>
        <v>-270.37685920000001</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17.2</v>
      </c>
      <c r="C28" s="12">
        <v>1.07</v>
      </c>
      <c r="D28" s="12">
        <v>0.251</v>
      </c>
      <c r="E28" s="12">
        <v>7.0099999999999996E-2</v>
      </c>
      <c r="F28" s="12">
        <v>1620</v>
      </c>
      <c r="G28" s="12">
        <v>53.3</v>
      </c>
      <c r="H28" s="12">
        <v>146</v>
      </c>
      <c r="I28" s="12">
        <v>9.9</v>
      </c>
      <c r="J28" s="12">
        <v>0.55000000000000004</v>
      </c>
      <c r="K28" s="16">
        <v>0.55000000000000004</v>
      </c>
      <c r="L28" s="12">
        <v>32.4</v>
      </c>
      <c r="M28" s="12">
        <v>21.2</v>
      </c>
      <c r="N28" s="12">
        <v>127000</v>
      </c>
      <c r="O28" s="12">
        <v>26900</v>
      </c>
      <c r="P28" s="12"/>
      <c r="Q28" s="12">
        <v>5550</v>
      </c>
      <c r="R28" s="12"/>
      <c r="S28" s="12">
        <v>19</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80</v>
      </c>
      <c r="C31" s="68">
        <f>IF(C$27="%w/w SAR",((C$28*10)*$B31),IF(C$27="%w/w DM",(((C$28*10)*($B$28/100))*$B31),IF(C$27="kg/t SAR",(C$28*$B31),IF(C$27="kg/t DM",((C$28*($B$28/100))*$B31),IF(C$27="mg/kg SAR",((C$28*0.001)*$B31),IF(C$27="mg/kg DM",(((C$28*0.001)*($B$28/100))*$B31),0))))))</f>
        <v>147.232</v>
      </c>
      <c r="D31" s="68">
        <f>(IF(D$27="%w/w SAR",((D$28*10)*$B31),IF(D$27="%w/w DM",(((D$28*10)*($B$28/100))*$B31),IF(D$27="kg/t SAR",(D$28*$B31),IF(D$27="kg/t DM",((D$28*($B$28/100))*$B31),IF(D$27="mg/kg SAR",((D$28*0.001)*$B31),IF(D$27="mg/kg DM",(((D$28*0.001)*($B$28/100))*$B31),"0")))))))*2.291</f>
        <v>79.125641599999994</v>
      </c>
      <c r="E31" s="68">
        <f>(IF(E$27="%w/w SAR",((E$28*10)*$B31),IF(E$27="%w/w DM",(((E$28*10)*($B$28/100))*$B31),IF(E$27="kg/t SAR",(E$28*$B31),IF(E$27="kg/t DM",((E$28*($B$28/100))*$B31),IF(E$27="mg/kg SAR",((E$28*0.001)*$B31),IF(E$27="mg/kg DM",(((E$28*0.001)*($B$28/100))*$B31),"0")))))))*1.205</f>
        <v>11.6231408</v>
      </c>
      <c r="F31" s="68">
        <f>(IF(F$27="%w/w SAR",((F$28*10)*$B31),IF(F$27="%w/w DM",(((F$28*10)*($B$28/100))*$B31),IF(F$27="kg/t SAR",(F$28*$B31),IF(F$27="kg/t DM",((F$28*($B$28/100))*$B31),IF(F$27="mg/kg SAR",((F$28*0.001)*$B31),IF(F$27="mg/kg DM",(((F$28*0.001)*($B$28/100))*$B31),"0")))))))*1.658</f>
        <v>36.958809599999995</v>
      </c>
      <c r="G31" s="68">
        <f t="shared" ref="G31:P46" si="5">IF(G$27="%w/w SAR",((G$28*10)*$B31),IF(G$27="%w/w DM",(((G$28*10)*($B$28/100))*$B31),IF(G$27="kg/t SAR",(G$28*$B31),IF(G$27="kg/t DM",((G$28*($B$28/100))*$B31),IF(G$27="mg/kg SAR",((G$28*0.001)*$B31),IF(G$27="mg/kg DM",(((G$28*0.001)*($B$28/100))*$B31),0))))))</f>
        <v>0.73340799999999995</v>
      </c>
      <c r="H31" s="68">
        <f t="shared" si="5"/>
        <v>2.0089599999999996</v>
      </c>
      <c r="I31" s="68">
        <f t="shared" si="5"/>
        <v>0.13622400000000001</v>
      </c>
      <c r="J31" s="68">
        <f t="shared" si="5"/>
        <v>7.5680000000000001E-3</v>
      </c>
      <c r="K31" s="68">
        <f t="shared" si="5"/>
        <v>7.5680000000000001E-3</v>
      </c>
      <c r="L31" s="68">
        <f t="shared" si="5"/>
        <v>0.44582399999999994</v>
      </c>
      <c r="M31" s="68">
        <f t="shared" si="5"/>
        <v>0.29171199999999997</v>
      </c>
      <c r="N31" s="68">
        <f t="shared" si="5"/>
        <v>1747.5199999999998</v>
      </c>
      <c r="O31" s="68">
        <f t="shared" si="5"/>
        <v>370.14400000000001</v>
      </c>
      <c r="P31" s="68">
        <f t="shared" si="5"/>
        <v>0</v>
      </c>
      <c r="Q31" s="68">
        <f>(IF(Q$27="%w/w SAR",((Q$28*10)*$B31),IF(Q$27="%w/w DM",(((Q$28*10)*($B$28/100))*$B31),IF(Q$27="kg/t SAR",(Q$28*$B31),IF(Q$27="kg/t DM",((Q$28*($B$28/100))*$B31),IF(Q$27="mg/kg SAR",((Q$28*0.001)*$B31),IF(Q$27="mg/kg DM",(((Q$28*0.001)*($B$28/100))*$B31),0)))))))*2.5</f>
        <v>190.92</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0.26143999999999995</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63</v>
      </c>
      <c r="C32" s="68">
        <f t="shared" ref="C32:C50" si="6">IF(C$27="%w/w SAR",((C$28*10)*$B32),IF(C$27="%w/w DM",(((C$28*10)*($B$28/100))*$B32),IF(C$27="kg/t SAR",(C$28*$B32),IF(C$27="kg/t DM",((C$28*($B$28/100))*$B32),IF(C$27="mg/kg SAR",((C$28*0.001)*$B32),IF(C$27="mg/kg DM",(((C$28*0.001)*($B$28/100))*$B32),0))))))</f>
        <v>115.9452</v>
      </c>
      <c r="D32" s="68">
        <f t="shared" ref="D32:D50" si="7">(IF(D$27="%w/w SAR",((D$28*10)*$B32),IF(D$27="%w/w DM",(((D$28*10)*($B$28/100))*$B32),IF(D$27="kg/t SAR",(D$28*$B32),IF(D$27="kg/t DM",((D$28*($B$28/100))*$B32),IF(D$27="mg/kg SAR",((D$28*0.001)*$B32),IF(D$27="mg/kg DM",(((D$28*0.001)*($B$28/100))*$B32),"0")))))))*2.291</f>
        <v>62.311442759999991</v>
      </c>
      <c r="E32" s="68">
        <f t="shared" ref="E32:E50" si="8">(IF(E$27="%w/w SAR",((E$28*10)*$B32),IF(E$27="%w/w DM",(((E$28*10)*($B$28/100))*$B32),IF(E$27="kg/t SAR",(E$28*$B32),IF(E$27="kg/t DM",((E$28*($B$28/100))*$B32),IF(E$27="mg/kg SAR",((E$28*0.001)*$B32),IF(E$27="mg/kg DM",(((E$28*0.001)*($B$28/100))*$B32),"0")))))))*1.205</f>
        <v>9.15322338</v>
      </c>
      <c r="F32" s="68">
        <f t="shared" ref="F32:F50" si="9">(IF(F$27="%w/w SAR",((F$28*10)*$B32),IF(F$27="%w/w DM",(((F$28*10)*($B$28/100))*$B32),IF(F$27="kg/t SAR",(F$28*$B32),IF(F$27="kg/t DM",((F$28*($B$28/100))*$B32),IF(F$27="mg/kg SAR",((F$28*0.001)*$B32),IF(F$27="mg/kg DM",(((F$28*0.001)*($B$28/100))*$B32),"0")))))))*1.658</f>
        <v>29.10506256</v>
      </c>
      <c r="G32" s="68">
        <f t="shared" si="5"/>
        <v>0.57755879999999993</v>
      </c>
      <c r="H32" s="68">
        <f t="shared" si="5"/>
        <v>1.5820559999999997</v>
      </c>
      <c r="I32" s="68">
        <f t="shared" si="5"/>
        <v>0.10727639999999999</v>
      </c>
      <c r="J32" s="68">
        <f t="shared" si="5"/>
        <v>5.9597999999999995E-3</v>
      </c>
      <c r="K32" s="68">
        <f t="shared" si="5"/>
        <v>5.9597999999999995E-3</v>
      </c>
      <c r="L32" s="68">
        <f t="shared" si="5"/>
        <v>0.35108639999999997</v>
      </c>
      <c r="M32" s="68">
        <f t="shared" si="5"/>
        <v>0.22972319999999999</v>
      </c>
      <c r="N32" s="68">
        <f t="shared" si="5"/>
        <v>1376.1719999999998</v>
      </c>
      <c r="O32" s="68">
        <f t="shared" si="5"/>
        <v>291.48840000000001</v>
      </c>
      <c r="P32" s="68">
        <f t="shared" si="5"/>
        <v>0</v>
      </c>
      <c r="Q32" s="68">
        <f t="shared" ref="Q32:Q50" si="10">(IF(Q$27="%w/w SAR",((Q$28*10)*$B32),IF(Q$27="%w/w DM",(((Q$28*10)*($B$28/100))*$B32),IF(Q$27="kg/t SAR",(Q$28*$B32),IF(Q$27="kg/t DM",((Q$28*($B$28/100))*$B32),IF(Q$27="mg/kg SAR",((Q$28*0.001)*$B32),IF(Q$27="mg/kg DM",(((Q$28*0.001)*($B$28/100))*$B32),0)))))))*2.5</f>
        <v>150.34949999999998</v>
      </c>
      <c r="R32" s="68">
        <f t="shared" ref="R32:U50" si="11">IF(R$27="%w/w SAR",((R$28*10)*$B32),IF(R$27="%w/w DM",(((R$28*10)*($B$28/100))*$B32),IF(R$27="kg/t SAR",(R$28*$B32),IF(R$27="kg/t DM",((R$28*($B$28/100))*$B32),IF(R$27="mg/kg SAR",((R$28*0.001)*$B32),IF(R$27="mg/kg DM",(((R$28*0.001)*($B$28/100))*$B32),0))))))</f>
        <v>0</v>
      </c>
      <c r="S32" s="68">
        <f t="shared" si="11"/>
        <v>0.20588399999999998</v>
      </c>
      <c r="T32" s="68">
        <f t="shared" si="11"/>
        <v>0</v>
      </c>
      <c r="U32" s="68">
        <f t="shared" si="11"/>
        <v>0</v>
      </c>
    </row>
    <row r="33" spans="1:21" s="51" customFormat="1" ht="13" x14ac:dyDescent="0.35">
      <c r="A33" s="10">
        <f>E8</f>
        <v>12</v>
      </c>
      <c r="B33" s="12">
        <v>45</v>
      </c>
      <c r="C33" s="68">
        <f t="shared" si="6"/>
        <v>82.817999999999998</v>
      </c>
      <c r="D33" s="68">
        <f t="shared" si="7"/>
        <v>44.508173399999997</v>
      </c>
      <c r="E33" s="68">
        <f t="shared" si="8"/>
        <v>6.5380167</v>
      </c>
      <c r="F33" s="68">
        <f t="shared" si="9"/>
        <v>20.789330400000001</v>
      </c>
      <c r="G33" s="68">
        <f t="shared" si="5"/>
        <v>0.41254199999999996</v>
      </c>
      <c r="H33" s="68">
        <f t="shared" si="5"/>
        <v>1.1300399999999997</v>
      </c>
      <c r="I33" s="68">
        <f t="shared" si="5"/>
        <v>7.6626E-2</v>
      </c>
      <c r="J33" s="68">
        <f t="shared" si="5"/>
        <v>4.2569999999999995E-3</v>
      </c>
      <c r="K33" s="68">
        <f t="shared" si="5"/>
        <v>4.2569999999999995E-3</v>
      </c>
      <c r="L33" s="68">
        <f t="shared" si="5"/>
        <v>0.25077599999999994</v>
      </c>
      <c r="M33" s="68">
        <f t="shared" si="5"/>
        <v>0.16408799999999998</v>
      </c>
      <c r="N33" s="68">
        <f t="shared" si="5"/>
        <v>982.9799999999999</v>
      </c>
      <c r="O33" s="68">
        <f t="shared" si="5"/>
        <v>208.20600000000002</v>
      </c>
      <c r="P33" s="68">
        <f t="shared" si="5"/>
        <v>0</v>
      </c>
      <c r="Q33" s="68">
        <f t="shared" si="10"/>
        <v>107.39249999999998</v>
      </c>
      <c r="R33" s="68">
        <f t="shared" si="11"/>
        <v>0</v>
      </c>
      <c r="S33" s="68">
        <f t="shared" si="11"/>
        <v>0.14706</v>
      </c>
      <c r="T33" s="68">
        <f t="shared" si="11"/>
        <v>0</v>
      </c>
      <c r="U33" s="68">
        <f t="shared" si="11"/>
        <v>0</v>
      </c>
    </row>
    <row r="34" spans="1:21" s="51" customFormat="1" ht="13" x14ac:dyDescent="0.35">
      <c r="A34" s="10">
        <f>F8</f>
        <v>15</v>
      </c>
      <c r="B34" s="12">
        <v>80</v>
      </c>
      <c r="C34" s="68">
        <f t="shared" si="6"/>
        <v>147.232</v>
      </c>
      <c r="D34" s="68">
        <f t="shared" si="7"/>
        <v>79.125641599999994</v>
      </c>
      <c r="E34" s="68">
        <f t="shared" si="8"/>
        <v>11.6231408</v>
      </c>
      <c r="F34" s="68">
        <f t="shared" si="9"/>
        <v>36.958809599999995</v>
      </c>
      <c r="G34" s="68">
        <f t="shared" si="5"/>
        <v>0.73340799999999995</v>
      </c>
      <c r="H34" s="68">
        <f t="shared" si="5"/>
        <v>2.0089599999999996</v>
      </c>
      <c r="I34" s="68">
        <f t="shared" si="5"/>
        <v>0.13622400000000001</v>
      </c>
      <c r="J34" s="68">
        <f t="shared" si="5"/>
        <v>7.5680000000000001E-3</v>
      </c>
      <c r="K34" s="68">
        <f t="shared" si="5"/>
        <v>7.5680000000000001E-3</v>
      </c>
      <c r="L34" s="68">
        <f t="shared" si="5"/>
        <v>0.44582399999999994</v>
      </c>
      <c r="M34" s="68">
        <f t="shared" si="5"/>
        <v>0.29171199999999997</v>
      </c>
      <c r="N34" s="68">
        <f t="shared" si="5"/>
        <v>1747.5199999999998</v>
      </c>
      <c r="O34" s="68">
        <f t="shared" si="5"/>
        <v>370.14400000000001</v>
      </c>
      <c r="P34" s="68">
        <f t="shared" si="5"/>
        <v>0</v>
      </c>
      <c r="Q34" s="68">
        <f t="shared" si="10"/>
        <v>190.92</v>
      </c>
      <c r="R34" s="68">
        <f t="shared" si="11"/>
        <v>0</v>
      </c>
      <c r="S34" s="68">
        <f t="shared" si="11"/>
        <v>0.26143999999999995</v>
      </c>
      <c r="T34" s="68">
        <f t="shared" si="11"/>
        <v>0</v>
      </c>
      <c r="U34" s="68">
        <f t="shared" si="11"/>
        <v>0</v>
      </c>
    </row>
    <row r="35" spans="1:21" s="51" customFormat="1" ht="13" x14ac:dyDescent="0.35">
      <c r="A35" s="10">
        <f>G8</f>
        <v>16</v>
      </c>
      <c r="B35" s="12">
        <v>80</v>
      </c>
      <c r="C35" s="68">
        <f t="shared" si="6"/>
        <v>147.232</v>
      </c>
      <c r="D35" s="68">
        <f t="shared" si="7"/>
        <v>79.125641599999994</v>
      </c>
      <c r="E35" s="68">
        <f t="shared" si="8"/>
        <v>11.6231408</v>
      </c>
      <c r="F35" s="68">
        <f t="shared" si="9"/>
        <v>36.958809599999995</v>
      </c>
      <c r="G35" s="68">
        <f t="shared" si="5"/>
        <v>0.73340799999999995</v>
      </c>
      <c r="H35" s="68">
        <f t="shared" si="5"/>
        <v>2.0089599999999996</v>
      </c>
      <c r="I35" s="68">
        <f t="shared" si="5"/>
        <v>0.13622400000000001</v>
      </c>
      <c r="J35" s="68">
        <f t="shared" si="5"/>
        <v>7.5680000000000001E-3</v>
      </c>
      <c r="K35" s="68">
        <f t="shared" si="5"/>
        <v>7.5680000000000001E-3</v>
      </c>
      <c r="L35" s="68">
        <f t="shared" si="5"/>
        <v>0.44582399999999994</v>
      </c>
      <c r="M35" s="68">
        <f t="shared" si="5"/>
        <v>0.29171199999999997</v>
      </c>
      <c r="N35" s="68">
        <f t="shared" si="5"/>
        <v>1747.5199999999998</v>
      </c>
      <c r="O35" s="68">
        <f t="shared" si="5"/>
        <v>370.14400000000001</v>
      </c>
      <c r="P35" s="68">
        <f t="shared" si="5"/>
        <v>0</v>
      </c>
      <c r="Q35" s="68">
        <f t="shared" si="10"/>
        <v>190.92</v>
      </c>
      <c r="R35" s="68">
        <f t="shared" si="11"/>
        <v>0</v>
      </c>
      <c r="S35" s="68">
        <f t="shared" si="11"/>
        <v>0.26143999999999995</v>
      </c>
      <c r="T35" s="68">
        <f t="shared" si="11"/>
        <v>0</v>
      </c>
      <c r="U35" s="68">
        <f t="shared" si="11"/>
        <v>0</v>
      </c>
    </row>
    <row r="36" spans="1:21" s="51" customFormat="1" ht="13" x14ac:dyDescent="0.35">
      <c r="A36" s="10">
        <f>H8</f>
        <v>17</v>
      </c>
      <c r="B36" s="12">
        <v>80</v>
      </c>
      <c r="C36" s="68">
        <f t="shared" si="6"/>
        <v>147.232</v>
      </c>
      <c r="D36" s="68">
        <f t="shared" si="7"/>
        <v>79.125641599999994</v>
      </c>
      <c r="E36" s="68">
        <f t="shared" si="8"/>
        <v>11.6231408</v>
      </c>
      <c r="F36" s="68">
        <f t="shared" si="9"/>
        <v>36.958809599999995</v>
      </c>
      <c r="G36" s="68">
        <f t="shared" si="5"/>
        <v>0.73340799999999995</v>
      </c>
      <c r="H36" s="68">
        <f t="shared" si="5"/>
        <v>2.0089599999999996</v>
      </c>
      <c r="I36" s="68">
        <f t="shared" si="5"/>
        <v>0.13622400000000001</v>
      </c>
      <c r="J36" s="68">
        <f t="shared" si="5"/>
        <v>7.5680000000000001E-3</v>
      </c>
      <c r="K36" s="68">
        <f t="shared" si="5"/>
        <v>7.5680000000000001E-3</v>
      </c>
      <c r="L36" s="68">
        <f t="shared" si="5"/>
        <v>0.44582399999999994</v>
      </c>
      <c r="M36" s="68">
        <f t="shared" si="5"/>
        <v>0.29171199999999997</v>
      </c>
      <c r="N36" s="68">
        <f t="shared" si="5"/>
        <v>1747.5199999999998</v>
      </c>
      <c r="O36" s="68">
        <f t="shared" si="5"/>
        <v>370.14400000000001</v>
      </c>
      <c r="P36" s="68">
        <f t="shared" si="5"/>
        <v>0</v>
      </c>
      <c r="Q36" s="68">
        <f t="shared" si="10"/>
        <v>190.92</v>
      </c>
      <c r="R36" s="68">
        <f t="shared" si="11"/>
        <v>0</v>
      </c>
      <c r="S36" s="68">
        <f t="shared" si="11"/>
        <v>0.26143999999999995</v>
      </c>
      <c r="T36" s="68">
        <f t="shared" si="11"/>
        <v>0</v>
      </c>
      <c r="U36" s="68">
        <f t="shared" si="11"/>
        <v>0</v>
      </c>
    </row>
    <row r="37" spans="1:21" s="51" customFormat="1" ht="13" x14ac:dyDescent="0.35">
      <c r="A37" s="10">
        <f>I8</f>
        <v>18</v>
      </c>
      <c r="B37" s="12">
        <v>45</v>
      </c>
      <c r="C37" s="68">
        <f t="shared" si="6"/>
        <v>82.817999999999998</v>
      </c>
      <c r="D37" s="68">
        <f t="shared" si="7"/>
        <v>44.508173399999997</v>
      </c>
      <c r="E37" s="68">
        <f t="shared" si="8"/>
        <v>6.5380167</v>
      </c>
      <c r="F37" s="68">
        <f t="shared" si="9"/>
        <v>20.789330400000001</v>
      </c>
      <c r="G37" s="68">
        <f t="shared" si="5"/>
        <v>0.41254199999999996</v>
      </c>
      <c r="H37" s="68">
        <f t="shared" si="5"/>
        <v>1.1300399999999997</v>
      </c>
      <c r="I37" s="68">
        <f t="shared" si="5"/>
        <v>7.6626E-2</v>
      </c>
      <c r="J37" s="68">
        <f t="shared" si="5"/>
        <v>4.2569999999999995E-3</v>
      </c>
      <c r="K37" s="68">
        <f t="shared" si="5"/>
        <v>4.2569999999999995E-3</v>
      </c>
      <c r="L37" s="68">
        <f t="shared" si="5"/>
        <v>0.25077599999999994</v>
      </c>
      <c r="M37" s="68">
        <f t="shared" si="5"/>
        <v>0.16408799999999998</v>
      </c>
      <c r="N37" s="68">
        <f t="shared" si="5"/>
        <v>982.9799999999999</v>
      </c>
      <c r="O37" s="68">
        <f t="shared" si="5"/>
        <v>208.20600000000002</v>
      </c>
      <c r="P37" s="68">
        <f t="shared" si="5"/>
        <v>0</v>
      </c>
      <c r="Q37" s="68">
        <f t="shared" si="10"/>
        <v>107.39249999999998</v>
      </c>
      <c r="R37" s="68">
        <f t="shared" si="11"/>
        <v>0</v>
      </c>
      <c r="S37" s="68">
        <f t="shared" si="11"/>
        <v>0.14706</v>
      </c>
      <c r="T37" s="68">
        <f t="shared" si="11"/>
        <v>0</v>
      </c>
      <c r="U37" s="68">
        <f t="shared" si="11"/>
        <v>0</v>
      </c>
    </row>
    <row r="38" spans="1:21" s="51" customFormat="1" ht="13" x14ac:dyDescent="0.35">
      <c r="A38" s="10">
        <f>J8</f>
        <v>4968</v>
      </c>
      <c r="B38" s="12">
        <v>80</v>
      </c>
      <c r="C38" s="68">
        <f t="shared" si="6"/>
        <v>147.232</v>
      </c>
      <c r="D38" s="68">
        <f t="shared" si="7"/>
        <v>79.125641599999994</v>
      </c>
      <c r="E38" s="68">
        <f t="shared" si="8"/>
        <v>11.6231408</v>
      </c>
      <c r="F38" s="68">
        <f t="shared" si="9"/>
        <v>36.958809599999995</v>
      </c>
      <c r="G38" s="68">
        <f t="shared" si="5"/>
        <v>0.73340799999999995</v>
      </c>
      <c r="H38" s="68">
        <f t="shared" si="5"/>
        <v>2.0089599999999996</v>
      </c>
      <c r="I38" s="68">
        <f t="shared" si="5"/>
        <v>0.13622400000000001</v>
      </c>
      <c r="J38" s="68">
        <f t="shared" si="5"/>
        <v>7.5680000000000001E-3</v>
      </c>
      <c r="K38" s="68">
        <f t="shared" si="5"/>
        <v>7.5680000000000001E-3</v>
      </c>
      <c r="L38" s="68">
        <f t="shared" si="5"/>
        <v>0.44582399999999994</v>
      </c>
      <c r="M38" s="68">
        <f t="shared" si="5"/>
        <v>0.29171199999999997</v>
      </c>
      <c r="N38" s="68">
        <f t="shared" si="5"/>
        <v>1747.5199999999998</v>
      </c>
      <c r="O38" s="68">
        <f t="shared" si="5"/>
        <v>370.14400000000001</v>
      </c>
      <c r="P38" s="68">
        <f t="shared" si="5"/>
        <v>0</v>
      </c>
      <c r="Q38" s="68">
        <f t="shared" si="10"/>
        <v>190.92</v>
      </c>
      <c r="R38" s="68">
        <f t="shared" si="11"/>
        <v>0</v>
      </c>
      <c r="S38" s="68">
        <f t="shared" si="11"/>
        <v>0.26143999999999995</v>
      </c>
      <c r="T38" s="68">
        <f t="shared" si="11"/>
        <v>0</v>
      </c>
      <c r="U38" s="68">
        <f t="shared" si="11"/>
        <v>0</v>
      </c>
    </row>
    <row r="39" spans="1:21" s="51" customFormat="1" ht="13" x14ac:dyDescent="0.35">
      <c r="A39" s="10">
        <f>K8</f>
        <v>961</v>
      </c>
      <c r="B39" s="12">
        <v>80</v>
      </c>
      <c r="C39" s="68">
        <f t="shared" si="6"/>
        <v>147.232</v>
      </c>
      <c r="D39" s="68">
        <f t="shared" si="7"/>
        <v>79.125641599999994</v>
      </c>
      <c r="E39" s="68">
        <f t="shared" si="8"/>
        <v>11.6231408</v>
      </c>
      <c r="F39" s="68">
        <f t="shared" si="9"/>
        <v>36.958809599999995</v>
      </c>
      <c r="G39" s="68">
        <f t="shared" si="5"/>
        <v>0.73340799999999995</v>
      </c>
      <c r="H39" s="68">
        <f t="shared" si="5"/>
        <v>2.0089599999999996</v>
      </c>
      <c r="I39" s="68">
        <f t="shared" si="5"/>
        <v>0.13622400000000001</v>
      </c>
      <c r="J39" s="68">
        <f t="shared" si="5"/>
        <v>7.5680000000000001E-3</v>
      </c>
      <c r="K39" s="68">
        <f t="shared" si="5"/>
        <v>7.5680000000000001E-3</v>
      </c>
      <c r="L39" s="68">
        <f t="shared" si="5"/>
        <v>0.44582399999999994</v>
      </c>
      <c r="M39" s="68">
        <f t="shared" si="5"/>
        <v>0.29171199999999997</v>
      </c>
      <c r="N39" s="68">
        <f t="shared" si="5"/>
        <v>1747.5199999999998</v>
      </c>
      <c r="O39" s="68">
        <f t="shared" si="5"/>
        <v>370.14400000000001</v>
      </c>
      <c r="P39" s="68">
        <f t="shared" si="5"/>
        <v>0</v>
      </c>
      <c r="Q39" s="68">
        <f t="shared" si="10"/>
        <v>190.92</v>
      </c>
      <c r="R39" s="68">
        <f t="shared" si="11"/>
        <v>0</v>
      </c>
      <c r="S39" s="68">
        <f t="shared" si="11"/>
        <v>0.26143999999999995</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"&amp;(VLOOKUP(C14,Table2458[],6,FALSE))</f>
        <v>Medium/Clay I Grass</v>
      </c>
      <c r="C58" s="10" t="str">
        <f>D16&amp;" I "&amp;(VLOOKUP(D14,Table2458[],6,FALSE))</f>
        <v>Medium/Clay I Arable</v>
      </c>
      <c r="D58" s="10" t="str">
        <f>E16&amp;" I "&amp;(VLOOKUP(E14,Table2458[],6,FALSE))</f>
        <v>Medium/Clay I Arable</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Arable</v>
      </c>
      <c r="I58" s="10" t="str">
        <f>J16&amp;" I "&amp;(VLOOKUP(J14,Table2458[],6,FALSE))</f>
        <v>Medium/Clay I Grass</v>
      </c>
      <c r="J58" s="10" t="str">
        <f>K16&amp;" I "&amp;(VLOOKUP(K14,Table2458[],6,FALSE))</f>
        <v>Medium/Clay I Grass</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100" t="s">
        <v>132</v>
      </c>
      <c r="B59" s="67">
        <f>VLOOKUP(C$14,Table2458[],5,FALSE)</f>
        <v>6.2</v>
      </c>
      <c r="C59" s="67">
        <f>VLOOKUP(D$14,Table2458[],5,FALSE)</f>
        <v>6.7</v>
      </c>
      <c r="D59" s="67">
        <f>VLOOKUP(E$14,Table2458[],5,FALSE)</f>
        <v>6.7</v>
      </c>
      <c r="E59" s="67">
        <f>VLOOKUP(F$14,Table2458[],5,FALSE)</f>
        <v>6.2</v>
      </c>
      <c r="F59" s="67">
        <f>VLOOKUP(G$14,Table2458[],5,FALSE)</f>
        <v>6.2</v>
      </c>
      <c r="G59" s="67">
        <f>VLOOKUP(H$14,Table2458[],5,FALSE)</f>
        <v>6.2</v>
      </c>
      <c r="H59" s="67">
        <f>VLOOKUP(I$14,Table2458[],5,FALSE)</f>
        <v>6.7</v>
      </c>
      <c r="I59" s="67">
        <f>VLOOKUP(J$14,Table2458[],5,FALSE)</f>
        <v>6.2</v>
      </c>
      <c r="J59" s="67">
        <f>VLOOKUP(K$14,Table2458[],5,FALSE)</f>
        <v>6.2</v>
      </c>
      <c r="K59" s="67" t="e">
        <f>VLOOKUP(L$14,Table2458[],5,FALSE)</f>
        <v>#N/A</v>
      </c>
      <c r="L59" s="67" t="e">
        <f>VLOOKUP(M$14,Table2458[],5,FALSE)</f>
        <v>#N/A</v>
      </c>
      <c r="M59" s="67" t="e">
        <f>VLOOKUP(N$14,Table2458[],5,FALSE)</f>
        <v>#N/A</v>
      </c>
      <c r="N59" s="67" t="e">
        <f>VLOOKUP(O$14,Table2458[],5,FALSE)</f>
        <v>#N/A</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80</v>
      </c>
      <c r="C62" s="68">
        <f>B32</f>
        <v>63</v>
      </c>
      <c r="D62" s="68">
        <f>B33</f>
        <v>45</v>
      </c>
      <c r="E62" s="68">
        <f>B34</f>
        <v>80</v>
      </c>
      <c r="F62" s="68">
        <f>B35</f>
        <v>80</v>
      </c>
      <c r="G62" s="68">
        <f>B36</f>
        <v>80</v>
      </c>
      <c r="H62" s="68">
        <f>B37</f>
        <v>45</v>
      </c>
      <c r="I62" s="68">
        <f>B38</f>
        <v>80</v>
      </c>
      <c r="J62" s="68">
        <f>B39</f>
        <v>80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D14" sqref="D1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c r="J1" s="114" t="s">
        <v>153</v>
      </c>
      <c r="K1" s="114"/>
      <c r="L1" s="86"/>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173</v>
      </c>
      <c r="G2" s="112" t="s">
        <v>110</v>
      </c>
      <c r="H2" s="113"/>
      <c r="I2" s="86"/>
      <c r="J2" s="114" t="s">
        <v>158</v>
      </c>
      <c r="K2" s="114"/>
      <c r="L2" s="86"/>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c r="J3" s="110" t="s">
        <v>154</v>
      </c>
      <c r="K3" s="111"/>
      <c r="L3" s="86" t="e">
        <f>(L1/(L2*10000))*100</f>
        <v>#DIV/0!</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61.068896000000009</v>
      </c>
      <c r="D18" s="13">
        <f>$D32</f>
        <v>61.068896000000009</v>
      </c>
      <c r="E18" s="13">
        <f>$D33</f>
        <v>45.038310800000005</v>
      </c>
      <c r="F18" s="13">
        <f>$D34</f>
        <v>61.068896000000009</v>
      </c>
      <c r="G18" s="13">
        <f>$D35</f>
        <v>61.068896000000009</v>
      </c>
      <c r="H18" s="13">
        <f>$D36</f>
        <v>61.068896000000009</v>
      </c>
      <c r="I18" s="13">
        <f>$D37</f>
        <v>45.038310800000005</v>
      </c>
      <c r="J18" s="13">
        <f>$D38</f>
        <v>61.068896000000009</v>
      </c>
      <c r="K18" s="13">
        <f>$D39</f>
        <v>61.068896000000009</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-18.831103999999982</v>
      </c>
      <c r="D19" s="13">
        <f t="shared" ref="D19:V19" si="1">D18-D17</f>
        <v>-1.9311039999999835</v>
      </c>
      <c r="E19" s="13">
        <f t="shared" si="1"/>
        <v>-1.711689199999995</v>
      </c>
      <c r="F19" s="13">
        <f t="shared" si="1"/>
        <v>-18.831103999999982</v>
      </c>
      <c r="G19" s="13">
        <f t="shared" si="1"/>
        <v>-18.831103999999982</v>
      </c>
      <c r="H19" s="13">
        <f t="shared" si="1"/>
        <v>-18.831103999999982</v>
      </c>
      <c r="I19" s="13">
        <f t="shared" si="1"/>
        <v>-1.711689199999995</v>
      </c>
      <c r="J19" s="13">
        <f t="shared" si="1"/>
        <v>-18.831103999999982</v>
      </c>
      <c r="K19" s="13">
        <f t="shared" si="1"/>
        <v>-18.831103999999982</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2.1894368000000002</v>
      </c>
      <c r="D22" s="13">
        <f>$E32</f>
        <v>2.1894368000000002</v>
      </c>
      <c r="E22" s="13">
        <f>$E33</f>
        <v>1.6147096399999998</v>
      </c>
      <c r="F22" s="13">
        <f>$E34</f>
        <v>2.1894368000000002</v>
      </c>
      <c r="G22" s="13">
        <f>$E35</f>
        <v>2.1894368000000002</v>
      </c>
      <c r="H22" s="13">
        <f>$E36</f>
        <v>2.1894368000000002</v>
      </c>
      <c r="I22" s="13">
        <f>$E37</f>
        <v>1.6147096399999998</v>
      </c>
      <c r="J22" s="13">
        <f>$E38</f>
        <v>2.1894368000000002</v>
      </c>
      <c r="K22" s="13">
        <f>$E39</f>
        <v>2.1894368000000002</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-279.81056319999999</v>
      </c>
      <c r="D23" s="13">
        <f t="shared" ref="D23:V23" si="3">D22-D21</f>
        <v>-195.81056320000002</v>
      </c>
      <c r="E23" s="13">
        <f t="shared" si="3"/>
        <v>-64.385290359999999</v>
      </c>
      <c r="F23" s="13">
        <f t="shared" si="3"/>
        <v>-279.81056319999999</v>
      </c>
      <c r="G23" s="13">
        <f t="shared" si="3"/>
        <v>-279.81056319999999</v>
      </c>
      <c r="H23" s="13">
        <f t="shared" si="3"/>
        <v>-279.81056319999999</v>
      </c>
      <c r="I23" s="13">
        <f t="shared" si="3"/>
        <v>-64.385290359999999</v>
      </c>
      <c r="J23" s="13">
        <f t="shared" si="3"/>
        <v>-279.81056319999999</v>
      </c>
      <c r="K23" s="13">
        <f t="shared" si="3"/>
        <v>-279.81056319999999</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13.6</v>
      </c>
      <c r="C28" s="12">
        <v>1.33</v>
      </c>
      <c r="D28" s="12">
        <v>0.245</v>
      </c>
      <c r="E28" s="12">
        <v>1.67E-2</v>
      </c>
      <c r="F28" s="12">
        <v>226</v>
      </c>
      <c r="G28" s="12">
        <v>21</v>
      </c>
      <c r="H28" s="12">
        <v>79.599999999999994</v>
      </c>
      <c r="I28" s="12">
        <v>31</v>
      </c>
      <c r="J28" s="12">
        <v>0.44</v>
      </c>
      <c r="K28" s="16">
        <v>0.75</v>
      </c>
      <c r="L28" s="12">
        <v>5.0999999999999996</v>
      </c>
      <c r="M28" s="12">
        <v>4.3</v>
      </c>
      <c r="N28" s="12">
        <v>126000</v>
      </c>
      <c r="O28" s="12">
        <v>30900</v>
      </c>
      <c r="P28" s="12"/>
      <c r="Q28" s="12">
        <v>4270</v>
      </c>
      <c r="R28" s="12"/>
      <c r="S28" s="12">
        <v>58.9</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80</v>
      </c>
      <c r="C31" s="68">
        <f>IF(C$27="%w/w SAR",((C$28*10)*$B31),IF(C$27="%w/w DM",(((C$28*10)*($B$28/100))*$B31),IF(C$27="kg/t SAR",(C$28*$B31),IF(C$27="kg/t DM",((C$28*($B$28/100))*$B31),IF(C$27="mg/kg SAR",((C$28*0.001)*$B31),IF(C$27="mg/kg DM",(((C$28*0.001)*($B$28/100))*$B31),0))))))</f>
        <v>144.70400000000001</v>
      </c>
      <c r="D31" s="68">
        <f>(IF(D$27="%w/w SAR",((D$28*10)*$B31),IF(D$27="%w/w DM",(((D$28*10)*($B$28/100))*$B31),IF(D$27="kg/t SAR",(D$28*$B31),IF(D$27="kg/t DM",((D$28*($B$28/100))*$B31),IF(D$27="mg/kg SAR",((D$28*0.001)*$B31),IF(D$27="mg/kg DM",(((D$28*0.001)*($B$28/100))*$B31),"0")))))))*2.291</f>
        <v>61.068896000000009</v>
      </c>
      <c r="E31" s="68">
        <f>(IF(E$27="%w/w SAR",((E$28*10)*$B31),IF(E$27="%w/w DM",(((E$28*10)*($B$28/100))*$B31),IF(E$27="kg/t SAR",(E$28*$B31),IF(E$27="kg/t DM",((E$28*($B$28/100))*$B31),IF(E$27="mg/kg SAR",((E$28*0.001)*$B31),IF(E$27="mg/kg DM",(((E$28*0.001)*($B$28/100))*$B31),"0")))))))*1.205</f>
        <v>2.1894368000000002</v>
      </c>
      <c r="F31" s="68">
        <f>(IF(F$27="%w/w SAR",((F$28*10)*$B31),IF(F$27="%w/w DM",(((F$28*10)*($B$28/100))*$B31),IF(F$27="kg/t SAR",(F$28*$B31),IF(F$27="kg/t DM",((F$28*($B$28/100))*$B31),IF(F$27="mg/kg SAR",((F$28*0.001)*$B31),IF(F$27="mg/kg DM",(((F$28*0.001)*($B$28/100))*$B31),"0")))))))*1.658</f>
        <v>4.0768230399999998</v>
      </c>
      <c r="G31" s="68">
        <f t="shared" ref="G31:P46" si="5">IF(G$27="%w/w SAR",((G$28*10)*$B31),IF(G$27="%w/w DM",(((G$28*10)*($B$28/100))*$B31),IF(G$27="kg/t SAR",(G$28*$B31),IF(G$27="kg/t DM",((G$28*($B$28/100))*$B31),IF(G$27="mg/kg SAR",((G$28*0.001)*$B31),IF(G$27="mg/kg DM",(((G$28*0.001)*($B$28/100))*$B31),0))))))</f>
        <v>0.22848000000000004</v>
      </c>
      <c r="H31" s="68">
        <f t="shared" si="5"/>
        <v>0.86604799999999993</v>
      </c>
      <c r="I31" s="68">
        <f t="shared" si="5"/>
        <v>0.33728000000000002</v>
      </c>
      <c r="J31" s="68">
        <f t="shared" si="5"/>
        <v>4.7872000000000001E-3</v>
      </c>
      <c r="K31" s="68">
        <f t="shared" si="5"/>
        <v>8.1600000000000006E-3</v>
      </c>
      <c r="L31" s="68">
        <f t="shared" si="5"/>
        <v>5.5487999999999996E-2</v>
      </c>
      <c r="M31" s="68">
        <f t="shared" si="5"/>
        <v>4.6783999999999999E-2</v>
      </c>
      <c r="N31" s="68">
        <f t="shared" si="5"/>
        <v>1370.88</v>
      </c>
      <c r="O31" s="68">
        <f t="shared" si="5"/>
        <v>336.19200000000006</v>
      </c>
      <c r="P31" s="68">
        <f t="shared" si="5"/>
        <v>0</v>
      </c>
      <c r="Q31" s="68">
        <f>(IF(Q$27="%w/w SAR",((Q$28*10)*$B31),IF(Q$27="%w/w DM",(((Q$28*10)*($B$28/100))*$B31),IF(Q$27="kg/t SAR",(Q$28*$B31),IF(Q$27="kg/t DM",((Q$28*($B$28/100))*$B31),IF(Q$27="mg/kg SAR",((Q$28*0.001)*$B31),IF(Q$27="mg/kg DM",(((Q$28*0.001)*($B$28/100))*$B31),0)))))))*2.5</f>
        <v>116.14400000000003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0.64083200000000007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80</v>
      </c>
      <c r="C32" s="68">
        <f t="shared" ref="C32:C50" si="6">IF(C$27="%w/w SAR",((C$28*10)*$B32),IF(C$27="%w/w DM",(((C$28*10)*($B$28/100))*$B32),IF(C$27="kg/t SAR",(C$28*$B32),IF(C$27="kg/t DM",((C$28*($B$28/100))*$B32),IF(C$27="mg/kg SAR",((C$28*0.001)*$B32),IF(C$27="mg/kg DM",(((C$28*0.001)*($B$28/100))*$B32),0))))))</f>
        <v>144.70400000000001</v>
      </c>
      <c r="D32" s="68">
        <f t="shared" ref="D32:D50" si="7">(IF(D$27="%w/w SAR",((D$28*10)*$B32),IF(D$27="%w/w DM",(((D$28*10)*($B$28/100))*$B32),IF(D$27="kg/t SAR",(D$28*$B32),IF(D$27="kg/t DM",((D$28*($B$28/100))*$B32),IF(D$27="mg/kg SAR",((D$28*0.001)*$B32),IF(D$27="mg/kg DM",(((D$28*0.001)*($B$28/100))*$B32),"0")))))))*2.291</f>
        <v>61.068896000000009</v>
      </c>
      <c r="E32" s="68">
        <f t="shared" ref="E32:E50" si="8">(IF(E$27="%w/w SAR",((E$28*10)*$B32),IF(E$27="%w/w DM",(((E$28*10)*($B$28/100))*$B32),IF(E$27="kg/t SAR",(E$28*$B32),IF(E$27="kg/t DM",((E$28*($B$28/100))*$B32),IF(E$27="mg/kg SAR",((E$28*0.001)*$B32),IF(E$27="mg/kg DM",(((E$28*0.001)*($B$28/100))*$B32),"0")))))))*1.205</f>
        <v>2.1894368000000002</v>
      </c>
      <c r="F32" s="68">
        <f t="shared" ref="F32:F50" si="9">(IF(F$27="%w/w SAR",((F$28*10)*$B32),IF(F$27="%w/w DM",(((F$28*10)*($B$28/100))*$B32),IF(F$27="kg/t SAR",(F$28*$B32),IF(F$27="kg/t DM",((F$28*($B$28/100))*$B32),IF(F$27="mg/kg SAR",((F$28*0.001)*$B32),IF(F$27="mg/kg DM",(((F$28*0.001)*($B$28/100))*$B32),"0")))))))*1.658</f>
        <v>4.0768230399999998</v>
      </c>
      <c r="G32" s="68">
        <f t="shared" si="5"/>
        <v>0.22848000000000004</v>
      </c>
      <c r="H32" s="68">
        <f t="shared" si="5"/>
        <v>0.86604799999999993</v>
      </c>
      <c r="I32" s="68">
        <f t="shared" si="5"/>
        <v>0.33728000000000002</v>
      </c>
      <c r="J32" s="68">
        <f t="shared" si="5"/>
        <v>4.7872000000000001E-3</v>
      </c>
      <c r="K32" s="68">
        <f t="shared" si="5"/>
        <v>8.1600000000000006E-3</v>
      </c>
      <c r="L32" s="68">
        <f t="shared" si="5"/>
        <v>5.5487999999999996E-2</v>
      </c>
      <c r="M32" s="68">
        <f t="shared" si="5"/>
        <v>4.6783999999999999E-2</v>
      </c>
      <c r="N32" s="68">
        <f t="shared" si="5"/>
        <v>1370.88</v>
      </c>
      <c r="O32" s="68">
        <f t="shared" si="5"/>
        <v>336.19200000000006</v>
      </c>
      <c r="P32" s="68">
        <f t="shared" si="5"/>
        <v>0</v>
      </c>
      <c r="Q32" s="68">
        <f t="shared" ref="Q32:Q50" si="10">(IF(Q$27="%w/w SAR",((Q$28*10)*$B32),IF(Q$27="%w/w DM",(((Q$28*10)*($B$28/100))*$B32),IF(Q$27="kg/t SAR",(Q$28*$B32),IF(Q$27="kg/t DM",((Q$28*($B$28/100))*$B32),IF(Q$27="mg/kg SAR",((Q$28*0.001)*$B32),IF(Q$27="mg/kg DM",(((Q$28*0.001)*($B$28/100))*$B32),0)))))))*2.5</f>
        <v>116.14400000000003</v>
      </c>
      <c r="R32" s="68">
        <f t="shared" ref="R32:U50" si="11">IF(R$27="%w/w SAR",((R$28*10)*$B32),IF(R$27="%w/w DM",(((R$28*10)*($B$28/100))*$B32),IF(R$27="kg/t SAR",(R$28*$B32),IF(R$27="kg/t DM",((R$28*($B$28/100))*$B32),IF(R$27="mg/kg SAR",((R$28*0.001)*$B32),IF(R$27="mg/kg DM",(((R$28*0.001)*($B$28/100))*$B32),0))))))</f>
        <v>0</v>
      </c>
      <c r="S32" s="68">
        <f t="shared" si="11"/>
        <v>0.64083200000000007</v>
      </c>
      <c r="T32" s="68">
        <f t="shared" si="11"/>
        <v>0</v>
      </c>
      <c r="U32" s="68">
        <f t="shared" si="11"/>
        <v>0</v>
      </c>
    </row>
    <row r="33" spans="1:21" s="51" customFormat="1" ht="13" x14ac:dyDescent="0.35">
      <c r="A33" s="10">
        <f>E8</f>
        <v>12</v>
      </c>
      <c r="B33" s="12">
        <v>59</v>
      </c>
      <c r="C33" s="68">
        <f t="shared" si="6"/>
        <v>106.71920000000001</v>
      </c>
      <c r="D33" s="68">
        <f t="shared" si="7"/>
        <v>45.038310800000005</v>
      </c>
      <c r="E33" s="68">
        <f t="shared" si="8"/>
        <v>1.6147096399999998</v>
      </c>
      <c r="F33" s="68">
        <f t="shared" si="9"/>
        <v>3.0066569919999999</v>
      </c>
      <c r="G33" s="68">
        <f t="shared" si="5"/>
        <v>0.16850400000000001</v>
      </c>
      <c r="H33" s="68">
        <f t="shared" si="5"/>
        <v>0.63871040000000001</v>
      </c>
      <c r="I33" s="68">
        <f t="shared" si="5"/>
        <v>0.24874400000000002</v>
      </c>
      <c r="J33" s="68">
        <f t="shared" si="5"/>
        <v>3.5305600000000003E-3</v>
      </c>
      <c r="K33" s="68">
        <f t="shared" si="5"/>
        <v>6.0180000000000008E-3</v>
      </c>
      <c r="L33" s="68">
        <f t="shared" si="5"/>
        <v>4.0922399999999998E-2</v>
      </c>
      <c r="M33" s="68">
        <f t="shared" si="5"/>
        <v>3.4503199999999998E-2</v>
      </c>
      <c r="N33" s="68">
        <f t="shared" si="5"/>
        <v>1011.0240000000001</v>
      </c>
      <c r="O33" s="68">
        <f t="shared" si="5"/>
        <v>247.94160000000005</v>
      </c>
      <c r="P33" s="68">
        <f t="shared" si="5"/>
        <v>0</v>
      </c>
      <c r="Q33" s="68">
        <f t="shared" si="10"/>
        <v>85.656200000000027</v>
      </c>
      <c r="R33" s="68">
        <f t="shared" si="11"/>
        <v>0</v>
      </c>
      <c r="S33" s="68">
        <f t="shared" si="11"/>
        <v>0.47261360000000008</v>
      </c>
      <c r="T33" s="68">
        <f t="shared" si="11"/>
        <v>0</v>
      </c>
      <c r="U33" s="68">
        <f t="shared" si="11"/>
        <v>0</v>
      </c>
    </row>
    <row r="34" spans="1:21" s="51" customFormat="1" ht="13" x14ac:dyDescent="0.35">
      <c r="A34" s="10">
        <f>F8</f>
        <v>15</v>
      </c>
      <c r="B34" s="12">
        <v>80</v>
      </c>
      <c r="C34" s="68">
        <f t="shared" si="6"/>
        <v>144.70400000000001</v>
      </c>
      <c r="D34" s="68">
        <f t="shared" si="7"/>
        <v>61.068896000000009</v>
      </c>
      <c r="E34" s="68">
        <f t="shared" si="8"/>
        <v>2.1894368000000002</v>
      </c>
      <c r="F34" s="68">
        <f t="shared" si="9"/>
        <v>4.0768230399999998</v>
      </c>
      <c r="G34" s="68">
        <f t="shared" si="5"/>
        <v>0.22848000000000004</v>
      </c>
      <c r="H34" s="68">
        <f t="shared" si="5"/>
        <v>0.86604799999999993</v>
      </c>
      <c r="I34" s="68">
        <f t="shared" si="5"/>
        <v>0.33728000000000002</v>
      </c>
      <c r="J34" s="68">
        <f t="shared" si="5"/>
        <v>4.7872000000000001E-3</v>
      </c>
      <c r="K34" s="68">
        <f t="shared" si="5"/>
        <v>8.1600000000000006E-3</v>
      </c>
      <c r="L34" s="68">
        <f t="shared" si="5"/>
        <v>5.5487999999999996E-2</v>
      </c>
      <c r="M34" s="68">
        <f t="shared" si="5"/>
        <v>4.6783999999999999E-2</v>
      </c>
      <c r="N34" s="68">
        <f t="shared" si="5"/>
        <v>1370.88</v>
      </c>
      <c r="O34" s="68">
        <f t="shared" si="5"/>
        <v>336.19200000000006</v>
      </c>
      <c r="P34" s="68">
        <f t="shared" si="5"/>
        <v>0</v>
      </c>
      <c r="Q34" s="68">
        <f t="shared" si="10"/>
        <v>116.14400000000003</v>
      </c>
      <c r="R34" s="68">
        <f t="shared" si="11"/>
        <v>0</v>
      </c>
      <c r="S34" s="68">
        <f t="shared" si="11"/>
        <v>0.64083200000000007</v>
      </c>
      <c r="T34" s="68">
        <f t="shared" si="11"/>
        <v>0</v>
      </c>
      <c r="U34" s="68">
        <f t="shared" si="11"/>
        <v>0</v>
      </c>
    </row>
    <row r="35" spans="1:21" s="51" customFormat="1" ht="13" x14ac:dyDescent="0.35">
      <c r="A35" s="10">
        <f>G8</f>
        <v>16</v>
      </c>
      <c r="B35" s="12">
        <v>80</v>
      </c>
      <c r="C35" s="68">
        <f t="shared" si="6"/>
        <v>144.70400000000001</v>
      </c>
      <c r="D35" s="68">
        <f t="shared" si="7"/>
        <v>61.068896000000009</v>
      </c>
      <c r="E35" s="68">
        <f t="shared" si="8"/>
        <v>2.1894368000000002</v>
      </c>
      <c r="F35" s="68">
        <f t="shared" si="9"/>
        <v>4.0768230399999998</v>
      </c>
      <c r="G35" s="68">
        <f t="shared" si="5"/>
        <v>0.22848000000000004</v>
      </c>
      <c r="H35" s="68">
        <f t="shared" si="5"/>
        <v>0.86604799999999993</v>
      </c>
      <c r="I35" s="68">
        <f t="shared" si="5"/>
        <v>0.33728000000000002</v>
      </c>
      <c r="J35" s="68">
        <f t="shared" si="5"/>
        <v>4.7872000000000001E-3</v>
      </c>
      <c r="K35" s="68">
        <f t="shared" si="5"/>
        <v>8.1600000000000006E-3</v>
      </c>
      <c r="L35" s="68">
        <f t="shared" si="5"/>
        <v>5.5487999999999996E-2</v>
      </c>
      <c r="M35" s="68">
        <f t="shared" si="5"/>
        <v>4.6783999999999999E-2</v>
      </c>
      <c r="N35" s="68">
        <f t="shared" si="5"/>
        <v>1370.88</v>
      </c>
      <c r="O35" s="68">
        <f t="shared" si="5"/>
        <v>336.19200000000006</v>
      </c>
      <c r="P35" s="68">
        <f t="shared" si="5"/>
        <v>0</v>
      </c>
      <c r="Q35" s="68">
        <f t="shared" si="10"/>
        <v>116.14400000000003</v>
      </c>
      <c r="R35" s="68">
        <f t="shared" si="11"/>
        <v>0</v>
      </c>
      <c r="S35" s="68">
        <f t="shared" si="11"/>
        <v>0.64083200000000007</v>
      </c>
      <c r="T35" s="68">
        <f t="shared" si="11"/>
        <v>0</v>
      </c>
      <c r="U35" s="68">
        <f t="shared" si="11"/>
        <v>0</v>
      </c>
    </row>
    <row r="36" spans="1:21" s="51" customFormat="1" ht="13" x14ac:dyDescent="0.35">
      <c r="A36" s="10">
        <f>H8</f>
        <v>17</v>
      </c>
      <c r="B36" s="12">
        <v>80</v>
      </c>
      <c r="C36" s="68">
        <f t="shared" si="6"/>
        <v>144.70400000000001</v>
      </c>
      <c r="D36" s="68">
        <f t="shared" si="7"/>
        <v>61.068896000000009</v>
      </c>
      <c r="E36" s="68">
        <f t="shared" si="8"/>
        <v>2.1894368000000002</v>
      </c>
      <c r="F36" s="68">
        <f t="shared" si="9"/>
        <v>4.0768230399999998</v>
      </c>
      <c r="G36" s="68">
        <f t="shared" si="5"/>
        <v>0.22848000000000004</v>
      </c>
      <c r="H36" s="68">
        <f t="shared" si="5"/>
        <v>0.86604799999999993</v>
      </c>
      <c r="I36" s="68">
        <f t="shared" si="5"/>
        <v>0.33728000000000002</v>
      </c>
      <c r="J36" s="68">
        <f t="shared" si="5"/>
        <v>4.7872000000000001E-3</v>
      </c>
      <c r="K36" s="68">
        <f t="shared" si="5"/>
        <v>8.1600000000000006E-3</v>
      </c>
      <c r="L36" s="68">
        <f t="shared" si="5"/>
        <v>5.5487999999999996E-2</v>
      </c>
      <c r="M36" s="68">
        <f t="shared" si="5"/>
        <v>4.6783999999999999E-2</v>
      </c>
      <c r="N36" s="68">
        <f t="shared" si="5"/>
        <v>1370.88</v>
      </c>
      <c r="O36" s="68">
        <f t="shared" si="5"/>
        <v>336.19200000000006</v>
      </c>
      <c r="P36" s="68">
        <f t="shared" si="5"/>
        <v>0</v>
      </c>
      <c r="Q36" s="68">
        <f t="shared" si="10"/>
        <v>116.14400000000003</v>
      </c>
      <c r="R36" s="68">
        <f t="shared" si="11"/>
        <v>0</v>
      </c>
      <c r="S36" s="68">
        <f t="shared" si="11"/>
        <v>0.64083200000000007</v>
      </c>
      <c r="T36" s="68">
        <f t="shared" si="11"/>
        <v>0</v>
      </c>
      <c r="U36" s="68">
        <f t="shared" si="11"/>
        <v>0</v>
      </c>
    </row>
    <row r="37" spans="1:21" s="51" customFormat="1" ht="13" x14ac:dyDescent="0.35">
      <c r="A37" s="10">
        <f>I8</f>
        <v>18</v>
      </c>
      <c r="B37" s="12">
        <v>59</v>
      </c>
      <c r="C37" s="68">
        <f t="shared" si="6"/>
        <v>106.71920000000001</v>
      </c>
      <c r="D37" s="68">
        <f t="shared" si="7"/>
        <v>45.038310800000005</v>
      </c>
      <c r="E37" s="68">
        <f t="shared" si="8"/>
        <v>1.6147096399999998</v>
      </c>
      <c r="F37" s="68">
        <f t="shared" si="9"/>
        <v>3.0066569919999999</v>
      </c>
      <c r="G37" s="68">
        <f t="shared" si="5"/>
        <v>0.16850400000000001</v>
      </c>
      <c r="H37" s="68">
        <f t="shared" si="5"/>
        <v>0.63871040000000001</v>
      </c>
      <c r="I37" s="68">
        <f t="shared" si="5"/>
        <v>0.24874400000000002</v>
      </c>
      <c r="J37" s="68">
        <f t="shared" si="5"/>
        <v>3.5305600000000003E-3</v>
      </c>
      <c r="K37" s="68">
        <f t="shared" si="5"/>
        <v>6.0180000000000008E-3</v>
      </c>
      <c r="L37" s="68">
        <f t="shared" si="5"/>
        <v>4.0922399999999998E-2</v>
      </c>
      <c r="M37" s="68">
        <f t="shared" si="5"/>
        <v>3.4503199999999998E-2</v>
      </c>
      <c r="N37" s="68">
        <f t="shared" si="5"/>
        <v>1011.0240000000001</v>
      </c>
      <c r="O37" s="68">
        <f t="shared" si="5"/>
        <v>247.94160000000005</v>
      </c>
      <c r="P37" s="68">
        <f t="shared" si="5"/>
        <v>0</v>
      </c>
      <c r="Q37" s="68">
        <f t="shared" si="10"/>
        <v>85.656200000000027</v>
      </c>
      <c r="R37" s="68">
        <f t="shared" si="11"/>
        <v>0</v>
      </c>
      <c r="S37" s="68">
        <f t="shared" si="11"/>
        <v>0.47261360000000008</v>
      </c>
      <c r="T37" s="68">
        <f t="shared" si="11"/>
        <v>0</v>
      </c>
      <c r="U37" s="68">
        <f t="shared" si="11"/>
        <v>0</v>
      </c>
    </row>
    <row r="38" spans="1:21" s="51" customFormat="1" ht="13" x14ac:dyDescent="0.35">
      <c r="A38" s="10">
        <f>J8</f>
        <v>4968</v>
      </c>
      <c r="B38" s="12">
        <v>80</v>
      </c>
      <c r="C38" s="68">
        <f t="shared" si="6"/>
        <v>144.70400000000001</v>
      </c>
      <c r="D38" s="68">
        <f t="shared" si="7"/>
        <v>61.068896000000009</v>
      </c>
      <c r="E38" s="68">
        <f t="shared" si="8"/>
        <v>2.1894368000000002</v>
      </c>
      <c r="F38" s="68">
        <f t="shared" si="9"/>
        <v>4.0768230399999998</v>
      </c>
      <c r="G38" s="68">
        <f t="shared" si="5"/>
        <v>0.22848000000000004</v>
      </c>
      <c r="H38" s="68">
        <f t="shared" si="5"/>
        <v>0.86604799999999993</v>
      </c>
      <c r="I38" s="68">
        <f t="shared" si="5"/>
        <v>0.33728000000000002</v>
      </c>
      <c r="J38" s="68">
        <f t="shared" si="5"/>
        <v>4.7872000000000001E-3</v>
      </c>
      <c r="K38" s="68">
        <f t="shared" si="5"/>
        <v>8.1600000000000006E-3</v>
      </c>
      <c r="L38" s="68">
        <f t="shared" si="5"/>
        <v>5.5487999999999996E-2</v>
      </c>
      <c r="M38" s="68">
        <f t="shared" si="5"/>
        <v>4.6783999999999999E-2</v>
      </c>
      <c r="N38" s="68">
        <f t="shared" si="5"/>
        <v>1370.88</v>
      </c>
      <c r="O38" s="68">
        <f t="shared" si="5"/>
        <v>336.19200000000006</v>
      </c>
      <c r="P38" s="68">
        <f t="shared" si="5"/>
        <v>0</v>
      </c>
      <c r="Q38" s="68">
        <f t="shared" si="10"/>
        <v>116.14400000000003</v>
      </c>
      <c r="R38" s="68">
        <f t="shared" si="11"/>
        <v>0</v>
      </c>
      <c r="S38" s="68">
        <f t="shared" si="11"/>
        <v>0.64083200000000007</v>
      </c>
      <c r="T38" s="68">
        <f t="shared" si="11"/>
        <v>0</v>
      </c>
      <c r="U38" s="68">
        <f t="shared" si="11"/>
        <v>0</v>
      </c>
    </row>
    <row r="39" spans="1:21" s="51" customFormat="1" ht="13" x14ac:dyDescent="0.35">
      <c r="A39" s="10">
        <f>K8</f>
        <v>961</v>
      </c>
      <c r="B39" s="12">
        <v>80</v>
      </c>
      <c r="C39" s="68">
        <f t="shared" si="6"/>
        <v>144.70400000000001</v>
      </c>
      <c r="D39" s="68">
        <f t="shared" si="7"/>
        <v>61.068896000000009</v>
      </c>
      <c r="E39" s="68">
        <f t="shared" si="8"/>
        <v>2.1894368000000002</v>
      </c>
      <c r="F39" s="68">
        <f t="shared" si="9"/>
        <v>4.0768230399999998</v>
      </c>
      <c r="G39" s="68">
        <f t="shared" si="5"/>
        <v>0.22848000000000004</v>
      </c>
      <c r="H39" s="68">
        <f t="shared" si="5"/>
        <v>0.86604799999999993</v>
      </c>
      <c r="I39" s="68">
        <f t="shared" si="5"/>
        <v>0.33728000000000002</v>
      </c>
      <c r="J39" s="68">
        <f t="shared" si="5"/>
        <v>4.7872000000000001E-3</v>
      </c>
      <c r="K39" s="68">
        <f t="shared" si="5"/>
        <v>8.1600000000000006E-3</v>
      </c>
      <c r="L39" s="68">
        <f t="shared" si="5"/>
        <v>5.5487999999999996E-2</v>
      </c>
      <c r="M39" s="68">
        <f t="shared" si="5"/>
        <v>4.6783999999999999E-2</v>
      </c>
      <c r="N39" s="68">
        <f t="shared" si="5"/>
        <v>1370.88</v>
      </c>
      <c r="O39" s="68">
        <f t="shared" si="5"/>
        <v>336.19200000000006</v>
      </c>
      <c r="P39" s="68">
        <f t="shared" si="5"/>
        <v>0</v>
      </c>
      <c r="Q39" s="68">
        <f t="shared" si="10"/>
        <v>116.14400000000003</v>
      </c>
      <c r="R39" s="68">
        <f t="shared" si="11"/>
        <v>0</v>
      </c>
      <c r="S39" s="68">
        <f t="shared" si="11"/>
        <v>0.64083200000000007</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"&amp;(VLOOKUP(C14,Table24581113[],6,FALSE))</f>
        <v>Medium/Clay I Grass</v>
      </c>
      <c r="C58" s="10" t="str">
        <f>D16&amp;" I "&amp;(VLOOKUP(D14,Table24581113[],6,FALSE))</f>
        <v>Medium/Clay I Arable</v>
      </c>
      <c r="D58" s="10" t="str">
        <f>E16&amp;" I "&amp;(VLOOKUP(E14,Table24581113[],6,FALSE))</f>
        <v>Medium/Clay I Arable</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Arable</v>
      </c>
      <c r="I58" s="10" t="str">
        <f>J16&amp;" I "&amp;(VLOOKUP(J14,Table24581113[],6,FALSE))</f>
        <v>Medium/Clay I Grass</v>
      </c>
      <c r="J58" s="10" t="str">
        <f>K16&amp;" I "&amp;(VLOOKUP(K14,Table24581113[],6,FALSE))</f>
        <v>Medium/Clay I Grass</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100" t="s">
        <v>132</v>
      </c>
      <c r="B59" s="67">
        <f>VLOOKUP(C$14,Table24581113[],5,FALSE)</f>
        <v>6.2</v>
      </c>
      <c r="C59" s="67">
        <f>VLOOKUP(D$14,Table24581113[],5,FALSE)</f>
        <v>6.7</v>
      </c>
      <c r="D59" s="67">
        <f>VLOOKUP(E$14,Table24581113[],5,FALSE)</f>
        <v>6.7</v>
      </c>
      <c r="E59" s="67">
        <f>VLOOKUP(F$14,Table24581113[],5,FALSE)</f>
        <v>6.2</v>
      </c>
      <c r="F59" s="67">
        <f>VLOOKUP(G$14,Table24581113[],5,FALSE)</f>
        <v>6.2</v>
      </c>
      <c r="G59" s="67">
        <f>VLOOKUP(H$14,Table24581113[],5,FALSE)</f>
        <v>6.2</v>
      </c>
      <c r="H59" s="67">
        <f>VLOOKUP(I$14,Table24581113[],5,FALSE)</f>
        <v>6.7</v>
      </c>
      <c r="I59" s="67">
        <f>VLOOKUP(J$14,Table24581113[],5,FALSE)</f>
        <v>6.2</v>
      </c>
      <c r="J59" s="67">
        <f>VLOOKUP(K$14,Table24581113[],5,FALSE)</f>
        <v>6.2</v>
      </c>
      <c r="K59" s="67" t="e">
        <f>VLOOKUP(L$14,Table24581113[],5,FALSE)</f>
        <v>#N/A</v>
      </c>
      <c r="L59" s="67" t="e">
        <f>VLOOKUP(M$14,Table24581113[],5,FALSE)</f>
        <v>#N/A</v>
      </c>
      <c r="M59" s="67" t="e">
        <f>VLOOKUP(N$14,Table24581113[],5,FALSE)</f>
        <v>#N/A</v>
      </c>
      <c r="N59" s="67" t="e">
        <f>VLOOKUP(O$14,Table24581113[],5,FALSE)</f>
        <v>#N/A</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80</v>
      </c>
      <c r="C62" s="68">
        <f>B32</f>
        <v>80</v>
      </c>
      <c r="D62" s="68">
        <f>B33</f>
        <v>59</v>
      </c>
      <c r="E62" s="68">
        <f>B34</f>
        <v>80</v>
      </c>
      <c r="F62" s="68">
        <f>B35</f>
        <v>80</v>
      </c>
      <c r="G62" s="68">
        <f>B36</f>
        <v>80</v>
      </c>
      <c r="H62" s="68">
        <f>B37</f>
        <v>59</v>
      </c>
      <c r="I62" s="68">
        <f>B38</f>
        <v>80</v>
      </c>
      <c r="J62" s="68">
        <f>B39</f>
        <v>80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4" sqref="G4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v>6.3</v>
      </c>
      <c r="J1" s="114" t="s">
        <v>153</v>
      </c>
      <c r="K1" s="114"/>
      <c r="L1" s="86">
        <v>50.4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173</v>
      </c>
      <c r="G2" s="112" t="s">
        <v>110</v>
      </c>
      <c r="H2" s="113"/>
      <c r="I2" s="86"/>
      <c r="J2" s="114" t="s">
        <v>158</v>
      </c>
      <c r="K2" s="114"/>
      <c r="L2" s="86">
        <v>1.3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c r="J3" s="110" t="s">
        <v>154</v>
      </c>
      <c r="K3" s="111"/>
      <c r="L3" s="86">
        <f>(L1/(L2*10000))*100</f>
        <v>0.38769230769230767</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179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55.822505999999997</v>
      </c>
      <c r="D18" s="13">
        <f>$D32</f>
        <v>55.822505999999997</v>
      </c>
      <c r="E18" s="13">
        <f>$D33</f>
        <v>44.658004799999993</v>
      </c>
      <c r="F18" s="13">
        <f>$D34</f>
        <v>55.822505999999997</v>
      </c>
      <c r="G18" s="13">
        <f>$D35</f>
        <v>55.822505999999997</v>
      </c>
      <c r="H18" s="13">
        <f>$D36</f>
        <v>55.822505999999997</v>
      </c>
      <c r="I18" s="13">
        <f>$D37</f>
        <v>44.658004799999993</v>
      </c>
      <c r="J18" s="13">
        <f>$D38</f>
        <v>55.822505999999997</v>
      </c>
      <c r="K18" s="13">
        <f>$D39</f>
        <v>55.822505999999997</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-24.077493999999994</v>
      </c>
      <c r="D19" s="13">
        <f t="shared" ref="D19:V19" si="1">D18-D17</f>
        <v>-7.1774939999999958</v>
      </c>
      <c r="E19" s="13">
        <f t="shared" si="1"/>
        <v>-2.0919952000000066</v>
      </c>
      <c r="F19" s="13">
        <f t="shared" si="1"/>
        <v>-24.077493999999994</v>
      </c>
      <c r="G19" s="13">
        <f t="shared" si="1"/>
        <v>-24.077493999999994</v>
      </c>
      <c r="H19" s="13">
        <f t="shared" si="1"/>
        <v>-24.077493999999994</v>
      </c>
      <c r="I19" s="13">
        <f t="shared" si="1"/>
        <v>-2.0919952000000066</v>
      </c>
      <c r="J19" s="13">
        <f t="shared" si="1"/>
        <v>-24.077493999999994</v>
      </c>
      <c r="K19" s="13">
        <f t="shared" si="1"/>
        <v>-24.077493999999994</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1.8350643750000002</v>
      </c>
      <c r="D22" s="13">
        <f>$E32</f>
        <v>1.8350643750000002</v>
      </c>
      <c r="E22" s="13">
        <f>$E33</f>
        <v>1.4680515000000001</v>
      </c>
      <c r="F22" s="13">
        <f>$E34</f>
        <v>1.8350643750000002</v>
      </c>
      <c r="G22" s="13">
        <f>$E35</f>
        <v>1.8350643750000002</v>
      </c>
      <c r="H22" s="13">
        <f>$E36</f>
        <v>1.8350643750000002</v>
      </c>
      <c r="I22" s="13">
        <f>$E37</f>
        <v>1.4680515000000001</v>
      </c>
      <c r="J22" s="13">
        <f>$E38</f>
        <v>1.8350643750000002</v>
      </c>
      <c r="K22" s="13">
        <f>$E39</f>
        <v>1.8350643750000002</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-280.164935625</v>
      </c>
      <c r="D23" s="13">
        <f t="shared" ref="D23:V23" si="3">D22-D21</f>
        <v>-196.16493562500003</v>
      </c>
      <c r="E23" s="13">
        <f t="shared" si="3"/>
        <v>-64.531948499999999</v>
      </c>
      <c r="F23" s="13">
        <f t="shared" si="3"/>
        <v>-280.164935625</v>
      </c>
      <c r="G23" s="13">
        <f t="shared" si="3"/>
        <v>-280.164935625</v>
      </c>
      <c r="H23" s="13">
        <f t="shared" si="3"/>
        <v>-280.164935625</v>
      </c>
      <c r="I23" s="13">
        <f t="shared" si="3"/>
        <v>-64.531948499999999</v>
      </c>
      <c r="J23" s="13">
        <f t="shared" si="3"/>
        <v>-280.164935625</v>
      </c>
      <c r="K23" s="13">
        <f t="shared" si="3"/>
        <v>-280.164935625</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13.1</v>
      </c>
      <c r="C28" s="12">
        <v>1.3</v>
      </c>
      <c r="D28" s="12">
        <v>0.248</v>
      </c>
      <c r="E28" s="12">
        <v>1.55E-2</v>
      </c>
      <c r="F28" s="12">
        <v>239</v>
      </c>
      <c r="G28" s="12">
        <v>20.2</v>
      </c>
      <c r="H28" s="12">
        <v>80.2</v>
      </c>
      <c r="I28" s="12">
        <v>46.7</v>
      </c>
      <c r="J28" s="12">
        <v>0.37</v>
      </c>
      <c r="K28" s="16">
        <v>0.76</v>
      </c>
      <c r="L28" s="12">
        <v>1.62</v>
      </c>
      <c r="M28" s="12">
        <v>4.3</v>
      </c>
      <c r="N28" s="12">
        <v>125000</v>
      </c>
      <c r="O28" s="12">
        <v>31000</v>
      </c>
      <c r="P28" s="12"/>
      <c r="Q28" s="12">
        <v>4450</v>
      </c>
      <c r="R28" s="12"/>
      <c r="S28" s="12">
        <v>68.7</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75</v>
      </c>
      <c r="C31" s="68">
        <f>IF(C$27="%w/w SAR",((C$28*10)*$B31),IF(C$27="%w/w DM",(((C$28*10)*($B$28/100))*$B31),IF(C$27="kg/t SAR",(C$28*$B31),IF(C$27="kg/t DM",((C$28*($B$28/100))*$B31),IF(C$27="mg/kg SAR",((C$28*0.001)*$B31),IF(C$27="mg/kg DM",(((C$28*0.001)*($B$28/100))*$B31),0))))))</f>
        <v>127.72500000000001</v>
      </c>
      <c r="D31" s="68">
        <f>(IF(D$27="%w/w SAR",((D$28*10)*$B31),IF(D$27="%w/w DM",(((D$28*10)*($B$28/100))*$B31),IF(D$27="kg/t SAR",(D$28*$B31),IF(D$27="kg/t DM",((D$28*($B$28/100))*$B31),IF(D$27="mg/kg SAR",((D$28*0.001)*$B31),IF(D$27="mg/kg DM",(((D$28*0.001)*($B$28/100))*$B31),"0")))))))*2.291</f>
        <v>55.822505999999997</v>
      </c>
      <c r="E31" s="68">
        <f>(IF(E$27="%w/w SAR",((E$28*10)*$B31),IF(E$27="%w/w DM",(((E$28*10)*($B$28/100))*$B31),IF(E$27="kg/t SAR",(E$28*$B31),IF(E$27="kg/t DM",((E$28*($B$28/100))*$B31),IF(E$27="mg/kg SAR",((E$28*0.001)*$B31),IF(E$27="mg/kg DM",(((E$28*0.001)*($B$28/100))*$B31),"0")))))))*1.205</f>
        <v>1.8350643750000002</v>
      </c>
      <c r="F31" s="68">
        <f>(IF(F$27="%w/w SAR",((F$28*10)*$B31),IF(F$27="%w/w DM",(((F$28*10)*($B$28/100))*$B31),IF(F$27="kg/t SAR",(F$28*$B31),IF(F$27="kg/t DM",((F$28*($B$28/100))*$B31),IF(F$27="mg/kg SAR",((F$28*0.001)*$B31),IF(F$27="mg/kg DM",(((F$28*0.001)*($B$28/100))*$B31),"0")))))))*1.658</f>
        <v>3.8932741500000003</v>
      </c>
      <c r="G31" s="68">
        <f t="shared" ref="G31:P46" si="5">IF(G$27="%w/w SAR",((G$28*10)*$B31),IF(G$27="%w/w DM",(((G$28*10)*($B$28/100))*$B31),IF(G$27="kg/t SAR",(G$28*$B31),IF(G$27="kg/t DM",((G$28*($B$28/100))*$B31),IF(G$27="mg/kg SAR",((G$28*0.001)*$B31),IF(G$27="mg/kg DM",(((G$28*0.001)*($B$28/100))*$B31),0))))))</f>
        <v>0.198465</v>
      </c>
      <c r="H31" s="68">
        <f t="shared" si="5"/>
        <v>0.78796500000000014</v>
      </c>
      <c r="I31" s="68">
        <f t="shared" si="5"/>
        <v>0.45882750000000005</v>
      </c>
      <c r="J31" s="68">
        <f t="shared" si="5"/>
        <v>3.63525E-3</v>
      </c>
      <c r="K31" s="68">
        <f t="shared" si="5"/>
        <v>7.4670000000000014E-3</v>
      </c>
      <c r="L31" s="68">
        <f t="shared" si="5"/>
        <v>1.5916500000000004E-2</v>
      </c>
      <c r="M31" s="68">
        <f t="shared" si="5"/>
        <v>4.22475E-2</v>
      </c>
      <c r="N31" s="68">
        <f t="shared" si="5"/>
        <v>1228.125</v>
      </c>
      <c r="O31" s="68">
        <f t="shared" si="5"/>
        <v>304.57499999999999</v>
      </c>
      <c r="P31" s="68">
        <f t="shared" si="5"/>
        <v>0</v>
      </c>
      <c r="Q31" s="68">
        <f>(IF(Q$27="%w/w SAR",((Q$28*10)*$B31),IF(Q$27="%w/w DM",(((Q$28*10)*($B$28/100))*$B31),IF(Q$27="kg/t SAR",(Q$28*$B31),IF(Q$27="kg/t DM",((Q$28*($B$28/100))*$B31),IF(Q$27="mg/kg SAR",((Q$28*0.001)*$B31),IF(Q$27="mg/kg DM",(((Q$28*0.001)*($B$28/100))*$B31),0)))))))*2.5</f>
        <v>109.30312500000001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0.67497750000000012</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75</v>
      </c>
      <c r="C32" s="68">
        <f t="shared" ref="C32:C50" si="6">IF(C$27="%w/w SAR",((C$28*10)*$B32),IF(C$27="%w/w DM",(((C$28*10)*($B$28/100))*$B32),IF(C$27="kg/t SAR",(C$28*$B32),IF(C$27="kg/t DM",((C$28*($B$28/100))*$B32),IF(C$27="mg/kg SAR",((C$28*0.001)*$B32),IF(C$27="mg/kg DM",(((C$28*0.001)*($B$28/100))*$B32),0))))))</f>
        <v>127.72500000000001</v>
      </c>
      <c r="D32" s="68">
        <f t="shared" ref="D32:D50" si="7">(IF(D$27="%w/w SAR",((D$28*10)*$B32),IF(D$27="%w/w DM",(((D$28*10)*($B$28/100))*$B32),IF(D$27="kg/t SAR",(D$28*$B32),IF(D$27="kg/t DM",((D$28*($B$28/100))*$B32),IF(D$27="mg/kg SAR",((D$28*0.001)*$B32),IF(D$27="mg/kg DM",(((D$28*0.001)*($B$28/100))*$B32),"0")))))))*2.291</f>
        <v>55.822505999999997</v>
      </c>
      <c r="E32" s="68">
        <f t="shared" ref="E32:E50" si="8">(IF(E$27="%w/w SAR",((E$28*10)*$B32),IF(E$27="%w/w DM",(((E$28*10)*($B$28/100))*$B32),IF(E$27="kg/t SAR",(E$28*$B32),IF(E$27="kg/t DM",((E$28*($B$28/100))*$B32),IF(E$27="mg/kg SAR",((E$28*0.001)*$B32),IF(E$27="mg/kg DM",(((E$28*0.001)*($B$28/100))*$B32),"0")))))))*1.205</f>
        <v>1.8350643750000002</v>
      </c>
      <c r="F32" s="68">
        <f t="shared" ref="F32:F50" si="9">(IF(F$27="%w/w SAR",((F$28*10)*$B32),IF(F$27="%w/w DM",(((F$28*10)*($B$28/100))*$B32),IF(F$27="kg/t SAR",(F$28*$B32),IF(F$27="kg/t DM",((F$28*($B$28/100))*$B32),IF(F$27="mg/kg SAR",((F$28*0.001)*$B32),IF(F$27="mg/kg DM",(((F$28*0.001)*($B$28/100))*$B32),"0")))))))*1.658</f>
        <v>3.8932741500000003</v>
      </c>
      <c r="G32" s="68">
        <f t="shared" si="5"/>
        <v>0.198465</v>
      </c>
      <c r="H32" s="68">
        <f t="shared" si="5"/>
        <v>0.78796500000000014</v>
      </c>
      <c r="I32" s="68">
        <f t="shared" si="5"/>
        <v>0.45882750000000005</v>
      </c>
      <c r="J32" s="68">
        <f t="shared" si="5"/>
        <v>3.63525E-3</v>
      </c>
      <c r="K32" s="68">
        <f t="shared" si="5"/>
        <v>7.4670000000000014E-3</v>
      </c>
      <c r="L32" s="68">
        <f t="shared" si="5"/>
        <v>1.5916500000000004E-2</v>
      </c>
      <c r="M32" s="68">
        <f t="shared" si="5"/>
        <v>4.22475E-2</v>
      </c>
      <c r="N32" s="68">
        <f t="shared" si="5"/>
        <v>1228.125</v>
      </c>
      <c r="O32" s="68">
        <f t="shared" si="5"/>
        <v>304.57499999999999</v>
      </c>
      <c r="P32" s="68">
        <f t="shared" si="5"/>
        <v>0</v>
      </c>
      <c r="Q32" s="68">
        <f t="shared" ref="Q32:Q50" si="10">(IF(Q$27="%w/w SAR",((Q$28*10)*$B32),IF(Q$27="%w/w DM",(((Q$28*10)*($B$28/100))*$B32),IF(Q$27="kg/t SAR",(Q$28*$B32),IF(Q$27="kg/t DM",((Q$28*($B$28/100))*$B32),IF(Q$27="mg/kg SAR",((Q$28*0.001)*$B32),IF(Q$27="mg/kg DM",(((Q$28*0.001)*($B$28/100))*$B32),0)))))))*2.5</f>
        <v>109.30312500000001</v>
      </c>
      <c r="R32" s="68">
        <f t="shared" ref="R32:U50" si="11">IF(R$27="%w/w SAR",((R$28*10)*$B32),IF(R$27="%w/w DM",(((R$28*10)*($B$28/100))*$B32),IF(R$27="kg/t SAR",(R$28*$B32),IF(R$27="kg/t DM",((R$28*($B$28/100))*$B32),IF(R$27="mg/kg SAR",((R$28*0.001)*$B32),IF(R$27="mg/kg DM",(((R$28*0.001)*($B$28/100))*$B32),0))))))</f>
        <v>0</v>
      </c>
      <c r="S32" s="68">
        <f t="shared" si="11"/>
        <v>0.67497750000000012</v>
      </c>
      <c r="T32" s="68">
        <f t="shared" si="11"/>
        <v>0</v>
      </c>
      <c r="U32" s="68">
        <f t="shared" si="11"/>
        <v>0</v>
      </c>
    </row>
    <row r="33" spans="1:21" s="51" customFormat="1" ht="13" x14ac:dyDescent="0.35">
      <c r="A33" s="10">
        <f>E8</f>
        <v>12</v>
      </c>
      <c r="B33" s="12">
        <v>60</v>
      </c>
      <c r="C33" s="68">
        <f t="shared" si="6"/>
        <v>102.18</v>
      </c>
      <c r="D33" s="68">
        <f t="shared" si="7"/>
        <v>44.658004799999993</v>
      </c>
      <c r="E33" s="68">
        <f t="shared" si="8"/>
        <v>1.4680515000000001</v>
      </c>
      <c r="F33" s="68">
        <f t="shared" si="9"/>
        <v>3.1146193200000001</v>
      </c>
      <c r="G33" s="68">
        <f t="shared" si="5"/>
        <v>0.158772</v>
      </c>
      <c r="H33" s="68">
        <f t="shared" si="5"/>
        <v>0.63037200000000015</v>
      </c>
      <c r="I33" s="68">
        <f t="shared" si="5"/>
        <v>0.36706200000000005</v>
      </c>
      <c r="J33" s="68">
        <f t="shared" si="5"/>
        <v>2.9082000000000001E-3</v>
      </c>
      <c r="K33" s="68">
        <f t="shared" si="5"/>
        <v>5.9736000000000008E-3</v>
      </c>
      <c r="L33" s="68">
        <f t="shared" si="5"/>
        <v>1.2733200000000002E-2</v>
      </c>
      <c r="M33" s="68">
        <f t="shared" si="5"/>
        <v>3.3798000000000002E-2</v>
      </c>
      <c r="N33" s="68">
        <f t="shared" si="5"/>
        <v>982.5</v>
      </c>
      <c r="O33" s="68">
        <f t="shared" si="5"/>
        <v>243.66</v>
      </c>
      <c r="P33" s="68">
        <f t="shared" si="5"/>
        <v>0</v>
      </c>
      <c r="Q33" s="68">
        <f t="shared" si="10"/>
        <v>87.44250000000001</v>
      </c>
      <c r="R33" s="68">
        <f t="shared" si="11"/>
        <v>0</v>
      </c>
      <c r="S33" s="68">
        <f t="shared" si="11"/>
        <v>0.53998200000000007</v>
      </c>
      <c r="T33" s="68">
        <f t="shared" si="11"/>
        <v>0</v>
      </c>
      <c r="U33" s="68">
        <f t="shared" si="11"/>
        <v>0</v>
      </c>
    </row>
    <row r="34" spans="1:21" s="51" customFormat="1" ht="13" x14ac:dyDescent="0.35">
      <c r="A34" s="10">
        <f>F8</f>
        <v>15</v>
      </c>
      <c r="B34" s="12">
        <v>75</v>
      </c>
      <c r="C34" s="68">
        <f t="shared" si="6"/>
        <v>127.72500000000001</v>
      </c>
      <c r="D34" s="68">
        <f t="shared" si="7"/>
        <v>55.822505999999997</v>
      </c>
      <c r="E34" s="68">
        <f t="shared" si="8"/>
        <v>1.8350643750000002</v>
      </c>
      <c r="F34" s="68">
        <f t="shared" si="9"/>
        <v>3.8932741500000003</v>
      </c>
      <c r="G34" s="68">
        <f t="shared" si="5"/>
        <v>0.198465</v>
      </c>
      <c r="H34" s="68">
        <f t="shared" si="5"/>
        <v>0.78796500000000014</v>
      </c>
      <c r="I34" s="68">
        <f t="shared" si="5"/>
        <v>0.45882750000000005</v>
      </c>
      <c r="J34" s="68">
        <f t="shared" si="5"/>
        <v>3.63525E-3</v>
      </c>
      <c r="K34" s="68">
        <f t="shared" si="5"/>
        <v>7.4670000000000014E-3</v>
      </c>
      <c r="L34" s="68">
        <f t="shared" si="5"/>
        <v>1.5916500000000004E-2</v>
      </c>
      <c r="M34" s="68">
        <f t="shared" si="5"/>
        <v>4.22475E-2</v>
      </c>
      <c r="N34" s="68">
        <f t="shared" si="5"/>
        <v>1228.125</v>
      </c>
      <c r="O34" s="68">
        <f t="shared" si="5"/>
        <v>304.57499999999999</v>
      </c>
      <c r="P34" s="68">
        <f t="shared" si="5"/>
        <v>0</v>
      </c>
      <c r="Q34" s="68">
        <f t="shared" si="10"/>
        <v>109.30312500000001</v>
      </c>
      <c r="R34" s="68">
        <f t="shared" si="11"/>
        <v>0</v>
      </c>
      <c r="S34" s="68">
        <f t="shared" si="11"/>
        <v>0.67497750000000012</v>
      </c>
      <c r="T34" s="68">
        <f t="shared" si="11"/>
        <v>0</v>
      </c>
      <c r="U34" s="68">
        <f t="shared" si="11"/>
        <v>0</v>
      </c>
    </row>
    <row r="35" spans="1:21" s="51" customFormat="1" ht="13" x14ac:dyDescent="0.35">
      <c r="A35" s="10">
        <f>G8</f>
        <v>16</v>
      </c>
      <c r="B35" s="12">
        <v>75</v>
      </c>
      <c r="C35" s="68">
        <f t="shared" si="6"/>
        <v>127.72500000000001</v>
      </c>
      <c r="D35" s="68">
        <f t="shared" si="7"/>
        <v>55.822505999999997</v>
      </c>
      <c r="E35" s="68">
        <f t="shared" si="8"/>
        <v>1.8350643750000002</v>
      </c>
      <c r="F35" s="68">
        <f t="shared" si="9"/>
        <v>3.8932741500000003</v>
      </c>
      <c r="G35" s="68">
        <f t="shared" si="5"/>
        <v>0.198465</v>
      </c>
      <c r="H35" s="68">
        <f t="shared" si="5"/>
        <v>0.78796500000000014</v>
      </c>
      <c r="I35" s="68">
        <f t="shared" si="5"/>
        <v>0.45882750000000005</v>
      </c>
      <c r="J35" s="68">
        <f t="shared" si="5"/>
        <v>3.63525E-3</v>
      </c>
      <c r="K35" s="68">
        <f t="shared" si="5"/>
        <v>7.4670000000000014E-3</v>
      </c>
      <c r="L35" s="68">
        <f t="shared" si="5"/>
        <v>1.5916500000000004E-2</v>
      </c>
      <c r="M35" s="68">
        <f t="shared" si="5"/>
        <v>4.22475E-2</v>
      </c>
      <c r="N35" s="68">
        <f t="shared" si="5"/>
        <v>1228.125</v>
      </c>
      <c r="O35" s="68">
        <f t="shared" si="5"/>
        <v>304.57499999999999</v>
      </c>
      <c r="P35" s="68">
        <f t="shared" si="5"/>
        <v>0</v>
      </c>
      <c r="Q35" s="68">
        <f t="shared" si="10"/>
        <v>109.30312500000001</v>
      </c>
      <c r="R35" s="68">
        <f t="shared" si="11"/>
        <v>0</v>
      </c>
      <c r="S35" s="68">
        <f t="shared" si="11"/>
        <v>0.67497750000000012</v>
      </c>
      <c r="T35" s="68">
        <f t="shared" si="11"/>
        <v>0</v>
      </c>
      <c r="U35" s="68">
        <f t="shared" si="11"/>
        <v>0</v>
      </c>
    </row>
    <row r="36" spans="1:21" s="51" customFormat="1" ht="13" x14ac:dyDescent="0.35">
      <c r="A36" s="10">
        <f>H8</f>
        <v>17</v>
      </c>
      <c r="B36" s="12">
        <v>75</v>
      </c>
      <c r="C36" s="68">
        <f t="shared" si="6"/>
        <v>127.72500000000001</v>
      </c>
      <c r="D36" s="68">
        <f t="shared" si="7"/>
        <v>55.822505999999997</v>
      </c>
      <c r="E36" s="68">
        <f t="shared" si="8"/>
        <v>1.8350643750000002</v>
      </c>
      <c r="F36" s="68">
        <f t="shared" si="9"/>
        <v>3.8932741500000003</v>
      </c>
      <c r="G36" s="68">
        <f t="shared" si="5"/>
        <v>0.198465</v>
      </c>
      <c r="H36" s="68">
        <f t="shared" si="5"/>
        <v>0.78796500000000014</v>
      </c>
      <c r="I36" s="68">
        <f t="shared" si="5"/>
        <v>0.45882750000000005</v>
      </c>
      <c r="J36" s="68">
        <f t="shared" si="5"/>
        <v>3.63525E-3</v>
      </c>
      <c r="K36" s="68">
        <f t="shared" si="5"/>
        <v>7.4670000000000014E-3</v>
      </c>
      <c r="L36" s="68">
        <f t="shared" si="5"/>
        <v>1.5916500000000004E-2</v>
      </c>
      <c r="M36" s="68">
        <f t="shared" si="5"/>
        <v>4.22475E-2</v>
      </c>
      <c r="N36" s="68">
        <f t="shared" si="5"/>
        <v>1228.125</v>
      </c>
      <c r="O36" s="68">
        <f t="shared" si="5"/>
        <v>304.57499999999999</v>
      </c>
      <c r="P36" s="68">
        <f t="shared" si="5"/>
        <v>0</v>
      </c>
      <c r="Q36" s="68">
        <f t="shared" si="10"/>
        <v>109.30312500000001</v>
      </c>
      <c r="R36" s="68">
        <f t="shared" si="11"/>
        <v>0</v>
      </c>
      <c r="S36" s="68">
        <f t="shared" si="11"/>
        <v>0.67497750000000012</v>
      </c>
      <c r="T36" s="68">
        <f t="shared" si="11"/>
        <v>0</v>
      </c>
      <c r="U36" s="68">
        <f t="shared" si="11"/>
        <v>0</v>
      </c>
    </row>
    <row r="37" spans="1:21" s="51" customFormat="1" ht="13" x14ac:dyDescent="0.35">
      <c r="A37" s="10">
        <f>I8</f>
        <v>18</v>
      </c>
      <c r="B37" s="12">
        <v>60</v>
      </c>
      <c r="C37" s="68">
        <f t="shared" si="6"/>
        <v>102.18</v>
      </c>
      <c r="D37" s="68">
        <f t="shared" si="7"/>
        <v>44.658004799999993</v>
      </c>
      <c r="E37" s="68">
        <f t="shared" si="8"/>
        <v>1.4680515000000001</v>
      </c>
      <c r="F37" s="68">
        <f t="shared" si="9"/>
        <v>3.1146193200000001</v>
      </c>
      <c r="G37" s="68">
        <f t="shared" si="5"/>
        <v>0.158772</v>
      </c>
      <c r="H37" s="68">
        <f t="shared" si="5"/>
        <v>0.63037200000000015</v>
      </c>
      <c r="I37" s="68">
        <f t="shared" si="5"/>
        <v>0.36706200000000005</v>
      </c>
      <c r="J37" s="68">
        <f t="shared" si="5"/>
        <v>2.9082000000000001E-3</v>
      </c>
      <c r="K37" s="68">
        <f t="shared" si="5"/>
        <v>5.9736000000000008E-3</v>
      </c>
      <c r="L37" s="68">
        <f t="shared" si="5"/>
        <v>1.2733200000000002E-2</v>
      </c>
      <c r="M37" s="68">
        <f t="shared" si="5"/>
        <v>3.3798000000000002E-2</v>
      </c>
      <c r="N37" s="68">
        <f t="shared" si="5"/>
        <v>982.5</v>
      </c>
      <c r="O37" s="68">
        <f t="shared" si="5"/>
        <v>243.66</v>
      </c>
      <c r="P37" s="68">
        <f t="shared" si="5"/>
        <v>0</v>
      </c>
      <c r="Q37" s="68">
        <f t="shared" si="10"/>
        <v>87.44250000000001</v>
      </c>
      <c r="R37" s="68">
        <f t="shared" si="11"/>
        <v>0</v>
      </c>
      <c r="S37" s="68">
        <f t="shared" si="11"/>
        <v>0.53998200000000007</v>
      </c>
      <c r="T37" s="68">
        <f t="shared" si="11"/>
        <v>0</v>
      </c>
      <c r="U37" s="68">
        <f t="shared" si="11"/>
        <v>0</v>
      </c>
    </row>
    <row r="38" spans="1:21" s="51" customFormat="1" ht="13" x14ac:dyDescent="0.35">
      <c r="A38" s="10">
        <f>J8</f>
        <v>4968</v>
      </c>
      <c r="B38" s="12">
        <v>75</v>
      </c>
      <c r="C38" s="68">
        <f t="shared" si="6"/>
        <v>127.72500000000001</v>
      </c>
      <c r="D38" s="68">
        <f t="shared" si="7"/>
        <v>55.822505999999997</v>
      </c>
      <c r="E38" s="68">
        <f t="shared" si="8"/>
        <v>1.8350643750000002</v>
      </c>
      <c r="F38" s="68">
        <f t="shared" si="9"/>
        <v>3.8932741500000003</v>
      </c>
      <c r="G38" s="68">
        <f t="shared" si="5"/>
        <v>0.198465</v>
      </c>
      <c r="H38" s="68">
        <f t="shared" si="5"/>
        <v>0.78796500000000014</v>
      </c>
      <c r="I38" s="68">
        <f t="shared" si="5"/>
        <v>0.45882750000000005</v>
      </c>
      <c r="J38" s="68">
        <f t="shared" si="5"/>
        <v>3.63525E-3</v>
      </c>
      <c r="K38" s="68">
        <f t="shared" si="5"/>
        <v>7.4670000000000014E-3</v>
      </c>
      <c r="L38" s="68">
        <f t="shared" si="5"/>
        <v>1.5916500000000004E-2</v>
      </c>
      <c r="M38" s="68">
        <f t="shared" si="5"/>
        <v>4.22475E-2</v>
      </c>
      <c r="N38" s="68">
        <f t="shared" si="5"/>
        <v>1228.125</v>
      </c>
      <c r="O38" s="68">
        <f t="shared" si="5"/>
        <v>304.57499999999999</v>
      </c>
      <c r="P38" s="68">
        <f t="shared" si="5"/>
        <v>0</v>
      </c>
      <c r="Q38" s="68">
        <f t="shared" si="10"/>
        <v>109.30312500000001</v>
      </c>
      <c r="R38" s="68">
        <f t="shared" si="11"/>
        <v>0</v>
      </c>
      <c r="S38" s="68">
        <f t="shared" si="11"/>
        <v>0.67497750000000012</v>
      </c>
      <c r="T38" s="68">
        <f t="shared" si="11"/>
        <v>0</v>
      </c>
      <c r="U38" s="68">
        <f t="shared" si="11"/>
        <v>0</v>
      </c>
    </row>
    <row r="39" spans="1:21" s="51" customFormat="1" ht="13" x14ac:dyDescent="0.35">
      <c r="A39" s="10">
        <f>K8</f>
        <v>961</v>
      </c>
      <c r="B39" s="12">
        <v>75</v>
      </c>
      <c r="C39" s="68">
        <f t="shared" si="6"/>
        <v>127.72500000000001</v>
      </c>
      <c r="D39" s="68">
        <f t="shared" si="7"/>
        <v>55.822505999999997</v>
      </c>
      <c r="E39" s="68">
        <f t="shared" si="8"/>
        <v>1.8350643750000002</v>
      </c>
      <c r="F39" s="68">
        <f t="shared" si="9"/>
        <v>3.8932741500000003</v>
      </c>
      <c r="G39" s="68">
        <f t="shared" si="5"/>
        <v>0.198465</v>
      </c>
      <c r="H39" s="68">
        <f t="shared" si="5"/>
        <v>0.78796500000000014</v>
      </c>
      <c r="I39" s="68">
        <f t="shared" si="5"/>
        <v>0.45882750000000005</v>
      </c>
      <c r="J39" s="68">
        <f t="shared" si="5"/>
        <v>3.63525E-3</v>
      </c>
      <c r="K39" s="68">
        <f t="shared" si="5"/>
        <v>7.4670000000000014E-3</v>
      </c>
      <c r="L39" s="68">
        <f t="shared" si="5"/>
        <v>1.5916500000000004E-2</v>
      </c>
      <c r="M39" s="68">
        <f t="shared" si="5"/>
        <v>4.22475E-2</v>
      </c>
      <c r="N39" s="68">
        <f t="shared" si="5"/>
        <v>1228.125</v>
      </c>
      <c r="O39" s="68">
        <f t="shared" si="5"/>
        <v>304.57499999999999</v>
      </c>
      <c r="P39" s="68">
        <f t="shared" si="5"/>
        <v>0</v>
      </c>
      <c r="Q39" s="68">
        <f t="shared" si="10"/>
        <v>109.30312500000001</v>
      </c>
      <c r="R39" s="68">
        <f t="shared" si="11"/>
        <v>0</v>
      </c>
      <c r="S39" s="68">
        <f t="shared" si="11"/>
        <v>0.67497750000000012</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"&amp;(VLOOKUP(C14,Table24567[],6,FALSE))</f>
        <v>Medium/Clay I Grass</v>
      </c>
      <c r="C58" s="10" t="str">
        <f>D16&amp;" I "&amp;(VLOOKUP(D14,Table24567[],6,FALSE))</f>
        <v>Medium/Clay I Arable</v>
      </c>
      <c r="D58" s="10" t="str">
        <f>E16&amp;" I "&amp;(VLOOKUP(E14,Table24567[],6,FALSE))</f>
        <v>Medium/Clay I Arable</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Arable</v>
      </c>
      <c r="I58" s="10" t="str">
        <f>J16&amp;" I "&amp;(VLOOKUP(J14,Table24567[],6,FALSE))</f>
        <v>Medium/Clay I Grass</v>
      </c>
      <c r="J58" s="10" t="str">
        <f>K16&amp;" I "&amp;(VLOOKUP(K14,Table24567[],6,FALSE))</f>
        <v>Medium/Clay I Grass</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100" t="s">
        <v>132</v>
      </c>
      <c r="B59" s="67">
        <f>VLOOKUP(C$14,Table24567[],5,FALSE)</f>
        <v>6.2</v>
      </c>
      <c r="C59" s="67">
        <f>VLOOKUP(D$14,Table24567[],5,FALSE)</f>
        <v>6.7</v>
      </c>
      <c r="D59" s="67">
        <f>VLOOKUP(E$14,Table24567[],5,FALSE)</f>
        <v>6.7</v>
      </c>
      <c r="E59" s="67">
        <f>VLOOKUP(F$14,Table24567[],5,FALSE)</f>
        <v>6.2</v>
      </c>
      <c r="F59" s="67">
        <f>VLOOKUP(G$14,Table24567[],5,FALSE)</f>
        <v>6.2</v>
      </c>
      <c r="G59" s="67">
        <f>VLOOKUP(H$14,Table24567[],5,FALSE)</f>
        <v>6.2</v>
      </c>
      <c r="H59" s="67">
        <f>VLOOKUP(I$14,Table24567[],5,FALSE)</f>
        <v>6.7</v>
      </c>
      <c r="I59" s="67">
        <f>VLOOKUP(J$14,Table24567[],5,FALSE)</f>
        <v>6.2</v>
      </c>
      <c r="J59" s="67">
        <f>VLOOKUP(K$14,Table24567[],5,FALSE)</f>
        <v>6.2</v>
      </c>
      <c r="K59" s="67" t="e">
        <f>VLOOKUP(L$14,Table24567[],5,FALSE)</f>
        <v>#N/A</v>
      </c>
      <c r="L59" s="67" t="e">
        <f>VLOOKUP(M$14,Table24567[],5,FALSE)</f>
        <v>#N/A</v>
      </c>
      <c r="M59" s="67" t="e">
        <f>VLOOKUP(N$14,Table24567[],5,FALSE)</f>
        <v>#N/A</v>
      </c>
      <c r="N59" s="67" t="e">
        <f>VLOOKUP(O$14,Table24567[],5,FALSE)</f>
        <v>#N/A</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75</v>
      </c>
      <c r="C62" s="68">
        <f>B32</f>
        <v>75</v>
      </c>
      <c r="D62" s="68">
        <f>B33</f>
        <v>60</v>
      </c>
      <c r="E62" s="68">
        <f>B34</f>
        <v>75</v>
      </c>
      <c r="F62" s="68">
        <f>B35</f>
        <v>75</v>
      </c>
      <c r="G62" s="68">
        <f>B36</f>
        <v>75</v>
      </c>
      <c r="H62" s="68">
        <f>B37</f>
        <v>60</v>
      </c>
      <c r="I62" s="68">
        <f>B38</f>
        <v>75</v>
      </c>
      <c r="J62" s="68">
        <f>B39</f>
        <v>75</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F20" sqref="F2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'Dairy Partners'!C1:D1</f>
        <v>PAN-026593</v>
      </c>
      <c r="D1" s="128"/>
      <c r="E1" s="83" t="s">
        <v>45</v>
      </c>
      <c r="F1" s="32">
        <f>'Dairy Partners'!F1</f>
        <v>47.7</v>
      </c>
      <c r="G1" s="110" t="s">
        <v>43</v>
      </c>
      <c r="H1" s="111"/>
      <c r="I1" s="86">
        <v>6.6</v>
      </c>
      <c r="J1" s="114" t="s">
        <v>153</v>
      </c>
      <c r="K1" s="114"/>
      <c r="L1" s="86">
        <v>28.6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173</v>
      </c>
      <c r="G2" s="112" t="s">
        <v>110</v>
      </c>
      <c r="H2" s="113"/>
      <c r="I2" s="86"/>
      <c r="J2" s="114" t="s">
        <v>158</v>
      </c>
      <c r="K2" s="114"/>
      <c r="L2" s="86">
        <v>1.53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78</v>
      </c>
      <c r="G3" s="114" t="s">
        <v>159</v>
      </c>
      <c r="H3" s="114"/>
      <c r="I3" s="86"/>
      <c r="J3" s="110" t="s">
        <v>154</v>
      </c>
      <c r="K3" s="111"/>
      <c r="L3" s="86">
        <f>(L1/(L2*10000))*100</f>
        <v>0.1869281045751634</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Castell Malgwyn Farm, Llechryd, Cardigan, Ceredigion, SA43 2QB</v>
      </c>
      <c r="D4" s="128"/>
      <c r="E4" s="84" t="s">
        <v>1</v>
      </c>
      <c r="F4" s="86" t="s">
        <v>180</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'Dairy Partners'!C8</f>
        <v>9</v>
      </c>
      <c r="D8" s="52">
        <f>'Dairy Partners'!D8</f>
        <v>11</v>
      </c>
      <c r="E8" s="52">
        <f>'Dairy Partners'!E8</f>
        <v>12</v>
      </c>
      <c r="F8" s="52">
        <f>'Dairy Partners'!F8</f>
        <v>15</v>
      </c>
      <c r="G8" s="52">
        <f>'Dairy Partners'!G8</f>
        <v>16</v>
      </c>
      <c r="H8" s="52">
        <f>'Dairy Partners'!H8</f>
        <v>17</v>
      </c>
      <c r="I8" s="52">
        <f>'Dairy Partners'!I8</f>
        <v>18</v>
      </c>
      <c r="J8" s="52">
        <f>'Dairy Partners'!J8</f>
        <v>4968</v>
      </c>
      <c r="K8" s="52">
        <f>'Dairy Partners'!K8</f>
        <v>961</v>
      </c>
      <c r="L8" s="52">
        <f>'Dairy Partners'!L8</f>
        <v>0</v>
      </c>
      <c r="M8" s="52">
        <f>'Dairy Partners'!M8</f>
        <v>0</v>
      </c>
      <c r="N8" s="52">
        <f>'Dairy Partners'!N8</f>
        <v>0</v>
      </c>
      <c r="O8" s="52">
        <f>'Dairy Partners'!O8</f>
        <v>0</v>
      </c>
      <c r="P8" s="52">
        <f>'Dairy Partners'!P8</f>
        <v>0</v>
      </c>
      <c r="Q8" s="52">
        <f>'Dairy Partners'!Q8</f>
        <v>0</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f>'Dairy Partners'!D9</f>
        <v>1</v>
      </c>
      <c r="E9" s="52">
        <f>'Dairy Partners'!E9</f>
        <v>1</v>
      </c>
      <c r="F9" s="52" t="str">
        <f>'Dairy Partners'!F9</f>
        <v>moderate</v>
      </c>
      <c r="G9" s="52" t="str">
        <f>'Dairy Partners'!G9</f>
        <v>moderate</v>
      </c>
      <c r="H9" s="52" t="str">
        <f>'Dairy Partners'!H9</f>
        <v>moderate</v>
      </c>
      <c r="I9" s="52">
        <f>'Dairy Partners'!I9</f>
        <v>1</v>
      </c>
      <c r="J9" s="52" t="str">
        <f>'Dairy Partners'!J9</f>
        <v xml:space="preserve">moderate </v>
      </c>
      <c r="K9" s="52" t="str">
        <f>'Dairy Partners'!K9</f>
        <v xml:space="preserve"> moderate </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6.7</v>
      </c>
      <c r="D10" s="52">
        <f>'Dairy Partners'!D10</f>
        <v>6.8</v>
      </c>
      <c r="E10" s="52">
        <f>'Dairy Partners'!E10</f>
        <v>7</v>
      </c>
      <c r="F10" s="52">
        <f>'Dairy Partners'!F10</f>
        <v>6.9</v>
      </c>
      <c r="G10" s="52">
        <f>'Dairy Partners'!G10</f>
        <v>6.8</v>
      </c>
      <c r="H10" s="52">
        <f>'Dairy Partners'!H10</f>
        <v>7.2</v>
      </c>
      <c r="I10" s="52">
        <f>'Dairy Partners'!I10</f>
        <v>6.8</v>
      </c>
      <c r="J10" s="52">
        <f>'Dairy Partners'!J10</f>
        <v>6.7</v>
      </c>
      <c r="K10" s="52">
        <f>'Dairy Partners'!K10</f>
        <v>6.5</v>
      </c>
      <c r="L10" s="52">
        <f>'Dairy Partners'!L10</f>
        <v>0</v>
      </c>
      <c r="M10" s="52">
        <f>'Dairy Partners'!M10</f>
        <v>0</v>
      </c>
      <c r="N10" s="52">
        <f>'Dairy Partners'!N10</f>
        <v>0</v>
      </c>
      <c r="O10" s="52">
        <f>'Dairy Partners'!O10</f>
        <v>0</v>
      </c>
      <c r="P10" s="52">
        <f>'Dairy Partners'!P10</f>
        <v>0</v>
      </c>
      <c r="Q10" s="52">
        <f>'Dairy Partners'!Q10</f>
        <v>0</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3</v>
      </c>
      <c r="D11" s="52">
        <f>'Dairy Partners'!D11</f>
        <v>3</v>
      </c>
      <c r="E11" s="52">
        <f>'Dairy Partners'!E11</f>
        <v>3</v>
      </c>
      <c r="F11" s="52">
        <f>'Dairy Partners'!F11</f>
        <v>3</v>
      </c>
      <c r="G11" s="52">
        <f>'Dairy Partners'!G11</f>
        <v>3</v>
      </c>
      <c r="H11" s="52">
        <f>'Dairy Partners'!H11</f>
        <v>3</v>
      </c>
      <c r="I11" s="52">
        <f>'Dairy Partners'!I11</f>
        <v>3</v>
      </c>
      <c r="J11" s="52">
        <f>'Dairy Partners'!J11</f>
        <v>1</v>
      </c>
      <c r="K11" s="52">
        <f>'Dairy Partners'!K11</f>
        <v>1</v>
      </c>
      <c r="L11" s="52">
        <f>'Dairy Partners'!L11</f>
        <v>0</v>
      </c>
      <c r="M11" s="52">
        <f>'Dairy Partners'!M11</f>
        <v>0</v>
      </c>
      <c r="N11" s="52">
        <f>'Dairy Partners'!N11</f>
        <v>0</v>
      </c>
      <c r="O11" s="52">
        <f>'Dairy Partners'!O11</f>
        <v>0</v>
      </c>
      <c r="P11" s="52">
        <f>'Dairy Partners'!P11</f>
        <v>0</v>
      </c>
      <c r="Q11" s="52">
        <f>'Dairy Partners'!Q11</f>
        <v>0</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2</v>
      </c>
      <c r="D12" s="52">
        <f>'Dairy Partners'!D12</f>
        <v>3</v>
      </c>
      <c r="E12" s="52">
        <f>'Dairy Partners'!E12</f>
        <v>3</v>
      </c>
      <c r="F12" s="52">
        <f>'Dairy Partners'!F12</f>
        <v>2</v>
      </c>
      <c r="G12" s="52">
        <f>'Dairy Partners'!G12</f>
        <v>2</v>
      </c>
      <c r="H12" s="52">
        <f>'Dairy Partners'!H12</f>
        <v>2</v>
      </c>
      <c r="I12" s="52">
        <f>'Dairy Partners'!I12</f>
        <v>2</v>
      </c>
      <c r="J12" s="52">
        <f>'Dairy Partners'!J12</f>
        <v>2</v>
      </c>
      <c r="K12" s="52">
        <f>'Dairy Partners'!K12</f>
        <v>1</v>
      </c>
      <c r="L12" s="52">
        <f>'Dairy Partners'!L12</f>
        <v>0</v>
      </c>
      <c r="M12" s="52">
        <f>'Dairy Partners'!M12</f>
        <v>0</v>
      </c>
      <c r="N12" s="52">
        <f>'Dairy Partners'!N12</f>
        <v>0</v>
      </c>
      <c r="O12" s="52">
        <f>'Dairy Partners'!O12</f>
        <v>0</v>
      </c>
      <c r="P12" s="52">
        <f>'Dairy Partners'!P12</f>
        <v>0</v>
      </c>
      <c r="Q12" s="52">
        <f>'Dairy Partners'!Q12</f>
        <v>0</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3</v>
      </c>
      <c r="L13" s="52">
        <f>'Dairy Partners'!L13</f>
        <v>0</v>
      </c>
      <c r="M13" s="52">
        <f>'Dairy Partners'!M13</f>
        <v>0</v>
      </c>
      <c r="N13" s="52">
        <f>'Dairy Partners'!N13</f>
        <v>0</v>
      </c>
      <c r="O13" s="52">
        <f>'Dairy Partners'!O13</f>
        <v>0</v>
      </c>
      <c r="P13" s="52">
        <f>'Dairy Partners'!P13</f>
        <v>0</v>
      </c>
      <c r="Q13" s="52">
        <f>'Dairy Partners'!Q13</f>
        <v>0</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Maize- Silage (30% DM)</v>
      </c>
      <c r="E14" s="91" t="str">
        <f>'Dairy Partners'!E14</f>
        <v>Spring wheat/barley</v>
      </c>
      <c r="F14" s="91" t="str">
        <f>'Dairy Partners'!F14</f>
        <v xml:space="preserve">Grass Silage (25% DM) </v>
      </c>
      <c r="G14" s="91" t="str">
        <f>'Dairy Partners'!G14</f>
        <v xml:space="preserve">Grass Silage (25% DM) </v>
      </c>
      <c r="H14" s="91" t="str">
        <f>'Dairy Partners'!H14</f>
        <v xml:space="preserve">Grass Silage (25% DM) </v>
      </c>
      <c r="I14" s="91" t="str">
        <f>'Dairy Partners'!I14</f>
        <v>Spring wheat/barley</v>
      </c>
      <c r="J14" s="91" t="str">
        <f>'Dairy Partners'!J14</f>
        <v xml:space="preserve">Grass Silage (25% DM) </v>
      </c>
      <c r="K14" s="91" t="str">
        <f>'Dairy Partners'!K14</f>
        <v xml:space="preserve">Grass Silage (25% DM) </v>
      </c>
      <c r="L14" s="91">
        <f>'Dairy Partners'!L14</f>
        <v>0</v>
      </c>
      <c r="M14" s="91">
        <f>'Dairy Partners'!M14</f>
        <v>0</v>
      </c>
      <c r="N14" s="91">
        <f>'Dairy Partners'!N14</f>
        <v>0</v>
      </c>
      <c r="O14" s="91">
        <f>'Dairy Partners'!O14</f>
        <v>0</v>
      </c>
      <c r="P14" s="91">
        <f>'Dairy Partners'!P14</f>
        <v>0</v>
      </c>
      <c r="Q14" s="91">
        <f>'Dairy Partners'!Q14</f>
        <v>0</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47</v>
      </c>
      <c r="D15" s="52">
        <f>'Dairy Partners'!D15</f>
        <v>45</v>
      </c>
      <c r="E15" s="52">
        <f>'Dairy Partners'!E15</f>
        <v>5.5</v>
      </c>
      <c r="F15" s="52">
        <f>'Dairy Partners'!F15</f>
        <v>47</v>
      </c>
      <c r="G15" s="52">
        <f>'Dairy Partners'!G15</f>
        <v>47</v>
      </c>
      <c r="H15" s="52">
        <f>'Dairy Partners'!H15</f>
        <v>47</v>
      </c>
      <c r="I15" s="52">
        <f>'Dairy Partners'!I15</f>
        <v>5.5</v>
      </c>
      <c r="J15" s="52">
        <f>'Dairy Partners'!J15</f>
        <v>47</v>
      </c>
      <c r="K15" s="52">
        <f>'Dairy Partners'!K15</f>
        <v>47</v>
      </c>
      <c r="L15" s="52">
        <f>'Dairy Partners'!L15</f>
        <v>0</v>
      </c>
      <c r="M15" s="52">
        <f>'Dairy Partners'!M15</f>
        <v>0</v>
      </c>
      <c r="N15" s="52">
        <f>'Dairy Partners'!N15</f>
        <v>0</v>
      </c>
      <c r="O15" s="52">
        <f>'Dairy Partners'!O15</f>
        <v>0</v>
      </c>
      <c r="P15" s="52">
        <f>'Dairy Partners'!P15</f>
        <v>0</v>
      </c>
      <c r="Q15" s="52">
        <f>'Dairy Partners'!Q15</f>
        <v>0</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f>'Dairy Partners'!L16</f>
        <v>0</v>
      </c>
      <c r="M16" s="92">
        <f>'Dairy Partners'!M16</f>
        <v>0</v>
      </c>
      <c r="N16" s="92">
        <f>'Dairy Partners'!N16</f>
        <v>0</v>
      </c>
      <c r="O16" s="92">
        <f>'Dairy Partners'!O16</f>
        <v>0</v>
      </c>
      <c r="P16" s="92">
        <f>'Dairy Partners'!P16</f>
        <v>0</v>
      </c>
      <c r="Q16" s="92">
        <f>'Dairy Partners'!Q16</f>
        <v>0</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79.899999999999991</v>
      </c>
      <c r="D17" s="21">
        <f t="shared" ref="D17:V17" si="0">(VLOOKUP(D$14,$AI2:$AK26,2,FALSE))*D$15</f>
        <v>62.999999999999993</v>
      </c>
      <c r="E17" s="21">
        <f t="shared" si="0"/>
        <v>46.75</v>
      </c>
      <c r="F17" s="21">
        <f t="shared" si="0"/>
        <v>79.899999999999991</v>
      </c>
      <c r="G17" s="21">
        <f t="shared" si="0"/>
        <v>79.899999999999991</v>
      </c>
      <c r="H17" s="21">
        <f t="shared" si="0"/>
        <v>79.899999999999991</v>
      </c>
      <c r="I17" s="21">
        <f t="shared" si="0"/>
        <v>46.75</v>
      </c>
      <c r="J17" s="21">
        <f t="shared" si="0"/>
        <v>79.899999999999991</v>
      </c>
      <c r="K17" s="21">
        <f t="shared" si="0"/>
        <v>79.899999999999991</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80.085570599999997</v>
      </c>
      <c r="D18" s="13">
        <f>$D32</f>
        <v>60.064177949999994</v>
      </c>
      <c r="E18" s="13">
        <f>$D33</f>
        <v>44.047063829999999</v>
      </c>
      <c r="F18" s="13">
        <f>$D34</f>
        <v>80.085570599999997</v>
      </c>
      <c r="G18" s="13">
        <f>$D35</f>
        <v>80.085570599999997</v>
      </c>
      <c r="H18" s="13">
        <f>$D36</f>
        <v>80.085570599999997</v>
      </c>
      <c r="I18" s="13">
        <f>$D37</f>
        <v>44.047063829999999</v>
      </c>
      <c r="J18" s="13">
        <f>$D38</f>
        <v>148.15830560999999</v>
      </c>
      <c r="K18" s="13">
        <f>$D39</f>
        <v>148.15830560999999</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0.18557060000000547</v>
      </c>
      <c r="D19" s="13">
        <f t="shared" ref="D19:V19" si="1">D18-D17</f>
        <v>-2.9358220499999987</v>
      </c>
      <c r="E19" s="13">
        <f t="shared" si="1"/>
        <v>-2.702936170000001</v>
      </c>
      <c r="F19" s="13">
        <f t="shared" si="1"/>
        <v>0.18557060000000547</v>
      </c>
      <c r="G19" s="13">
        <f t="shared" si="1"/>
        <v>0.18557060000000547</v>
      </c>
      <c r="H19" s="13">
        <f t="shared" si="1"/>
        <v>0.18557060000000547</v>
      </c>
      <c r="I19" s="13">
        <f t="shared" si="1"/>
        <v>-2.702936170000001</v>
      </c>
      <c r="J19" s="13">
        <f t="shared" si="1"/>
        <v>68.258305609999994</v>
      </c>
      <c r="K19" s="13">
        <f t="shared" si="1"/>
        <v>68.258305609999994</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DECREASE</v>
      </c>
      <c r="E20" s="19" t="str">
        <f>IF($B33="","",IF(E$19&gt;=0,"INCREASE","DECREASE"))</f>
        <v>DECREASE</v>
      </c>
      <c r="F20" s="19" t="str">
        <f>IF($B34="","",IF(F$19&gt;=0,"INCREASE","DECREASE"))</f>
        <v>INCREASE</v>
      </c>
      <c r="G20" s="19" t="str">
        <f>IF($B35="","",IF(G$19&gt;=0,"INCREASE","DECREASE"))</f>
        <v>INCREASE</v>
      </c>
      <c r="H20" s="19" t="str">
        <f>IF($B36="","",IF(H$19&gt;=0,"INCREASE","DECREASE"))</f>
        <v>INCREASE</v>
      </c>
      <c r="I20" s="19" t="str">
        <f>IF($B37="","",IF(I$19&gt;=0,"INCREASE","DECREASE"))</f>
        <v>DECREASE</v>
      </c>
      <c r="J20" s="19" t="str">
        <f>IF($B38="","",IF(J$19&gt;=0,"INCREASE","DECREASE"))</f>
        <v>INCREASE</v>
      </c>
      <c r="K20" s="19" t="str">
        <f>IF($B39="","",IF(K$19&gt;=0,"INCREASE","DECREASE"))</f>
        <v>INCREASE</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282</v>
      </c>
      <c r="D21" s="21">
        <f t="shared" ref="D21:V21" si="2">(VLOOKUP(D$14,$AI2:$AK26,3,FALSE))*D$15</f>
        <v>198.00000000000003</v>
      </c>
      <c r="E21" s="21">
        <f t="shared" si="2"/>
        <v>66</v>
      </c>
      <c r="F21" s="21">
        <f t="shared" si="2"/>
        <v>282</v>
      </c>
      <c r="G21" s="21">
        <f t="shared" si="2"/>
        <v>282</v>
      </c>
      <c r="H21" s="21">
        <f t="shared" si="2"/>
        <v>282</v>
      </c>
      <c r="I21" s="21">
        <f t="shared" si="2"/>
        <v>66</v>
      </c>
      <c r="J21" s="21">
        <f t="shared" si="2"/>
        <v>282</v>
      </c>
      <c r="K21" s="21">
        <f t="shared" si="2"/>
        <v>282</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0.42563010000000001</v>
      </c>
      <c r="D22" s="13">
        <f>$E32</f>
        <v>0.31922257500000001</v>
      </c>
      <c r="E22" s="13">
        <f>$E33</f>
        <v>0.23409655500000001</v>
      </c>
      <c r="F22" s="13">
        <f>$E34</f>
        <v>0.42563010000000001</v>
      </c>
      <c r="G22" s="13">
        <f>$E35</f>
        <v>0.42563010000000001</v>
      </c>
      <c r="H22" s="13">
        <f>$E36</f>
        <v>0.42563010000000001</v>
      </c>
      <c r="I22" s="13">
        <f>$E37</f>
        <v>0.23409655500000001</v>
      </c>
      <c r="J22" s="13">
        <f>$E38</f>
        <v>0.78741568500000003</v>
      </c>
      <c r="K22" s="13">
        <f>$E39</f>
        <v>0.78741568500000003</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-281.57436990000002</v>
      </c>
      <c r="D23" s="13">
        <f t="shared" ref="D23:V23" si="3">D22-D21</f>
        <v>-197.68077742500003</v>
      </c>
      <c r="E23" s="13">
        <f t="shared" si="3"/>
        <v>-65.765903445000006</v>
      </c>
      <c r="F23" s="13">
        <f t="shared" si="3"/>
        <v>-281.57436990000002</v>
      </c>
      <c r="G23" s="13">
        <f t="shared" si="3"/>
        <v>-281.57436990000002</v>
      </c>
      <c r="H23" s="13">
        <f t="shared" si="3"/>
        <v>-281.57436990000002</v>
      </c>
      <c r="I23" s="13">
        <f t="shared" si="3"/>
        <v>-65.765903445000006</v>
      </c>
      <c r="J23" s="13">
        <f t="shared" si="3"/>
        <v>-281.21258431500002</v>
      </c>
      <c r="K23" s="13">
        <f t="shared" si="3"/>
        <v>-281.21258431500002</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20.3</v>
      </c>
      <c r="C28" s="12">
        <v>1.53</v>
      </c>
      <c r="D28" s="12">
        <v>0.86099999999999999</v>
      </c>
      <c r="E28" s="12">
        <v>8.6999999999999994E-3</v>
      </c>
      <c r="F28" s="12">
        <v>794</v>
      </c>
      <c r="G28" s="12">
        <v>14.1</v>
      </c>
      <c r="H28" s="12">
        <v>270</v>
      </c>
      <c r="I28" s="12">
        <v>39.9</v>
      </c>
      <c r="J28" s="12">
        <v>0.12</v>
      </c>
      <c r="K28" s="16">
        <v>0.49</v>
      </c>
      <c r="L28" s="12">
        <v>23.1</v>
      </c>
      <c r="M28" s="12">
        <v>14.9</v>
      </c>
      <c r="N28" s="12">
        <v>6230</v>
      </c>
      <c r="O28" s="12">
        <v>522000</v>
      </c>
      <c r="P28" s="12"/>
      <c r="Q28" s="12">
        <v>2550</v>
      </c>
      <c r="R28" s="12"/>
      <c r="S28" s="12">
        <v>24.9</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9</v>
      </c>
      <c r="B31" s="12">
        <v>20</v>
      </c>
      <c r="C31" s="68">
        <f>IF(C$27="%w/w SAR",((C$28*10)*$B31),IF(C$27="%w/w DM",(((C$28*10)*($B$28/100))*$B31),IF(C$27="kg/t SAR",(C$28*$B31),IF(C$27="kg/t DM",((C$28*($B$28/100))*$B31),IF(C$27="mg/kg SAR",((C$28*0.001)*$B31),IF(C$27="mg/kg DM",(((C$28*0.001)*($B$28/100))*$B31),0))))))</f>
        <v>62.118000000000009</v>
      </c>
      <c r="D31" s="68">
        <f>(IF(D$27="%w/w SAR",((D$28*10)*$B31),IF(D$27="%w/w DM",(((D$28*10)*($B$28/100))*$B31),IF(D$27="kg/t SAR",(D$28*$B31),IF(D$27="kg/t DM",((D$28*($B$28/100))*$B31),IF(D$27="mg/kg SAR",((D$28*0.001)*$B31),IF(D$27="mg/kg DM",(((D$28*0.001)*($B$28/100))*$B31),"0")))))))*2.291</f>
        <v>80.085570599999997</v>
      </c>
      <c r="E31" s="68">
        <f>(IF(E$27="%w/w SAR",((E$28*10)*$B31),IF(E$27="%w/w DM",(((E$28*10)*($B$28/100))*$B31),IF(E$27="kg/t SAR",(E$28*$B31),IF(E$27="kg/t DM",((E$28*($B$28/100))*$B31),IF(E$27="mg/kg SAR",((E$28*0.001)*$B31),IF(E$27="mg/kg DM",(((E$28*0.001)*($B$28/100))*$B31),"0")))))))*1.205</f>
        <v>0.42563010000000001</v>
      </c>
      <c r="F31" s="68">
        <f>(IF(F$27="%w/w SAR",((F$28*10)*$B31),IF(F$27="%w/w DM",(((F$28*10)*($B$28/100))*$B31),IF(F$27="kg/t SAR",(F$28*$B31),IF(F$27="kg/t DM",((F$28*($B$28/100))*$B31),IF(F$27="mg/kg SAR",((F$28*0.001)*$B31),IF(F$27="mg/kg DM",(((F$28*0.001)*($B$28/100))*$B31),"0")))))))*1.658</f>
        <v>5.3447951200000006</v>
      </c>
      <c r="G31" s="68">
        <f t="shared" ref="G31:P46" si="5">IF(G$27="%w/w SAR",((G$28*10)*$B31),IF(G$27="%w/w DM",(((G$28*10)*($B$28/100))*$B31),IF(G$27="kg/t SAR",(G$28*$B31),IF(G$27="kg/t DM",((G$28*($B$28/100))*$B31),IF(G$27="mg/kg SAR",((G$28*0.001)*$B31),IF(G$27="mg/kg DM",(((G$28*0.001)*($B$28/100))*$B31),0))))))</f>
        <v>5.7245999999999998E-2</v>
      </c>
      <c r="H31" s="68">
        <f t="shared" si="5"/>
        <v>1.0962000000000001</v>
      </c>
      <c r="I31" s="68">
        <f t="shared" si="5"/>
        <v>0.161994</v>
      </c>
      <c r="J31" s="68">
        <f t="shared" si="5"/>
        <v>4.8720000000000008E-4</v>
      </c>
      <c r="K31" s="68">
        <f t="shared" si="5"/>
        <v>1.9894000000000001E-3</v>
      </c>
      <c r="L31" s="68">
        <f t="shared" si="5"/>
        <v>9.3786000000000008E-2</v>
      </c>
      <c r="M31" s="68">
        <f t="shared" si="5"/>
        <v>6.0494000000000006E-2</v>
      </c>
      <c r="N31" s="68">
        <f t="shared" si="5"/>
        <v>25.293800000000001</v>
      </c>
      <c r="O31" s="68">
        <f t="shared" si="5"/>
        <v>2119.3200000000002</v>
      </c>
      <c r="P31" s="68">
        <f t="shared" si="5"/>
        <v>0</v>
      </c>
      <c r="Q31" s="68">
        <f>(IF(Q$27="%w/w SAR",((Q$28*10)*$B31),IF(Q$27="%w/w DM",(((Q$28*10)*($B$28/100))*$B31),IF(Q$27="kg/t SAR",(Q$28*$B31),IF(Q$27="kg/t DM",((Q$28*($B$28/100))*$B31),IF(Q$27="mg/kg SAR",((Q$28*0.001)*$B31),IF(Q$27="mg/kg DM",(((Q$28*0.001)*($B$28/100))*$B31),0)))))))*2.5</f>
        <v>25.882500000000004</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0.10109399999999999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11</v>
      </c>
      <c r="B32" s="12">
        <v>15</v>
      </c>
      <c r="C32" s="68">
        <f t="shared" ref="C32:C50" si="6">IF(C$27="%w/w SAR",((C$28*10)*$B32),IF(C$27="%w/w DM",(((C$28*10)*($B$28/100))*$B32),IF(C$27="kg/t SAR",(C$28*$B32),IF(C$27="kg/t DM",((C$28*($B$28/100))*$B32),IF(C$27="mg/kg SAR",((C$28*0.001)*$B32),IF(C$27="mg/kg DM",(((C$28*0.001)*($B$28/100))*$B32),0))))))</f>
        <v>46.58850000000001</v>
      </c>
      <c r="D32" s="68">
        <f t="shared" ref="D32:D50" si="7">(IF(D$27="%w/w SAR",((D$28*10)*$B32),IF(D$27="%w/w DM",(((D$28*10)*($B$28/100))*$B32),IF(D$27="kg/t SAR",(D$28*$B32),IF(D$27="kg/t DM",((D$28*($B$28/100))*$B32),IF(D$27="mg/kg SAR",((D$28*0.001)*$B32),IF(D$27="mg/kg DM",(((D$28*0.001)*($B$28/100))*$B32),"0")))))))*2.291</f>
        <v>60.064177949999994</v>
      </c>
      <c r="E32" s="68">
        <f t="shared" ref="E32:E50" si="8">(IF(E$27="%w/w SAR",((E$28*10)*$B32),IF(E$27="%w/w DM",(((E$28*10)*($B$28/100))*$B32),IF(E$27="kg/t SAR",(E$28*$B32),IF(E$27="kg/t DM",((E$28*($B$28/100))*$B32),IF(E$27="mg/kg SAR",((E$28*0.001)*$B32),IF(E$27="mg/kg DM",(((E$28*0.001)*($B$28/100))*$B32),"0")))))))*1.205</f>
        <v>0.31922257500000001</v>
      </c>
      <c r="F32" s="68">
        <f t="shared" ref="F32:F50" si="9">(IF(F$27="%w/w SAR",((F$28*10)*$B32),IF(F$27="%w/w DM",(((F$28*10)*($B$28/100))*$B32),IF(F$27="kg/t SAR",(F$28*$B32),IF(F$27="kg/t DM",((F$28*($B$28/100))*$B32),IF(F$27="mg/kg SAR",((F$28*0.001)*$B32),IF(F$27="mg/kg DM",(((F$28*0.001)*($B$28/100))*$B32),"0")))))))*1.658</f>
        <v>4.0085963400000004</v>
      </c>
      <c r="G32" s="68">
        <f t="shared" si="5"/>
        <v>4.29345E-2</v>
      </c>
      <c r="H32" s="68">
        <f t="shared" si="5"/>
        <v>0.82215000000000005</v>
      </c>
      <c r="I32" s="68">
        <f t="shared" si="5"/>
        <v>0.12149549999999999</v>
      </c>
      <c r="J32" s="68">
        <f t="shared" si="5"/>
        <v>3.6540000000000005E-4</v>
      </c>
      <c r="K32" s="68">
        <f t="shared" si="5"/>
        <v>1.4920500000000002E-3</v>
      </c>
      <c r="L32" s="68">
        <f t="shared" si="5"/>
        <v>7.0339499999999999E-2</v>
      </c>
      <c r="M32" s="68">
        <f t="shared" si="5"/>
        <v>4.5370500000000008E-2</v>
      </c>
      <c r="N32" s="68">
        <f t="shared" si="5"/>
        <v>18.97035</v>
      </c>
      <c r="O32" s="68">
        <f t="shared" si="5"/>
        <v>1589.4900000000002</v>
      </c>
      <c r="P32" s="68">
        <f t="shared" si="5"/>
        <v>0</v>
      </c>
      <c r="Q32" s="68">
        <f t="shared" ref="Q32:Q50" si="10">(IF(Q$27="%w/w SAR",((Q$28*10)*$B32),IF(Q$27="%w/w DM",(((Q$28*10)*($B$28/100))*$B32),IF(Q$27="kg/t SAR",(Q$28*$B32),IF(Q$27="kg/t DM",((Q$28*($B$28/100))*$B32),IF(Q$27="mg/kg SAR",((Q$28*0.001)*$B32),IF(Q$27="mg/kg DM",(((Q$28*0.001)*($B$28/100))*$B32),0)))))))*2.5</f>
        <v>19.411875000000002</v>
      </c>
      <c r="R32" s="68">
        <f t="shared" ref="R32:U50" si="11">IF(R$27="%w/w SAR",((R$28*10)*$B32),IF(R$27="%w/w DM",(((R$28*10)*($B$28/100))*$B32),IF(R$27="kg/t SAR",(R$28*$B32),IF(R$27="kg/t DM",((R$28*($B$28/100))*$B32),IF(R$27="mg/kg SAR",((R$28*0.001)*$B32),IF(R$27="mg/kg DM",(((R$28*0.001)*($B$28/100))*$B32),0))))))</f>
        <v>0</v>
      </c>
      <c r="S32" s="68">
        <f t="shared" si="11"/>
        <v>7.5820499999999999E-2</v>
      </c>
      <c r="T32" s="68">
        <f t="shared" si="11"/>
        <v>0</v>
      </c>
      <c r="U32" s="68">
        <f t="shared" si="11"/>
        <v>0</v>
      </c>
    </row>
    <row r="33" spans="1:21" s="51" customFormat="1" ht="13" x14ac:dyDescent="0.35">
      <c r="A33" s="10">
        <f>E8</f>
        <v>12</v>
      </c>
      <c r="B33" s="12">
        <v>11</v>
      </c>
      <c r="C33" s="68">
        <f t="shared" si="6"/>
        <v>34.164900000000003</v>
      </c>
      <c r="D33" s="68">
        <f t="shared" si="7"/>
        <v>44.047063829999999</v>
      </c>
      <c r="E33" s="68">
        <f t="shared" si="8"/>
        <v>0.23409655500000001</v>
      </c>
      <c r="F33" s="68">
        <f t="shared" si="9"/>
        <v>2.9396373160000002</v>
      </c>
      <c r="G33" s="68">
        <f t="shared" si="5"/>
        <v>3.1485300000000001E-2</v>
      </c>
      <c r="H33" s="68">
        <f t="shared" si="5"/>
        <v>0.60291000000000006</v>
      </c>
      <c r="I33" s="68">
        <f t="shared" si="5"/>
        <v>8.9096700000000001E-2</v>
      </c>
      <c r="J33" s="68">
        <f t="shared" si="5"/>
        <v>2.6796000000000003E-4</v>
      </c>
      <c r="K33" s="68">
        <f t="shared" si="5"/>
        <v>1.09417E-3</v>
      </c>
      <c r="L33" s="68">
        <f t="shared" si="5"/>
        <v>5.1582300000000005E-2</v>
      </c>
      <c r="M33" s="68">
        <f t="shared" si="5"/>
        <v>3.3271700000000001E-2</v>
      </c>
      <c r="N33" s="68">
        <f t="shared" si="5"/>
        <v>13.91159</v>
      </c>
      <c r="O33" s="68">
        <f t="shared" si="5"/>
        <v>1165.6260000000002</v>
      </c>
      <c r="P33" s="68">
        <f t="shared" si="5"/>
        <v>0</v>
      </c>
      <c r="Q33" s="68">
        <f t="shared" si="10"/>
        <v>14.235375000000001</v>
      </c>
      <c r="R33" s="68">
        <f t="shared" si="11"/>
        <v>0</v>
      </c>
      <c r="S33" s="68">
        <f t="shared" si="11"/>
        <v>5.5601699999999997E-2</v>
      </c>
      <c r="T33" s="68">
        <f t="shared" si="11"/>
        <v>0</v>
      </c>
      <c r="U33" s="68">
        <f t="shared" si="11"/>
        <v>0</v>
      </c>
    </row>
    <row r="34" spans="1:21" s="51" customFormat="1" ht="13" x14ac:dyDescent="0.35">
      <c r="A34" s="10">
        <f>F8</f>
        <v>15</v>
      </c>
      <c r="B34" s="12">
        <v>20</v>
      </c>
      <c r="C34" s="68">
        <f t="shared" si="6"/>
        <v>62.118000000000009</v>
      </c>
      <c r="D34" s="68">
        <f t="shared" si="7"/>
        <v>80.085570599999997</v>
      </c>
      <c r="E34" s="68">
        <f t="shared" si="8"/>
        <v>0.42563010000000001</v>
      </c>
      <c r="F34" s="68">
        <f t="shared" si="9"/>
        <v>5.3447951200000006</v>
      </c>
      <c r="G34" s="68">
        <f t="shared" si="5"/>
        <v>5.7245999999999998E-2</v>
      </c>
      <c r="H34" s="68">
        <f t="shared" si="5"/>
        <v>1.0962000000000001</v>
      </c>
      <c r="I34" s="68">
        <f t="shared" si="5"/>
        <v>0.161994</v>
      </c>
      <c r="J34" s="68">
        <f t="shared" si="5"/>
        <v>4.8720000000000008E-4</v>
      </c>
      <c r="K34" s="68">
        <f t="shared" si="5"/>
        <v>1.9894000000000001E-3</v>
      </c>
      <c r="L34" s="68">
        <f t="shared" si="5"/>
        <v>9.3786000000000008E-2</v>
      </c>
      <c r="M34" s="68">
        <f t="shared" si="5"/>
        <v>6.0494000000000006E-2</v>
      </c>
      <c r="N34" s="68">
        <f t="shared" si="5"/>
        <v>25.293800000000001</v>
      </c>
      <c r="O34" s="68">
        <f t="shared" si="5"/>
        <v>2119.3200000000002</v>
      </c>
      <c r="P34" s="68">
        <f t="shared" si="5"/>
        <v>0</v>
      </c>
      <c r="Q34" s="68">
        <f t="shared" si="10"/>
        <v>25.882500000000004</v>
      </c>
      <c r="R34" s="68">
        <f t="shared" si="11"/>
        <v>0</v>
      </c>
      <c r="S34" s="68">
        <f t="shared" si="11"/>
        <v>0.10109399999999999</v>
      </c>
      <c r="T34" s="68">
        <f t="shared" si="11"/>
        <v>0</v>
      </c>
      <c r="U34" s="68">
        <f t="shared" si="11"/>
        <v>0</v>
      </c>
    </row>
    <row r="35" spans="1:21" s="51" customFormat="1" ht="13" x14ac:dyDescent="0.35">
      <c r="A35" s="10">
        <f>G8</f>
        <v>16</v>
      </c>
      <c r="B35" s="12">
        <v>20</v>
      </c>
      <c r="C35" s="68">
        <f t="shared" si="6"/>
        <v>62.118000000000009</v>
      </c>
      <c r="D35" s="68">
        <f t="shared" si="7"/>
        <v>80.085570599999997</v>
      </c>
      <c r="E35" s="68">
        <f t="shared" si="8"/>
        <v>0.42563010000000001</v>
      </c>
      <c r="F35" s="68">
        <f t="shared" si="9"/>
        <v>5.3447951200000006</v>
      </c>
      <c r="G35" s="68">
        <f t="shared" si="5"/>
        <v>5.7245999999999998E-2</v>
      </c>
      <c r="H35" s="68">
        <f t="shared" si="5"/>
        <v>1.0962000000000001</v>
      </c>
      <c r="I35" s="68">
        <f t="shared" si="5"/>
        <v>0.161994</v>
      </c>
      <c r="J35" s="68">
        <f t="shared" si="5"/>
        <v>4.8720000000000008E-4</v>
      </c>
      <c r="K35" s="68">
        <f t="shared" si="5"/>
        <v>1.9894000000000001E-3</v>
      </c>
      <c r="L35" s="68">
        <f t="shared" si="5"/>
        <v>9.3786000000000008E-2</v>
      </c>
      <c r="M35" s="68">
        <f t="shared" si="5"/>
        <v>6.0494000000000006E-2</v>
      </c>
      <c r="N35" s="68">
        <f t="shared" si="5"/>
        <v>25.293800000000001</v>
      </c>
      <c r="O35" s="68">
        <f t="shared" si="5"/>
        <v>2119.3200000000002</v>
      </c>
      <c r="P35" s="68">
        <f t="shared" si="5"/>
        <v>0</v>
      </c>
      <c r="Q35" s="68">
        <f t="shared" si="10"/>
        <v>25.882500000000004</v>
      </c>
      <c r="R35" s="68">
        <f t="shared" si="11"/>
        <v>0</v>
      </c>
      <c r="S35" s="68">
        <f t="shared" si="11"/>
        <v>0.10109399999999999</v>
      </c>
      <c r="T35" s="68">
        <f t="shared" si="11"/>
        <v>0</v>
      </c>
      <c r="U35" s="68">
        <f t="shared" si="11"/>
        <v>0</v>
      </c>
    </row>
    <row r="36" spans="1:21" s="51" customFormat="1" ht="13" x14ac:dyDescent="0.35">
      <c r="A36" s="10">
        <f>H8</f>
        <v>17</v>
      </c>
      <c r="B36" s="12">
        <v>20</v>
      </c>
      <c r="C36" s="68">
        <f t="shared" si="6"/>
        <v>62.118000000000009</v>
      </c>
      <c r="D36" s="68">
        <f t="shared" si="7"/>
        <v>80.085570599999997</v>
      </c>
      <c r="E36" s="68">
        <f t="shared" si="8"/>
        <v>0.42563010000000001</v>
      </c>
      <c r="F36" s="68">
        <f t="shared" si="9"/>
        <v>5.3447951200000006</v>
      </c>
      <c r="G36" s="68">
        <f t="shared" si="5"/>
        <v>5.7245999999999998E-2</v>
      </c>
      <c r="H36" s="68">
        <f t="shared" si="5"/>
        <v>1.0962000000000001</v>
      </c>
      <c r="I36" s="68">
        <f t="shared" si="5"/>
        <v>0.161994</v>
      </c>
      <c r="J36" s="68">
        <f t="shared" si="5"/>
        <v>4.8720000000000008E-4</v>
      </c>
      <c r="K36" s="68">
        <f t="shared" si="5"/>
        <v>1.9894000000000001E-3</v>
      </c>
      <c r="L36" s="68">
        <f t="shared" si="5"/>
        <v>9.3786000000000008E-2</v>
      </c>
      <c r="M36" s="68">
        <f t="shared" si="5"/>
        <v>6.0494000000000006E-2</v>
      </c>
      <c r="N36" s="68">
        <f t="shared" si="5"/>
        <v>25.293800000000001</v>
      </c>
      <c r="O36" s="68">
        <f t="shared" si="5"/>
        <v>2119.3200000000002</v>
      </c>
      <c r="P36" s="68">
        <f t="shared" si="5"/>
        <v>0</v>
      </c>
      <c r="Q36" s="68">
        <f t="shared" si="10"/>
        <v>25.882500000000004</v>
      </c>
      <c r="R36" s="68">
        <f t="shared" si="11"/>
        <v>0</v>
      </c>
      <c r="S36" s="68">
        <f t="shared" si="11"/>
        <v>0.10109399999999999</v>
      </c>
      <c r="T36" s="68">
        <f t="shared" si="11"/>
        <v>0</v>
      </c>
      <c r="U36" s="68">
        <f t="shared" si="11"/>
        <v>0</v>
      </c>
    </row>
    <row r="37" spans="1:21" s="51" customFormat="1" ht="13" x14ac:dyDescent="0.35">
      <c r="A37" s="10">
        <f>I8</f>
        <v>18</v>
      </c>
      <c r="B37" s="12">
        <v>11</v>
      </c>
      <c r="C37" s="68">
        <f t="shared" si="6"/>
        <v>34.164900000000003</v>
      </c>
      <c r="D37" s="68">
        <f t="shared" si="7"/>
        <v>44.047063829999999</v>
      </c>
      <c r="E37" s="68">
        <f t="shared" si="8"/>
        <v>0.23409655500000001</v>
      </c>
      <c r="F37" s="68">
        <f t="shared" si="9"/>
        <v>2.9396373160000002</v>
      </c>
      <c r="G37" s="68">
        <f t="shared" si="5"/>
        <v>3.1485300000000001E-2</v>
      </c>
      <c r="H37" s="68">
        <f t="shared" si="5"/>
        <v>0.60291000000000006</v>
      </c>
      <c r="I37" s="68">
        <f t="shared" si="5"/>
        <v>8.9096700000000001E-2</v>
      </c>
      <c r="J37" s="68">
        <f t="shared" si="5"/>
        <v>2.6796000000000003E-4</v>
      </c>
      <c r="K37" s="68">
        <f t="shared" si="5"/>
        <v>1.09417E-3</v>
      </c>
      <c r="L37" s="68">
        <f t="shared" si="5"/>
        <v>5.1582300000000005E-2</v>
      </c>
      <c r="M37" s="68">
        <f t="shared" si="5"/>
        <v>3.3271700000000001E-2</v>
      </c>
      <c r="N37" s="68">
        <f t="shared" si="5"/>
        <v>13.91159</v>
      </c>
      <c r="O37" s="68">
        <f t="shared" si="5"/>
        <v>1165.6260000000002</v>
      </c>
      <c r="P37" s="68">
        <f t="shared" si="5"/>
        <v>0</v>
      </c>
      <c r="Q37" s="68">
        <f t="shared" si="10"/>
        <v>14.235375000000001</v>
      </c>
      <c r="R37" s="68">
        <f t="shared" si="11"/>
        <v>0</v>
      </c>
      <c r="S37" s="68">
        <f t="shared" si="11"/>
        <v>5.5601699999999997E-2</v>
      </c>
      <c r="T37" s="68">
        <f t="shared" si="11"/>
        <v>0</v>
      </c>
      <c r="U37" s="68">
        <f t="shared" si="11"/>
        <v>0</v>
      </c>
    </row>
    <row r="38" spans="1:21" s="51" customFormat="1" ht="13" x14ac:dyDescent="0.35">
      <c r="A38" s="10">
        <f>J8</f>
        <v>4968</v>
      </c>
      <c r="B38" s="12">
        <v>37</v>
      </c>
      <c r="C38" s="68">
        <f t="shared" si="6"/>
        <v>114.91830000000002</v>
      </c>
      <c r="D38" s="68">
        <f t="shared" si="7"/>
        <v>148.15830560999999</v>
      </c>
      <c r="E38" s="68">
        <f t="shared" si="8"/>
        <v>0.78741568500000003</v>
      </c>
      <c r="F38" s="68">
        <f t="shared" si="9"/>
        <v>9.887870972</v>
      </c>
      <c r="G38" s="68">
        <f t="shared" si="5"/>
        <v>0.1059051</v>
      </c>
      <c r="H38" s="68">
        <f t="shared" si="5"/>
        <v>2.0279700000000003</v>
      </c>
      <c r="I38" s="68">
        <f t="shared" si="5"/>
        <v>0.29968889999999998</v>
      </c>
      <c r="J38" s="68">
        <f t="shared" si="5"/>
        <v>9.0132000000000016E-4</v>
      </c>
      <c r="K38" s="68">
        <f t="shared" si="5"/>
        <v>3.6803900000000004E-3</v>
      </c>
      <c r="L38" s="68">
        <f t="shared" si="5"/>
        <v>0.17350410000000002</v>
      </c>
      <c r="M38" s="68">
        <f t="shared" si="5"/>
        <v>0.11191390000000001</v>
      </c>
      <c r="N38" s="68">
        <f t="shared" si="5"/>
        <v>46.793530000000004</v>
      </c>
      <c r="O38" s="68">
        <f t="shared" si="5"/>
        <v>3920.7420000000002</v>
      </c>
      <c r="P38" s="68">
        <f t="shared" si="5"/>
        <v>0</v>
      </c>
      <c r="Q38" s="68">
        <f t="shared" si="10"/>
        <v>47.882625000000004</v>
      </c>
      <c r="R38" s="68">
        <f t="shared" si="11"/>
        <v>0</v>
      </c>
      <c r="S38" s="68">
        <f t="shared" si="11"/>
        <v>0.18702389999999999</v>
      </c>
      <c r="T38" s="68">
        <f t="shared" si="11"/>
        <v>0</v>
      </c>
      <c r="U38" s="68">
        <f t="shared" si="11"/>
        <v>0</v>
      </c>
    </row>
    <row r="39" spans="1:21" s="51" customFormat="1" ht="13" x14ac:dyDescent="0.35">
      <c r="A39" s="10">
        <f>K8</f>
        <v>961</v>
      </c>
      <c r="B39" s="12">
        <v>37</v>
      </c>
      <c r="C39" s="68">
        <f t="shared" si="6"/>
        <v>114.91830000000002</v>
      </c>
      <c r="D39" s="68">
        <f t="shared" si="7"/>
        <v>148.15830560999999</v>
      </c>
      <c r="E39" s="68">
        <f t="shared" si="8"/>
        <v>0.78741568500000003</v>
      </c>
      <c r="F39" s="68">
        <f t="shared" si="9"/>
        <v>9.887870972</v>
      </c>
      <c r="G39" s="68">
        <f t="shared" si="5"/>
        <v>0.1059051</v>
      </c>
      <c r="H39" s="68">
        <f t="shared" si="5"/>
        <v>2.0279700000000003</v>
      </c>
      <c r="I39" s="68">
        <f t="shared" si="5"/>
        <v>0.29968889999999998</v>
      </c>
      <c r="J39" s="68">
        <f t="shared" si="5"/>
        <v>9.0132000000000016E-4</v>
      </c>
      <c r="K39" s="68">
        <f t="shared" si="5"/>
        <v>3.6803900000000004E-3</v>
      </c>
      <c r="L39" s="68">
        <f t="shared" si="5"/>
        <v>0.17350410000000002</v>
      </c>
      <c r="M39" s="68">
        <f t="shared" si="5"/>
        <v>0.11191390000000001</v>
      </c>
      <c r="N39" s="68">
        <f t="shared" si="5"/>
        <v>46.793530000000004</v>
      </c>
      <c r="O39" s="68">
        <f t="shared" si="5"/>
        <v>3920.7420000000002</v>
      </c>
      <c r="P39" s="68">
        <f t="shared" si="5"/>
        <v>0</v>
      </c>
      <c r="Q39" s="68">
        <f t="shared" si="10"/>
        <v>47.882625000000004</v>
      </c>
      <c r="R39" s="68">
        <f t="shared" si="11"/>
        <v>0</v>
      </c>
      <c r="S39" s="68">
        <f t="shared" si="11"/>
        <v>0.18702389999999999</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9</v>
      </c>
      <c r="C57" s="8">
        <f t="shared" ref="C57:U57" si="13">D8</f>
        <v>11</v>
      </c>
      <c r="D57" s="8">
        <f t="shared" si="13"/>
        <v>12</v>
      </c>
      <c r="E57" s="8">
        <f t="shared" si="13"/>
        <v>15</v>
      </c>
      <c r="F57" s="8">
        <f t="shared" si="13"/>
        <v>16</v>
      </c>
      <c r="G57" s="8">
        <f t="shared" si="13"/>
        <v>17</v>
      </c>
      <c r="H57" s="8">
        <f t="shared" si="13"/>
        <v>18</v>
      </c>
      <c r="I57" s="8">
        <f t="shared" si="13"/>
        <v>4968</v>
      </c>
      <c r="J57" s="8">
        <f t="shared" si="13"/>
        <v>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"&amp;(VLOOKUP(C14,Table2456[],6,FALSE))</f>
        <v>Medium/Clay I Grass</v>
      </c>
      <c r="C58" s="10" t="str">
        <f>D16&amp;" I "&amp;(VLOOKUP(D14,Table2456[],6,FALSE))</f>
        <v>Medium/Clay I Arable</v>
      </c>
      <c r="D58" s="10" t="str">
        <f>E16&amp;" I "&amp;(VLOOKUP(E14,Table2456[],6,FALSE))</f>
        <v>Medium/Clay I Arable</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Arable</v>
      </c>
      <c r="I58" s="10" t="str">
        <f>J16&amp;" I "&amp;(VLOOKUP(J14,Table2456[],6,FALSE))</f>
        <v>Medium/Clay I Grass</v>
      </c>
      <c r="J58" s="10" t="str">
        <f>K16&amp;" I "&amp;(VLOOKUP(K14,Table2456[],6,FALSE))</f>
        <v>Medium/Clay I Grass</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100" t="s">
        <v>132</v>
      </c>
      <c r="B59" s="67">
        <f>VLOOKUP(C$14,Table2456[],5,FALSE)</f>
        <v>6.2</v>
      </c>
      <c r="C59" s="67">
        <f>VLOOKUP(D$14,Table2456[],5,FALSE)</f>
        <v>6.7</v>
      </c>
      <c r="D59" s="67">
        <f>VLOOKUP(E$14,Table2456[],5,FALSE)</f>
        <v>6.7</v>
      </c>
      <c r="E59" s="67">
        <f>VLOOKUP(F$14,Table2456[],5,FALSE)</f>
        <v>6.2</v>
      </c>
      <c r="F59" s="67">
        <f>VLOOKUP(G$14,Table2456[],5,FALSE)</f>
        <v>6.2</v>
      </c>
      <c r="G59" s="67">
        <f>VLOOKUP(H$14,Table2456[],5,FALSE)</f>
        <v>6.2</v>
      </c>
      <c r="H59" s="67">
        <f>VLOOKUP(I$14,Table2456[],5,FALSE)</f>
        <v>6.7</v>
      </c>
      <c r="I59" s="67">
        <f>VLOOKUP(J$14,Table2456[],5,FALSE)</f>
        <v>6.2</v>
      </c>
      <c r="J59" s="67">
        <f>VLOOKUP(K$14,Table2456[],5,FALSE)</f>
        <v>6.2</v>
      </c>
      <c r="K59" s="67" t="e">
        <f>VLOOKUP(L$14,Table2456[],5,FALSE)</f>
        <v>#N/A</v>
      </c>
      <c r="L59" s="67" t="e">
        <f>VLOOKUP(M$14,Table2456[],5,FALSE)</f>
        <v>#N/A</v>
      </c>
      <c r="M59" s="67" t="e">
        <f>VLOOKUP(N$14,Table2456[],5,FALSE)</f>
        <v>#N/A</v>
      </c>
      <c r="N59" s="67" t="e">
        <f>VLOOKUP(O$14,Table2456[],5,FALSE)</f>
        <v>#N/A</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ht="13" x14ac:dyDescent="0.3">
      <c r="A60" s="100" t="s">
        <v>4</v>
      </c>
      <c r="B60" s="67">
        <f>C10</f>
        <v>6.7</v>
      </c>
      <c r="C60" s="67">
        <f t="shared" ref="C60:U60" si="14">D10</f>
        <v>6.8</v>
      </c>
      <c r="D60" s="67">
        <f t="shared" si="14"/>
        <v>7</v>
      </c>
      <c r="E60" s="67">
        <f t="shared" si="14"/>
        <v>6.9</v>
      </c>
      <c r="F60" s="67">
        <f t="shared" si="14"/>
        <v>6.8</v>
      </c>
      <c r="G60" s="67">
        <f t="shared" si="14"/>
        <v>7.2</v>
      </c>
      <c r="H60" s="67">
        <f t="shared" si="14"/>
        <v>6.8</v>
      </c>
      <c r="I60" s="67">
        <f t="shared" si="14"/>
        <v>6.7</v>
      </c>
      <c r="J60" s="67">
        <f t="shared" si="14"/>
        <v>6.5</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8</v>
      </c>
      <c r="D61" s="67">
        <f t="shared" si="15"/>
        <v>8</v>
      </c>
      <c r="E61" s="67">
        <f t="shared" si="15"/>
        <v>6</v>
      </c>
      <c r="F61" s="67">
        <f t="shared" si="15"/>
        <v>6</v>
      </c>
      <c r="G61" s="67">
        <f t="shared" si="15"/>
        <v>6</v>
      </c>
      <c r="H61" s="67">
        <f t="shared" si="15"/>
        <v>8</v>
      </c>
      <c r="I61" s="67">
        <f t="shared" si="15"/>
        <v>6</v>
      </c>
      <c r="J61" s="67">
        <f t="shared" si="15"/>
        <v>6</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20</v>
      </c>
      <c r="C62" s="68">
        <f>B32</f>
        <v>15</v>
      </c>
      <c r="D62" s="68">
        <f>B33</f>
        <v>11</v>
      </c>
      <c r="E62" s="68">
        <f>B34</f>
        <v>20</v>
      </c>
      <c r="F62" s="68">
        <f>B35</f>
        <v>20</v>
      </c>
      <c r="G62" s="68">
        <f>B36</f>
        <v>20</v>
      </c>
      <c r="H62" s="68">
        <f>B37</f>
        <v>11</v>
      </c>
      <c r="I62" s="68">
        <f>B38</f>
        <v>37</v>
      </c>
      <c r="J62" s="68">
        <f>B39</f>
        <v>37</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-0.79999999999999716</v>
      </c>
      <c r="D64" s="68">
        <f t="shared" si="17"/>
        <v>-2.3999999999999986</v>
      </c>
      <c r="E64" s="68">
        <f t="shared" si="17"/>
        <v>-4.2000000000000011</v>
      </c>
      <c r="F64" s="68">
        <f t="shared" si="17"/>
        <v>-3.5999999999999979</v>
      </c>
      <c r="G64" s="68">
        <f t="shared" si="17"/>
        <v>-6</v>
      </c>
      <c r="H64" s="68">
        <f t="shared" si="17"/>
        <v>-0.79999999999999716</v>
      </c>
      <c r="I64" s="68">
        <f t="shared" si="17"/>
        <v>-3</v>
      </c>
      <c r="J64" s="68">
        <f t="shared" si="17"/>
        <v>-1.7999999999999989</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3</v>
      </c>
      <c r="C65" s="68">
        <f t="shared" ref="C65:U65" si="18">C63-C64</f>
        <v>0.79999999999999716</v>
      </c>
      <c r="D65" s="68">
        <f t="shared" si="18"/>
        <v>2.3999999999999986</v>
      </c>
      <c r="E65" s="68">
        <f t="shared" si="18"/>
        <v>4.2000000000000011</v>
      </c>
      <c r="F65" s="68">
        <f t="shared" si="18"/>
        <v>3.5999999999999979</v>
      </c>
      <c r="G65" s="68">
        <f t="shared" si="18"/>
        <v>6</v>
      </c>
      <c r="H65" s="68">
        <f t="shared" si="18"/>
        <v>0.79999999999999716</v>
      </c>
      <c r="I65" s="68">
        <f t="shared" si="18"/>
        <v>3</v>
      </c>
      <c r="J65" s="68">
        <f t="shared" si="18"/>
        <v>1.7999999999999989</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9" x14ac:dyDescent="0.3">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str">
        <f t="shared" si="19"/>
        <v>OVER</v>
      </c>
      <c r="J66" s="69" t="str">
        <f t="shared" si="19"/>
        <v>OVER</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'Dairy Partners'!B29</f>
        <v>Application Rate</v>
      </c>
      <c r="C1" s="31" t="str">
        <f>'Dairy Partners'!C29</f>
        <v>Nitrogen Addition</v>
      </c>
      <c r="D1" s="31" t="str">
        <f>'Dairy Partners'!D29</f>
        <v>Phosphate Addition</v>
      </c>
      <c r="E1" s="31" t="str">
        <f>'Dairy Partners'!E29</f>
        <v>Potash  Addition</v>
      </c>
      <c r="F1" s="31" t="str">
        <f>'Dairy Partners'!F29</f>
        <v>Mg Oxide Addition</v>
      </c>
      <c r="G1" s="31" t="str">
        <f>'Dairy Partners'!G29</f>
        <v>Copper Addition</v>
      </c>
      <c r="H1" s="31" t="str">
        <f>'Dairy Partners'!H29</f>
        <v>Zinc Addition</v>
      </c>
      <c r="I1" s="31" t="str">
        <f>'Dairy Partners'!I29</f>
        <v>Lead Addition</v>
      </c>
      <c r="J1" s="31" t="str">
        <f>'Dairy Partners'!J29</f>
        <v>Cadmium Addition</v>
      </c>
      <c r="K1" s="31" t="str">
        <f>'Dairy Partners'!K29</f>
        <v>Mercury Addition</v>
      </c>
      <c r="L1" s="31" t="str">
        <f>'Dairy Partners'!L29</f>
        <v>Nickel Addition</v>
      </c>
      <c r="M1" s="31" t="str">
        <f>'Dairy Partners'!M29</f>
        <v>Chromium Addition</v>
      </c>
      <c r="N1" s="31" t="str">
        <f>'Dairy Partners'!N29</f>
        <v>Aluminium Addition</v>
      </c>
      <c r="O1" s="31" t="str">
        <f>'Dairy Partners'!O29</f>
        <v>Iron Addition</v>
      </c>
      <c r="P1" s="31" t="str">
        <f>'Dairy Partners'!P29</f>
        <v xml:space="preserve">Sodium Addition                 </v>
      </c>
      <c r="Q1" s="31" t="str">
        <f>'Dairy Partners'!Q29</f>
        <v>SO3  Addition                             kg/ha</v>
      </c>
      <c r="R1" s="31" t="str">
        <f>'Dairy Partners'!R29</f>
        <v xml:space="preserve">Selenium Addition </v>
      </c>
      <c r="S1" s="31" t="str">
        <f>'Dairy Partners'!S29</f>
        <v xml:space="preserve">Arsenic  Addition  </v>
      </c>
      <c r="T1" s="31" t="str">
        <f>'Dairy Partners'!T29</f>
        <v xml:space="preserve">Molybdenum Addition  </v>
      </c>
      <c r="U1" s="31" t="str">
        <f>'Dairy Partners'!U29</f>
        <v xml:space="preserve">Fluoride Addition </v>
      </c>
    </row>
    <row r="2" spans="1:21" ht="25" x14ac:dyDescent="0.25">
      <c r="A2" s="131"/>
      <c r="B2" s="31" t="str">
        <f>'Dairy Partners'!B30</f>
        <v>tonnes/ha</v>
      </c>
      <c r="C2" s="31" t="str">
        <f>'Dairy Partners'!C30</f>
        <v>kg/ha</v>
      </c>
      <c r="D2" s="31" t="str">
        <f>'Dairy Partners'!D30</f>
        <v>P2O5 
kg/ha</v>
      </c>
      <c r="E2" s="31" t="str">
        <f>'Dairy Partners'!E30</f>
        <v>K2O 
kg/ha</v>
      </c>
      <c r="F2" s="31" t="str">
        <f>'Dairy Partners'!F30</f>
        <v>MgO 
kg/ha</v>
      </c>
      <c r="G2" s="31" t="str">
        <f>'Dairy Partners'!G30</f>
        <v>kg/ha</v>
      </c>
      <c r="H2" s="31" t="str">
        <f>'Dairy Partners'!H30</f>
        <v>kg/ha</v>
      </c>
      <c r="I2" s="31" t="str">
        <f>'Dairy Partners'!I30</f>
        <v>kg/ha</v>
      </c>
      <c r="J2" s="31" t="str">
        <f>'Dairy Partners'!J30</f>
        <v>kg/ha</v>
      </c>
      <c r="K2" s="31" t="str">
        <f>'Dairy Partners'!K30</f>
        <v>kg/ha</v>
      </c>
      <c r="L2" s="31" t="str">
        <f>'Dairy Partners'!L30</f>
        <v>kg/ha</v>
      </c>
      <c r="M2" s="31" t="str">
        <f>'Dairy Partners'!M30</f>
        <v>kg/ha</v>
      </c>
      <c r="N2" s="31" t="str">
        <f>'Dairy Partners'!N30</f>
        <v>kg/ha</v>
      </c>
      <c r="O2" s="31" t="str">
        <f>'Dairy Partners'!O30</f>
        <v>kg/ha</v>
      </c>
      <c r="P2" s="31" t="str">
        <f>'Dairy Partners'!P30</f>
        <v>kg/ha</v>
      </c>
      <c r="Q2" s="31" t="str">
        <f>'Dairy Partners'!Q30</f>
        <v>kg/ha</v>
      </c>
      <c r="R2" s="31" t="str">
        <f>'Dairy Partners'!R30</f>
        <v>kg/ha</v>
      </c>
      <c r="S2" s="31" t="str">
        <f>'Dairy Partners'!S30</f>
        <v>kg/ha</v>
      </c>
      <c r="T2" s="31" t="str">
        <f>'Dairy Partners'!T30</f>
        <v>kg/ha</v>
      </c>
      <c r="U2" s="31" t="str">
        <f>'Dairy Partners'!U30</f>
        <v>kg/ha</v>
      </c>
    </row>
    <row r="3" spans="1:21" x14ac:dyDescent="0.25">
      <c r="A3" s="29">
        <v>1</v>
      </c>
      <c r="B3" s="26">
        <f>'Dairy Partners'!B31</f>
        <v>106</v>
      </c>
      <c r="C3" s="26">
        <f>'Dairy Partners'!C31</f>
        <v>137.80000000000001</v>
      </c>
      <c r="D3" s="26">
        <f>'Dairy Partners'!D31</f>
        <v>79.896333999999996</v>
      </c>
      <c r="E3" s="26">
        <f>'Dairy Partners'!E31</f>
        <v>28.994710000000005</v>
      </c>
      <c r="F3" s="26">
        <f>'Dairy Partners'!F31</f>
        <v>5.6415108000000007</v>
      </c>
      <c r="G3" s="26">
        <f>'Dairy Partners'!G31</f>
        <v>2.4380000000000002E-2</v>
      </c>
      <c r="H3" s="26">
        <f>'Dairy Partners'!H31</f>
        <v>0.23214000000000001</v>
      </c>
      <c r="I3" s="26">
        <f>'Dairy Partners'!I31</f>
        <v>5.2999999999999999E-2</v>
      </c>
      <c r="J3" s="26">
        <f>'Dairy Partners'!J31</f>
        <v>1.0600000000000002E-3</v>
      </c>
      <c r="K3" s="26">
        <f>'Dairy Partners'!K31</f>
        <v>5.3E-3</v>
      </c>
      <c r="L3" s="26">
        <f>'Dairy Partners'!L31</f>
        <v>2.12E-2</v>
      </c>
      <c r="M3" s="26">
        <f>'Dairy Partners'!M31</f>
        <v>3.7100000000000001E-2</v>
      </c>
      <c r="N3" s="26">
        <f>'Dairy Partners'!N31</f>
        <v>0</v>
      </c>
      <c r="O3" s="26">
        <f>'Dairy Partners'!O31</f>
        <v>0</v>
      </c>
      <c r="P3" s="26">
        <f>'Dairy Partners'!P31</f>
        <v>31.27</v>
      </c>
      <c r="Q3" s="26">
        <f>'Dairy Partners'!Q31</f>
        <v>24.591999999999999</v>
      </c>
      <c r="R3" s="26">
        <f>'Dairy Partners'!R31</f>
        <v>0</v>
      </c>
      <c r="S3" s="26">
        <f>'Dairy Partners'!S31</f>
        <v>0</v>
      </c>
      <c r="T3" s="26">
        <f>'Dairy Partners'!T31</f>
        <v>0</v>
      </c>
      <c r="U3" s="26">
        <f>'Dairy Partners'!U31</f>
        <v>0</v>
      </c>
    </row>
    <row r="4" spans="1:21" x14ac:dyDescent="0.25">
      <c r="A4" s="29">
        <v>2</v>
      </c>
      <c r="B4" s="26">
        <f>Volvac!B31</f>
        <v>80</v>
      </c>
      <c r="C4" s="26">
        <f>Volvac!C31</f>
        <v>176</v>
      </c>
      <c r="D4" s="26">
        <f>Volvac!D31</f>
        <v>78.993679999999983</v>
      </c>
      <c r="E4" s="26">
        <f>Volvac!E31</f>
        <v>19.954800000000002</v>
      </c>
      <c r="F4" s="26">
        <f>Volvac!F31</f>
        <v>3.7271840000000003</v>
      </c>
      <c r="G4" s="26">
        <f>Volvac!G31</f>
        <v>1.6E-2</v>
      </c>
      <c r="H4" s="26">
        <f>Volvac!H31</f>
        <v>8.6400000000000005E-2</v>
      </c>
      <c r="I4" s="26">
        <f>Volvac!I31</f>
        <v>0.04</v>
      </c>
      <c r="J4" s="26">
        <f>Volvac!J31</f>
        <v>8.0000000000000004E-4</v>
      </c>
      <c r="K4" s="26">
        <f>Volvac!K31</f>
        <v>4.0000000000000001E-3</v>
      </c>
      <c r="L4" s="26">
        <f>Volvac!L31</f>
        <v>1.6E-2</v>
      </c>
      <c r="M4" s="26">
        <f>Volvac!M31</f>
        <v>1.6E-2</v>
      </c>
      <c r="N4" s="26">
        <f>Volvac!N31</f>
        <v>0</v>
      </c>
      <c r="O4" s="26">
        <f>Volvac!O31</f>
        <v>0</v>
      </c>
      <c r="P4" s="26">
        <f>Volvac!P31</f>
        <v>23.759999999999998</v>
      </c>
      <c r="Q4" s="26">
        <f>Volvac!Q31</f>
        <v>18.100000000000001</v>
      </c>
      <c r="R4" s="26">
        <f>Volvac!R31</f>
        <v>0</v>
      </c>
      <c r="S4" s="26">
        <f>Volvac!S31</f>
        <v>0</v>
      </c>
      <c r="T4" s="26">
        <f>Volvac!T31</f>
        <v>0</v>
      </c>
      <c r="U4" s="26">
        <f>Volvac!U31</f>
        <v>0</v>
      </c>
    </row>
    <row r="5" spans="1:21" x14ac:dyDescent="0.25">
      <c r="A5" s="29">
        <v>3</v>
      </c>
      <c r="B5" s="26">
        <f>'First Milk'!B31</f>
        <v>250</v>
      </c>
      <c r="C5" s="26">
        <f>'First Milk'!C31</f>
        <v>25</v>
      </c>
      <c r="D5" s="26">
        <f>'First Milk'!D31</f>
        <v>8.934899999999999</v>
      </c>
      <c r="E5" s="26">
        <f>'First Milk'!E31</f>
        <v>31.631250000000001</v>
      </c>
      <c r="F5" s="26">
        <f>'First Milk'!F31</f>
        <v>4.1449999999999996</v>
      </c>
      <c r="G5" s="26">
        <f>'First Milk'!G31</f>
        <v>0.05</v>
      </c>
      <c r="H5" s="26">
        <f>'First Milk'!H31</f>
        <v>0.5</v>
      </c>
      <c r="I5" s="26">
        <f>'First Milk'!I31</f>
        <v>0.125</v>
      </c>
      <c r="J5" s="26">
        <f>'First Milk'!J31</f>
        <v>2.5000000000000001E-3</v>
      </c>
      <c r="K5" s="26">
        <f>'First Milk'!K31</f>
        <v>1.2500000000000001E-2</v>
      </c>
      <c r="L5" s="26">
        <f>'First Milk'!L31</f>
        <v>0.05</v>
      </c>
      <c r="M5" s="26">
        <f>'First Milk'!M31</f>
        <v>0.05</v>
      </c>
      <c r="N5" s="26">
        <f>'First Milk'!N31</f>
        <v>0</v>
      </c>
      <c r="O5" s="26">
        <f>'First Milk'!O31</f>
        <v>0</v>
      </c>
      <c r="P5" s="26">
        <f>'First Milk'!P31</f>
        <v>171</v>
      </c>
      <c r="Q5" s="26">
        <f>'First Milk'!Q31</f>
        <v>17.875</v>
      </c>
      <c r="R5" s="26">
        <f>'First Milk'!R31</f>
        <v>0</v>
      </c>
      <c r="S5" s="26">
        <f>'First Milk'!S31</f>
        <v>0</v>
      </c>
      <c r="T5" s="26">
        <f>'First Milk'!T31</f>
        <v>0</v>
      </c>
      <c r="U5" s="26">
        <f>'First Milk'!U31</f>
        <v>0</v>
      </c>
    </row>
    <row r="6" spans="1:21" x14ac:dyDescent="0.25">
      <c r="A6" s="29">
        <v>4</v>
      </c>
      <c r="B6" s="26">
        <f>'Penderyn '!B31</f>
        <v>100</v>
      </c>
      <c r="C6" s="26">
        <f>'Penderyn '!C31</f>
        <v>100</v>
      </c>
      <c r="D6" s="26">
        <f>'Penderyn '!D31</f>
        <v>74.915700000000001</v>
      </c>
      <c r="E6" s="26">
        <f>'Penderyn '!E31</f>
        <v>86.519000000000005</v>
      </c>
      <c r="F6" s="26">
        <f>'Penderyn '!F31</f>
        <v>21.2224</v>
      </c>
      <c r="G6" s="26">
        <f>'Penderyn '!G31</f>
        <v>0.05</v>
      </c>
      <c r="H6" s="26">
        <f>'Penderyn '!H31</f>
        <v>0.1</v>
      </c>
      <c r="I6" s="26">
        <f>'Penderyn '!I31</f>
        <v>0.05</v>
      </c>
      <c r="J6" s="26">
        <f>'Penderyn '!J31</f>
        <v>1E-3</v>
      </c>
      <c r="K6" s="26">
        <f>'Penderyn '!K31</f>
        <v>5.0000000000000001E-3</v>
      </c>
      <c r="L6" s="26">
        <f>'Penderyn '!L31</f>
        <v>0.02</v>
      </c>
      <c r="M6" s="26">
        <f>'Penderyn '!M31</f>
        <v>0.02</v>
      </c>
      <c r="N6" s="26">
        <f>'Penderyn '!N31</f>
        <v>0</v>
      </c>
      <c r="O6" s="26">
        <f>'Penderyn '!O31</f>
        <v>0</v>
      </c>
      <c r="P6" s="26">
        <f>'Penderyn '!P31</f>
        <v>30.8</v>
      </c>
      <c r="Q6" s="26">
        <f>'Penderyn '!Q31</f>
        <v>28.5</v>
      </c>
      <c r="R6" s="26">
        <f>'Penderyn '!R31</f>
        <v>0</v>
      </c>
      <c r="S6" s="26">
        <f>'Penderyn '!S31</f>
        <v>0</v>
      </c>
      <c r="T6" s="26">
        <f>'Penderyn '!T31</f>
        <v>0</v>
      </c>
      <c r="U6" s="26">
        <f>'Penderyn '!U31</f>
        <v>0</v>
      </c>
    </row>
    <row r="7" spans="1:21" x14ac:dyDescent="0.25">
      <c r="A7" s="29">
        <v>5</v>
      </c>
      <c r="B7" s="26">
        <f>Llechryd!B31</f>
        <v>165</v>
      </c>
      <c r="C7" s="26">
        <f>Llechryd!C31</f>
        <v>68.260500000000008</v>
      </c>
      <c r="D7" s="26">
        <f>Llechryd!D31</f>
        <v>32.617402290000001</v>
      </c>
      <c r="E7" s="26">
        <f>Llechryd!E31</f>
        <v>1.6333274924999999</v>
      </c>
      <c r="F7" s="26">
        <f>Llechryd!F31</f>
        <v>5.0444119439999993</v>
      </c>
      <c r="G7" s="26">
        <f>Llechryd!G31</f>
        <v>8.6885864999999993E-2</v>
      </c>
      <c r="H7" s="26">
        <f>Llechryd!H31</f>
        <v>2.0283120000000001</v>
      </c>
      <c r="I7" s="26">
        <f>Llechryd!I31</f>
        <v>0.28376865000000001</v>
      </c>
      <c r="J7" s="26">
        <f>Llechryd!J31</f>
        <v>3.3155100000000002E-3</v>
      </c>
      <c r="K7" s="26">
        <f>Llechryd!K31</f>
        <v>6.6310200000000005E-3</v>
      </c>
      <c r="L7" s="26">
        <f>Llechryd!L31</f>
        <v>0.22916025000000001</v>
      </c>
      <c r="M7" s="26">
        <f>Llechryd!M31</f>
        <v>0.156024</v>
      </c>
      <c r="N7" s="26">
        <f>Llechryd!N31</f>
        <v>28.864440000000002</v>
      </c>
      <c r="O7" s="26">
        <f>Llechryd!O31</f>
        <v>3939.6060000000002</v>
      </c>
      <c r="P7" s="26">
        <f>Llechryd!P31</f>
        <v>0</v>
      </c>
      <c r="Q7" s="26">
        <f>Llechryd!Q31</f>
        <v>118.72451249999999</v>
      </c>
      <c r="R7" s="26">
        <f>Llechryd!R31</f>
        <v>0</v>
      </c>
      <c r="S7" s="26">
        <f>Llechryd!S31</f>
        <v>0.22038389999999999</v>
      </c>
      <c r="T7" s="26">
        <f>Llechryd!T31</f>
        <v>0</v>
      </c>
      <c r="U7" s="26">
        <f>Llechryd!U31</f>
        <v>0</v>
      </c>
    </row>
    <row r="8" spans="1:21" x14ac:dyDescent="0.25">
      <c r="A8" s="29">
        <v>6</v>
      </c>
      <c r="B8" s="26">
        <f>'Bolton hill'!B31</f>
        <v>250</v>
      </c>
      <c r="C8" s="26">
        <f>'Bolton hill'!C31</f>
        <v>6.125</v>
      </c>
      <c r="D8" s="26">
        <f>'Bolton hill'!D31</f>
        <v>2.6914095250000005</v>
      </c>
      <c r="E8" s="26">
        <f>'Bolton hill'!E31</f>
        <v>0.64654275000000005</v>
      </c>
      <c r="F8" s="26">
        <f>'Bolton hill'!F31</f>
        <v>1.1759779499999998</v>
      </c>
      <c r="G8" s="26">
        <f>'Bolton hill'!G31</f>
        <v>2.8665E-2</v>
      </c>
      <c r="H8" s="26">
        <f>'Bolton hill'!H31</f>
        <v>5.7329999999999999E-2</v>
      </c>
      <c r="I8" s="26">
        <f>'Bolton hill'!I31</f>
        <v>9.4325000000000016E-3</v>
      </c>
      <c r="J8" s="26">
        <f>'Bolton hill'!J31</f>
        <v>2.4500000000000005E-4</v>
      </c>
      <c r="K8" s="26">
        <f>'Bolton hill'!K31</f>
        <v>6.1250000000000009E-4</v>
      </c>
      <c r="L8" s="26">
        <f>'Bolton hill'!L31</f>
        <v>1.6292500000000001E-2</v>
      </c>
      <c r="M8" s="26">
        <f>'Bolton hill'!M31</f>
        <v>1.53125E-2</v>
      </c>
      <c r="N8" s="26">
        <f>'Bolton hill'!N31</f>
        <v>65.586500000000001</v>
      </c>
      <c r="O8" s="26">
        <f>'Bolton hill'!O31</f>
        <v>10.963750000000001</v>
      </c>
      <c r="P8" s="26">
        <f>'Bolton hill'!P31</f>
        <v>0.20457500000000001</v>
      </c>
      <c r="Q8" s="26">
        <f>'Bolton hill'!Q31</f>
        <v>11.08625</v>
      </c>
      <c r="R8" s="26">
        <f>'Bolton hill'!R31</f>
        <v>1.8374999999999999E-3</v>
      </c>
      <c r="S8" s="26">
        <f>'Bolton hill'!S31</f>
        <v>8.3300000000000023E-3</v>
      </c>
      <c r="T8" s="26">
        <f>'Bolton hill'!T31</f>
        <v>0</v>
      </c>
      <c r="U8" s="26">
        <f>'Bolton hill'!U31</f>
        <v>0</v>
      </c>
    </row>
    <row r="9" spans="1:21" x14ac:dyDescent="0.25">
      <c r="A9" s="29">
        <v>7</v>
      </c>
      <c r="B9" s="26">
        <f>'Bolton hill 2'!B31</f>
        <v>80</v>
      </c>
      <c r="C9" s="26">
        <f>'Bolton hill 2'!C31</f>
        <v>147.232</v>
      </c>
      <c r="D9" s="26">
        <f>'Bolton hill 2'!D31</f>
        <v>79.125641599999994</v>
      </c>
      <c r="E9" s="26">
        <f>'Bolton hill 2'!E31</f>
        <v>11.6231408</v>
      </c>
      <c r="F9" s="26">
        <f>'Bolton hill 2'!F31</f>
        <v>36.958809599999995</v>
      </c>
      <c r="G9" s="26">
        <f>'Bolton hill 2'!G31</f>
        <v>0.73340799999999995</v>
      </c>
      <c r="H9" s="26">
        <f>'Bolton hill 2'!H31</f>
        <v>2.0089599999999996</v>
      </c>
      <c r="I9" s="26">
        <f>'Bolton hill 2'!I31</f>
        <v>0.13622400000000001</v>
      </c>
      <c r="J9" s="26">
        <f>'Bolton hill 2'!J31</f>
        <v>7.5680000000000001E-3</v>
      </c>
      <c r="K9" s="26">
        <f>'Bolton hill 2'!K31</f>
        <v>7.5680000000000001E-3</v>
      </c>
      <c r="L9" s="26">
        <f>'Bolton hill 2'!L31</f>
        <v>0.44582399999999994</v>
      </c>
      <c r="M9" s="26">
        <f>'Bolton hill 2'!M31</f>
        <v>0.29171199999999997</v>
      </c>
      <c r="N9" s="26">
        <f>'Bolton hill 2'!N31</f>
        <v>1747.5199999999998</v>
      </c>
      <c r="O9" s="26">
        <f>'Bolton hill 2'!O31</f>
        <v>370.14400000000001</v>
      </c>
      <c r="P9" s="26">
        <f>'Bolton hill 2'!P31</f>
        <v>0</v>
      </c>
      <c r="Q9" s="26">
        <f>'Bolton hill 2'!Q31</f>
        <v>190.92</v>
      </c>
      <c r="R9" s="26">
        <f>'Bolton hill 2'!R31</f>
        <v>0</v>
      </c>
      <c r="S9" s="26">
        <f>'Bolton hill 2'!S31</f>
        <v>0.26143999999999995</v>
      </c>
      <c r="T9" s="26">
        <f>'Bolton hill 2'!T31</f>
        <v>0</v>
      </c>
      <c r="U9" s="26">
        <f>'Bolton hill 2'!U31</f>
        <v>0</v>
      </c>
    </row>
    <row r="10" spans="1:21" x14ac:dyDescent="0.25">
      <c r="A10" s="29">
        <v>8</v>
      </c>
      <c r="B10" s="26">
        <f>Preseli!B31</f>
        <v>80</v>
      </c>
      <c r="C10" s="26">
        <f>Preseli!C31</f>
        <v>144.70400000000001</v>
      </c>
      <c r="D10" s="26">
        <f>Preseli!D31</f>
        <v>61.068896000000009</v>
      </c>
      <c r="E10" s="26">
        <f>Preseli!E31</f>
        <v>2.1894368000000002</v>
      </c>
      <c r="F10" s="26">
        <f>Preseli!F31</f>
        <v>4.0768230399999998</v>
      </c>
      <c r="G10" s="26">
        <f>Preseli!G31</f>
        <v>0.22848000000000004</v>
      </c>
      <c r="H10" s="26">
        <f>Preseli!H31</f>
        <v>0.86604799999999993</v>
      </c>
      <c r="I10" s="26">
        <f>Preseli!I31</f>
        <v>0.33728000000000002</v>
      </c>
      <c r="J10" s="26">
        <f>Preseli!J31</f>
        <v>4.7872000000000001E-3</v>
      </c>
      <c r="K10" s="26">
        <f>Preseli!K31</f>
        <v>8.1600000000000006E-3</v>
      </c>
      <c r="L10" s="26">
        <f>Preseli!L31</f>
        <v>5.5487999999999996E-2</v>
      </c>
      <c r="M10" s="26">
        <f>Preseli!M31</f>
        <v>4.6783999999999999E-2</v>
      </c>
      <c r="N10" s="26">
        <f>Preseli!N31</f>
        <v>1370.88</v>
      </c>
      <c r="O10" s="26">
        <f>Preseli!O31</f>
        <v>336.19200000000006</v>
      </c>
      <c r="P10" s="26">
        <f>Preseli!P31</f>
        <v>0</v>
      </c>
      <c r="Q10" s="26">
        <f>Preseli!Q31</f>
        <v>116.14400000000003</v>
      </c>
      <c r="R10" s="26">
        <f>Preseli!R31</f>
        <v>0</v>
      </c>
      <c r="S10" s="26">
        <f>Preseli!S31</f>
        <v>0.64083200000000007</v>
      </c>
      <c r="T10" s="26">
        <f>Preseli!T31</f>
        <v>0</v>
      </c>
      <c r="U10" s="26">
        <f>Preseli!U31</f>
        <v>0</v>
      </c>
    </row>
    <row r="11" spans="1:21" x14ac:dyDescent="0.25">
      <c r="A11" s="29">
        <v>9</v>
      </c>
      <c r="B11" s="26">
        <f>'Strata Florida'!B31</f>
        <v>75</v>
      </c>
      <c r="C11" s="26">
        <f>'Strata Florida'!C31</f>
        <v>127.72500000000001</v>
      </c>
      <c r="D11" s="26">
        <f>'Strata Florida'!D31</f>
        <v>55.822505999999997</v>
      </c>
      <c r="E11" s="26">
        <f>'Strata Florida'!E31</f>
        <v>1.8350643750000002</v>
      </c>
      <c r="F11" s="26">
        <f>'Strata Florida'!F31</f>
        <v>3.8932741500000003</v>
      </c>
      <c r="G11" s="26">
        <f>'Strata Florida'!G31</f>
        <v>0.198465</v>
      </c>
      <c r="H11" s="26">
        <f>'Strata Florida'!H31</f>
        <v>0.78796500000000014</v>
      </c>
      <c r="I11" s="26">
        <f>'Strata Florida'!I31</f>
        <v>0.45882750000000005</v>
      </c>
      <c r="J11" s="26">
        <f>'Strata Florida'!J31</f>
        <v>3.63525E-3</v>
      </c>
      <c r="K11" s="26">
        <f>'Strata Florida'!K31</f>
        <v>7.4670000000000014E-3</v>
      </c>
      <c r="L11" s="26">
        <f>'Strata Florida'!L31</f>
        <v>1.5916500000000004E-2</v>
      </c>
      <c r="M11" s="26">
        <f>'Strata Florida'!M31</f>
        <v>4.22475E-2</v>
      </c>
      <c r="N11" s="26">
        <f>'Strata Florida'!N31</f>
        <v>1228.125</v>
      </c>
      <c r="O11" s="26">
        <f>'Strata Florida'!O31</f>
        <v>304.57499999999999</v>
      </c>
      <c r="P11" s="26">
        <f>'Strata Florida'!P31</f>
        <v>0</v>
      </c>
      <c r="Q11" s="26">
        <f>'Strata Florida'!Q31</f>
        <v>109.30312500000001</v>
      </c>
      <c r="R11" s="26">
        <f>'Strata Florida'!R31</f>
        <v>0</v>
      </c>
      <c r="S11" s="26">
        <f>'Strata Florida'!S31</f>
        <v>0.67497750000000012</v>
      </c>
      <c r="T11" s="26">
        <f>'Strata Florida'!T31</f>
        <v>0</v>
      </c>
      <c r="U11" s="26">
        <f>'Strata Florida'!U31</f>
        <v>0</v>
      </c>
    </row>
    <row r="12" spans="1:21" x14ac:dyDescent="0.25">
      <c r="A12" s="29">
        <v>10</v>
      </c>
      <c r="B12" s="26">
        <f>'Bontgoch '!B31</f>
        <v>20</v>
      </c>
      <c r="C12" s="26">
        <f>'Bontgoch '!C31</f>
        <v>62.118000000000009</v>
      </c>
      <c r="D12" s="26">
        <f>'Bontgoch '!D31</f>
        <v>80.085570599999997</v>
      </c>
      <c r="E12" s="26">
        <f>'Bontgoch '!E31</f>
        <v>0.42563010000000001</v>
      </c>
      <c r="F12" s="26">
        <f>'Bontgoch '!F31</f>
        <v>5.3447951200000006</v>
      </c>
      <c r="G12" s="26">
        <f>'Bontgoch '!G31</f>
        <v>5.7245999999999998E-2</v>
      </c>
      <c r="H12" s="26">
        <f>'Bontgoch '!H31</f>
        <v>1.0962000000000001</v>
      </c>
      <c r="I12" s="26">
        <f>'Bontgoch '!I31</f>
        <v>0.161994</v>
      </c>
      <c r="J12" s="26">
        <f>'Bontgoch '!J31</f>
        <v>4.8720000000000008E-4</v>
      </c>
      <c r="K12" s="26">
        <f>'Bontgoch '!K31</f>
        <v>1.9894000000000001E-3</v>
      </c>
      <c r="L12" s="26">
        <f>'Bontgoch '!L31</f>
        <v>9.3786000000000008E-2</v>
      </c>
      <c r="M12" s="26">
        <f>'Bontgoch '!M31</f>
        <v>6.0494000000000006E-2</v>
      </c>
      <c r="N12" s="26">
        <f>'Bontgoch '!N31</f>
        <v>25.293800000000001</v>
      </c>
      <c r="O12" s="26">
        <f>'Bontgoch '!O31</f>
        <v>2119.3200000000002</v>
      </c>
      <c r="P12" s="26">
        <f>'Bontgoch '!P31</f>
        <v>0</v>
      </c>
      <c r="Q12" s="26">
        <f>'Bontgoch '!Q31</f>
        <v>25.882500000000004</v>
      </c>
      <c r="R12" s="26">
        <f>'Bontgoch '!R31</f>
        <v>0</v>
      </c>
      <c r="S12" s="26">
        <f>'Bontgoch '!S31</f>
        <v>0.10109399999999999</v>
      </c>
      <c r="T12" s="26">
        <f>'Bontgoch '!T31</f>
        <v>0</v>
      </c>
      <c r="U12" s="26">
        <f>'Bontgoch '!U31</f>
        <v>0</v>
      </c>
    </row>
    <row r="13" spans="1:21" s="72" customFormat="1" ht="15.5" x14ac:dyDescent="0.35">
      <c r="A13" s="70" t="s">
        <v>85</v>
      </c>
      <c r="B13" s="71">
        <f>SUM(B3:B12)</f>
        <v>1206</v>
      </c>
      <c r="C13" s="71">
        <f t="shared" ref="C13:U13" si="0">SUM(C3:C12)</f>
        <v>994.96450000000004</v>
      </c>
      <c r="D13" s="71">
        <f t="shared" si="0"/>
        <v>554.15204001500001</v>
      </c>
      <c r="E13" s="71">
        <f t="shared" si="0"/>
        <v>185.45290231750002</v>
      </c>
      <c r="F13" s="71">
        <f t="shared" si="0"/>
        <v>91.230186603999982</v>
      </c>
      <c r="G13" s="71">
        <f t="shared" si="0"/>
        <v>1.4735298649999999</v>
      </c>
      <c r="H13" s="71">
        <f t="shared" si="0"/>
        <v>7.7633550000000007</v>
      </c>
      <c r="I13" s="71">
        <f t="shared" si="0"/>
        <v>1.6555266500000001</v>
      </c>
      <c r="J13" s="71">
        <f t="shared" si="0"/>
        <v>2.5398160000000003E-2</v>
      </c>
      <c r="K13" s="71">
        <f t="shared" si="0"/>
        <v>5.9227920000000003E-2</v>
      </c>
      <c r="L13" s="71">
        <f t="shared" si="0"/>
        <v>0.96366724999999998</v>
      </c>
      <c r="M13" s="71">
        <f t="shared" si="0"/>
        <v>0.73567400000000005</v>
      </c>
      <c r="N13" s="71">
        <f t="shared" si="0"/>
        <v>4466.2697400000006</v>
      </c>
      <c r="O13" s="71">
        <f t="shared" si="0"/>
        <v>7080.8007500000003</v>
      </c>
      <c r="P13" s="71">
        <f t="shared" si="0"/>
        <v>257.03457499999996</v>
      </c>
      <c r="Q13" s="71">
        <f t="shared" si="0"/>
        <v>661.12738750000005</v>
      </c>
      <c r="R13" s="71">
        <f t="shared" si="0"/>
        <v>1.8374999999999999E-3</v>
      </c>
      <c r="S13" s="71">
        <f t="shared" si="0"/>
        <v>1.9070574</v>
      </c>
      <c r="T13" s="71">
        <f t="shared" si="0"/>
        <v>0</v>
      </c>
      <c r="U13" s="7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'Dairy Partners'!B29</f>
        <v>Application Rate</v>
      </c>
      <c r="D1" s="28" t="str">
        <f>'Dairy Partners'!C29</f>
        <v>Nitrogen Addition</v>
      </c>
      <c r="E1" s="28" t="str">
        <f>'Dairy Partners'!D29</f>
        <v>Phosphate Addition</v>
      </c>
      <c r="F1" s="28" t="str">
        <f>'Dairy Partners'!E29</f>
        <v>Potash  Addition</v>
      </c>
      <c r="G1" s="28" t="str">
        <f>'Dairy Partners'!F29</f>
        <v>Mg Oxide Addition</v>
      </c>
      <c r="H1" s="28" t="str">
        <f>'Dairy Partners'!G29</f>
        <v>Copper Addition</v>
      </c>
      <c r="I1" s="28" t="str">
        <f>'Dairy Partners'!H29</f>
        <v>Zinc Addition</v>
      </c>
      <c r="J1" s="28" t="str">
        <f>'Dairy Partners'!I29</f>
        <v>Lead Addition</v>
      </c>
      <c r="K1" s="28" t="str">
        <f>'Dairy Partners'!J29</f>
        <v>Cadmium Addition</v>
      </c>
      <c r="L1" s="28" t="str">
        <f>'Dairy Partners'!K29</f>
        <v>Mercury Addition</v>
      </c>
      <c r="M1" s="28" t="str">
        <f>'Dairy Partners'!L29</f>
        <v>Nickel Addition</v>
      </c>
      <c r="N1" s="28" t="str">
        <f>'Dairy Partners'!M29</f>
        <v>Chromium Addition</v>
      </c>
      <c r="O1" s="28" t="str">
        <f>'Dairy Partners'!N29</f>
        <v>Aluminium Addition</v>
      </c>
      <c r="P1" s="28" t="str">
        <f>'Dairy Partners'!O29</f>
        <v>Iron Addition</v>
      </c>
      <c r="Q1" s="28" t="str">
        <f>'Dairy Partners'!P29</f>
        <v xml:space="preserve">Sodium Addition                 </v>
      </c>
      <c r="R1" s="28" t="str">
        <f>'Dairy Partners'!Q29</f>
        <v>SO3  Addition                             kg/ha</v>
      </c>
      <c r="S1" s="28" t="str">
        <f>'Dairy Partners'!R29</f>
        <v xml:space="preserve">Selenium Addition </v>
      </c>
      <c r="T1" s="28" t="str">
        <f>'Dairy Partners'!S29</f>
        <v xml:space="preserve">Arsenic  Addition  </v>
      </c>
      <c r="U1" s="28" t="str">
        <f>'Dairy Partners'!T29</f>
        <v xml:space="preserve">Molybdenum Addition  </v>
      </c>
      <c r="V1" s="28" t="str">
        <f>'Dairy Partners'!U29</f>
        <v xml:space="preserve">Fluoride Addition </v>
      </c>
    </row>
    <row r="2" spans="1:22" s="73" customFormat="1" ht="25" x14ac:dyDescent="0.35">
      <c r="A2" s="132"/>
      <c r="B2" s="25" t="s">
        <v>46</v>
      </c>
      <c r="C2" s="28" t="str">
        <f>'Dairy Partners'!B30</f>
        <v>tonnes/ha</v>
      </c>
      <c r="D2" s="28" t="str">
        <f>'Dairy Partners'!C30</f>
        <v>kg/ha</v>
      </c>
      <c r="E2" s="28" t="str">
        <f>'Dairy Partners'!D30</f>
        <v>P2O5 
kg/ha</v>
      </c>
      <c r="F2" s="28" t="str">
        <f>'Dairy Partners'!E30</f>
        <v>K2O 
kg/ha</v>
      </c>
      <c r="G2" s="28" t="str">
        <f>'Dairy Partners'!F30</f>
        <v>MgO 
kg/ha</v>
      </c>
      <c r="H2" s="28" t="str">
        <f>'Dairy Partners'!G30</f>
        <v>kg/ha</v>
      </c>
      <c r="I2" s="28" t="str">
        <f>'Dairy Partners'!H30</f>
        <v>kg/ha</v>
      </c>
      <c r="J2" s="28" t="str">
        <f>'Dairy Partners'!I30</f>
        <v>kg/ha</v>
      </c>
      <c r="K2" s="28" t="str">
        <f>'Dairy Partners'!J30</f>
        <v>kg/ha</v>
      </c>
      <c r="L2" s="28" t="str">
        <f>'Dairy Partners'!K30</f>
        <v>kg/ha</v>
      </c>
      <c r="M2" s="28" t="str">
        <f>'Dairy Partners'!L30</f>
        <v>kg/ha</v>
      </c>
      <c r="N2" s="28" t="str">
        <f>'Dairy Partners'!M30</f>
        <v>kg/ha</v>
      </c>
      <c r="O2" s="28" t="str">
        <f>'Dairy Partners'!N30</f>
        <v>kg/ha</v>
      </c>
      <c r="P2" s="28" t="str">
        <f>'Dairy Partners'!O30</f>
        <v>kg/ha</v>
      </c>
      <c r="Q2" s="28" t="str">
        <f>'Dairy Partners'!P30</f>
        <v>kg/ha</v>
      </c>
      <c r="R2" s="28" t="str">
        <f>'Dairy Partners'!Q30</f>
        <v>kg/ha</v>
      </c>
      <c r="S2" s="28" t="str">
        <f>'Dairy Partners'!R30</f>
        <v>kg/ha</v>
      </c>
      <c r="T2" s="28" t="str">
        <f>'Dairy Partners'!S30</f>
        <v>kg/ha</v>
      </c>
      <c r="U2" s="28" t="str">
        <f>'Dairy Partners'!T30</f>
        <v>kg/ha</v>
      </c>
      <c r="V2" s="28" t="str">
        <f>'Dairy Partners'!U30</f>
        <v>kg/ha</v>
      </c>
    </row>
    <row r="3" spans="1:22" x14ac:dyDescent="0.25">
      <c r="A3" s="29">
        <v>1</v>
      </c>
      <c r="B3" s="81"/>
      <c r="C3" s="26">
        <f>'Dairy Partners'!B31</f>
        <v>106</v>
      </c>
      <c r="D3" s="26">
        <f>'Dairy Partners'!C31</f>
        <v>137.80000000000001</v>
      </c>
      <c r="E3" s="26">
        <f>'Dairy Partners'!D31</f>
        <v>79.896333999999996</v>
      </c>
      <c r="F3" s="26">
        <f>'Dairy Partners'!E31</f>
        <v>28.994710000000005</v>
      </c>
      <c r="G3" s="26">
        <f>'Dairy Partners'!F31</f>
        <v>5.6415108000000007</v>
      </c>
      <c r="H3" s="26">
        <f>'Dairy Partners'!G31</f>
        <v>2.4380000000000002E-2</v>
      </c>
      <c r="I3" s="26">
        <f>'Dairy Partners'!H31</f>
        <v>0.23214000000000001</v>
      </c>
      <c r="J3" s="26">
        <f>'Dairy Partners'!I31</f>
        <v>5.2999999999999999E-2</v>
      </c>
      <c r="K3" s="26">
        <f>'Dairy Partners'!J31</f>
        <v>1.0600000000000002E-3</v>
      </c>
      <c r="L3" s="26">
        <f>'Dairy Partners'!K31</f>
        <v>5.3E-3</v>
      </c>
      <c r="M3" s="26">
        <f>'Dairy Partners'!L31</f>
        <v>2.12E-2</v>
      </c>
      <c r="N3" s="26">
        <f>'Dairy Partners'!M31</f>
        <v>3.7100000000000001E-2</v>
      </c>
      <c r="O3" s="26">
        <f>'Dairy Partners'!N31</f>
        <v>0</v>
      </c>
      <c r="P3" s="26">
        <f>'Dairy Partners'!O31</f>
        <v>0</v>
      </c>
      <c r="Q3" s="26">
        <f>'Dairy Partners'!P31</f>
        <v>31.27</v>
      </c>
      <c r="R3" s="26">
        <f>'Dairy Partners'!Q31</f>
        <v>24.591999999999999</v>
      </c>
      <c r="S3" s="26">
        <f>'Dairy Partners'!R31</f>
        <v>0</v>
      </c>
      <c r="T3" s="26">
        <f>'Dairy Partners'!S31</f>
        <v>0</v>
      </c>
      <c r="U3" s="26">
        <f>'Dairy Partners'!T31</f>
        <v>0</v>
      </c>
      <c r="V3" s="26">
        <f>'Dairy Partners'!U31</f>
        <v>0</v>
      </c>
    </row>
    <row r="4" spans="1:22" x14ac:dyDescent="0.25">
      <c r="A4" s="29">
        <v>2</v>
      </c>
      <c r="B4" s="81"/>
      <c r="C4" s="26">
        <f>Volvac!B31</f>
        <v>80</v>
      </c>
      <c r="D4" s="26">
        <f>Volvac!C31</f>
        <v>176</v>
      </c>
      <c r="E4" s="26">
        <f>Volvac!D31</f>
        <v>78.993679999999983</v>
      </c>
      <c r="F4" s="26">
        <f>Volvac!E31</f>
        <v>19.954800000000002</v>
      </c>
      <c r="G4" s="26">
        <f>Volvac!F31</f>
        <v>3.7271840000000003</v>
      </c>
      <c r="H4" s="26">
        <f>Volvac!G31</f>
        <v>1.6E-2</v>
      </c>
      <c r="I4" s="26">
        <f>Volvac!H31</f>
        <v>8.6400000000000005E-2</v>
      </c>
      <c r="J4" s="26">
        <f>Volvac!I31</f>
        <v>0.04</v>
      </c>
      <c r="K4" s="26">
        <f>Volvac!J31</f>
        <v>8.0000000000000004E-4</v>
      </c>
      <c r="L4" s="26">
        <f>Volvac!K31</f>
        <v>4.0000000000000001E-3</v>
      </c>
      <c r="M4" s="26">
        <f>Volvac!L31</f>
        <v>1.6E-2</v>
      </c>
      <c r="N4" s="26">
        <f>Volvac!M31</f>
        <v>1.6E-2</v>
      </c>
      <c r="O4" s="26">
        <f>Volvac!N31</f>
        <v>0</v>
      </c>
      <c r="P4" s="26">
        <f>Volvac!O31</f>
        <v>0</v>
      </c>
      <c r="Q4" s="26">
        <f>Volvac!P31</f>
        <v>23.759999999999998</v>
      </c>
      <c r="R4" s="26">
        <f>Volvac!Q31</f>
        <v>18.100000000000001</v>
      </c>
      <c r="S4" s="26">
        <f>Volvac!R31</f>
        <v>0</v>
      </c>
      <c r="T4" s="26">
        <f>Volvac!S31</f>
        <v>0</v>
      </c>
      <c r="U4" s="26">
        <f>Volvac!T31</f>
        <v>0</v>
      </c>
      <c r="V4" s="26">
        <f>Volvac!U31</f>
        <v>0</v>
      </c>
    </row>
    <row r="5" spans="1:22" x14ac:dyDescent="0.25">
      <c r="A5" s="29">
        <v>3</v>
      </c>
      <c r="B5" s="81"/>
      <c r="C5" s="26">
        <f>'First Milk'!B31</f>
        <v>250</v>
      </c>
      <c r="D5" s="26">
        <f>'First Milk'!C31</f>
        <v>25</v>
      </c>
      <c r="E5" s="26">
        <f>'First Milk'!D31</f>
        <v>8.934899999999999</v>
      </c>
      <c r="F5" s="26">
        <f>'First Milk'!E31</f>
        <v>31.631250000000001</v>
      </c>
      <c r="G5" s="26">
        <f>'First Milk'!F31</f>
        <v>4.1449999999999996</v>
      </c>
      <c r="H5" s="26">
        <f>'First Milk'!G31</f>
        <v>0.05</v>
      </c>
      <c r="I5" s="26">
        <f>'First Milk'!H31</f>
        <v>0.5</v>
      </c>
      <c r="J5" s="26">
        <f>'First Milk'!I31</f>
        <v>0.125</v>
      </c>
      <c r="K5" s="26">
        <f>'First Milk'!J31</f>
        <v>2.5000000000000001E-3</v>
      </c>
      <c r="L5" s="26">
        <f>'First Milk'!K31</f>
        <v>1.2500000000000001E-2</v>
      </c>
      <c r="M5" s="26">
        <f>'First Milk'!L31</f>
        <v>0.05</v>
      </c>
      <c r="N5" s="26">
        <f>'First Milk'!M31</f>
        <v>0.05</v>
      </c>
      <c r="O5" s="26">
        <f>'First Milk'!N31</f>
        <v>0</v>
      </c>
      <c r="P5" s="26">
        <f>'First Milk'!O31</f>
        <v>0</v>
      </c>
      <c r="Q5" s="26">
        <f>'First Milk'!P31</f>
        <v>171</v>
      </c>
      <c r="R5" s="26">
        <f>'First Milk'!Q31</f>
        <v>17.875</v>
      </c>
      <c r="S5" s="26">
        <f>'First Milk'!R31</f>
        <v>0</v>
      </c>
      <c r="T5" s="26">
        <f>'First Milk'!S31</f>
        <v>0</v>
      </c>
      <c r="U5" s="26">
        <f>'First Milk'!T31</f>
        <v>0</v>
      </c>
      <c r="V5" s="26">
        <f>'First Milk'!U31</f>
        <v>0</v>
      </c>
    </row>
    <row r="6" spans="1:22" x14ac:dyDescent="0.25">
      <c r="A6" s="29">
        <v>4</v>
      </c>
      <c r="B6" s="81"/>
      <c r="C6" s="26">
        <f>'Penderyn '!B31</f>
        <v>100</v>
      </c>
      <c r="D6" s="26">
        <f>'Penderyn '!C31</f>
        <v>100</v>
      </c>
      <c r="E6" s="26">
        <f>'Penderyn '!D31</f>
        <v>74.915700000000001</v>
      </c>
      <c r="F6" s="26">
        <f>'Penderyn '!E31</f>
        <v>86.519000000000005</v>
      </c>
      <c r="G6" s="26">
        <f>'Penderyn '!F31</f>
        <v>21.2224</v>
      </c>
      <c r="H6" s="26">
        <f>'Penderyn '!G31</f>
        <v>0.05</v>
      </c>
      <c r="I6" s="26">
        <f>'Penderyn '!H31</f>
        <v>0.1</v>
      </c>
      <c r="J6" s="26">
        <f>'Penderyn '!I31</f>
        <v>0.05</v>
      </c>
      <c r="K6" s="26">
        <f>'Penderyn '!J31</f>
        <v>1E-3</v>
      </c>
      <c r="L6" s="26">
        <f>'Penderyn '!K31</f>
        <v>5.0000000000000001E-3</v>
      </c>
      <c r="M6" s="26">
        <f>'Penderyn '!L31</f>
        <v>0.02</v>
      </c>
      <c r="N6" s="26">
        <f>'Penderyn '!M31</f>
        <v>0.02</v>
      </c>
      <c r="O6" s="26">
        <f>'Penderyn '!N31</f>
        <v>0</v>
      </c>
      <c r="P6" s="26">
        <f>'Penderyn '!O31</f>
        <v>0</v>
      </c>
      <c r="Q6" s="26">
        <f>'Penderyn '!P31</f>
        <v>30.8</v>
      </c>
      <c r="R6" s="26">
        <f>'Penderyn '!Q31</f>
        <v>28.5</v>
      </c>
      <c r="S6" s="26">
        <f>'Penderyn '!R31</f>
        <v>0</v>
      </c>
      <c r="T6" s="26">
        <f>'Penderyn '!S31</f>
        <v>0</v>
      </c>
      <c r="U6" s="26">
        <f>'Penderyn '!T31</f>
        <v>0</v>
      </c>
      <c r="V6" s="26">
        <f>'Penderyn '!U31</f>
        <v>0</v>
      </c>
    </row>
    <row r="7" spans="1:22" x14ac:dyDescent="0.25">
      <c r="A7" s="29">
        <v>5</v>
      </c>
      <c r="B7" s="81"/>
      <c r="C7" s="26">
        <f>Llechryd!B31</f>
        <v>165</v>
      </c>
      <c r="D7" s="26">
        <f>Llechryd!C31</f>
        <v>68.260500000000008</v>
      </c>
      <c r="E7" s="26">
        <f>Llechryd!D31</f>
        <v>32.617402290000001</v>
      </c>
      <c r="F7" s="26">
        <f>Llechryd!E31</f>
        <v>1.6333274924999999</v>
      </c>
      <c r="G7" s="26">
        <f>Llechryd!F31</f>
        <v>5.0444119439999993</v>
      </c>
      <c r="H7" s="26">
        <f>Llechryd!G31</f>
        <v>8.6885864999999993E-2</v>
      </c>
      <c r="I7" s="26">
        <f>Llechryd!H31</f>
        <v>2.0283120000000001</v>
      </c>
      <c r="J7" s="26">
        <f>Llechryd!I31</f>
        <v>0.28376865000000001</v>
      </c>
      <c r="K7" s="26">
        <f>Llechryd!J31</f>
        <v>3.3155100000000002E-3</v>
      </c>
      <c r="L7" s="26">
        <f>Llechryd!K31</f>
        <v>6.6310200000000005E-3</v>
      </c>
      <c r="M7" s="26">
        <f>Llechryd!L31</f>
        <v>0.22916025000000001</v>
      </c>
      <c r="N7" s="26">
        <f>Llechryd!M31</f>
        <v>0.156024</v>
      </c>
      <c r="O7" s="26">
        <f>Llechryd!N31</f>
        <v>28.864440000000002</v>
      </c>
      <c r="P7" s="26">
        <f>Llechryd!O31</f>
        <v>3939.6060000000002</v>
      </c>
      <c r="Q7" s="26">
        <f>Llechryd!P31</f>
        <v>0</v>
      </c>
      <c r="R7" s="26">
        <f>Llechryd!Q31</f>
        <v>118.72451249999999</v>
      </c>
      <c r="S7" s="26">
        <f>Llechryd!R31</f>
        <v>0</v>
      </c>
      <c r="T7" s="26">
        <f>Llechryd!S31</f>
        <v>0.22038389999999999</v>
      </c>
      <c r="U7" s="26">
        <f>Llechryd!T31</f>
        <v>0</v>
      </c>
      <c r="V7" s="26">
        <f>Llechryd!U31</f>
        <v>0</v>
      </c>
    </row>
    <row r="8" spans="1:22" x14ac:dyDescent="0.25">
      <c r="A8" s="29">
        <v>6</v>
      </c>
      <c r="B8" s="81"/>
      <c r="C8" s="26">
        <f>'Bolton hill'!B31</f>
        <v>250</v>
      </c>
      <c r="D8" s="26">
        <f>'Bolton hill'!C31</f>
        <v>6.125</v>
      </c>
      <c r="E8" s="26">
        <f>'Bolton hill'!D31</f>
        <v>2.6914095250000005</v>
      </c>
      <c r="F8" s="26">
        <f>'Bolton hill'!E31</f>
        <v>0.64654275000000005</v>
      </c>
      <c r="G8" s="26">
        <f>'Bolton hill'!F31</f>
        <v>1.1759779499999998</v>
      </c>
      <c r="H8" s="26">
        <f>'Bolton hill'!G31</f>
        <v>2.8665E-2</v>
      </c>
      <c r="I8" s="26">
        <f>'Bolton hill'!H31</f>
        <v>5.7329999999999999E-2</v>
      </c>
      <c r="J8" s="26">
        <f>'Bolton hill'!I31</f>
        <v>9.4325000000000016E-3</v>
      </c>
      <c r="K8" s="26">
        <f>'Bolton hill'!J31</f>
        <v>2.4500000000000005E-4</v>
      </c>
      <c r="L8" s="26">
        <f>'Bolton hill'!K31</f>
        <v>6.1250000000000009E-4</v>
      </c>
      <c r="M8" s="26">
        <f>'Bolton hill'!L31</f>
        <v>1.6292500000000001E-2</v>
      </c>
      <c r="N8" s="26">
        <f>'Bolton hill'!M31</f>
        <v>1.53125E-2</v>
      </c>
      <c r="O8" s="26">
        <f>'Bolton hill'!N31</f>
        <v>65.586500000000001</v>
      </c>
      <c r="P8" s="26">
        <f>'Bolton hill'!O31</f>
        <v>10.963750000000001</v>
      </c>
      <c r="Q8" s="26">
        <f>'Bolton hill'!P31</f>
        <v>0.20457500000000001</v>
      </c>
      <c r="R8" s="26">
        <f>'Bolton hill'!Q31</f>
        <v>11.08625</v>
      </c>
      <c r="S8" s="26">
        <f>'Bolton hill'!R31</f>
        <v>1.8374999999999999E-3</v>
      </c>
      <c r="T8" s="26">
        <f>'Bolton hill'!S31</f>
        <v>8.3300000000000023E-3</v>
      </c>
      <c r="U8" s="26">
        <f>'Bolton hill'!T31</f>
        <v>0</v>
      </c>
      <c r="V8" s="26">
        <f>'Bolton hill'!U31</f>
        <v>0</v>
      </c>
    </row>
    <row r="9" spans="1:22" x14ac:dyDescent="0.25">
      <c r="A9" s="29">
        <v>7</v>
      </c>
      <c r="B9" s="81"/>
      <c r="C9" s="26">
        <f>'Bolton hill 2'!B31</f>
        <v>80</v>
      </c>
      <c r="D9" s="26">
        <f>'Bolton hill 2'!C31</f>
        <v>147.232</v>
      </c>
      <c r="E9" s="26">
        <f>'Bolton hill 2'!D31</f>
        <v>79.125641599999994</v>
      </c>
      <c r="F9" s="26">
        <f>'Bolton hill 2'!E31</f>
        <v>11.6231408</v>
      </c>
      <c r="G9" s="26">
        <f>'Bolton hill 2'!F31</f>
        <v>36.958809599999995</v>
      </c>
      <c r="H9" s="26">
        <f>'Bolton hill 2'!G31</f>
        <v>0.73340799999999995</v>
      </c>
      <c r="I9" s="26">
        <f>'Bolton hill 2'!H31</f>
        <v>2.0089599999999996</v>
      </c>
      <c r="J9" s="26">
        <f>'Bolton hill 2'!I31</f>
        <v>0.13622400000000001</v>
      </c>
      <c r="K9" s="26">
        <f>'Bolton hill 2'!J31</f>
        <v>7.5680000000000001E-3</v>
      </c>
      <c r="L9" s="26">
        <f>'Bolton hill 2'!K31</f>
        <v>7.5680000000000001E-3</v>
      </c>
      <c r="M9" s="26">
        <f>'Bolton hill 2'!L31</f>
        <v>0.44582399999999994</v>
      </c>
      <c r="N9" s="26">
        <f>'Bolton hill 2'!M31</f>
        <v>0.29171199999999997</v>
      </c>
      <c r="O9" s="26">
        <f>'Bolton hill 2'!N31</f>
        <v>1747.5199999999998</v>
      </c>
      <c r="P9" s="26">
        <f>'Bolton hill 2'!O31</f>
        <v>370.14400000000001</v>
      </c>
      <c r="Q9" s="26">
        <f>'Bolton hill 2'!P31</f>
        <v>0</v>
      </c>
      <c r="R9" s="26">
        <f>'Bolton hill 2'!Q31</f>
        <v>190.92</v>
      </c>
      <c r="S9" s="26">
        <f>'Bolton hill 2'!R31</f>
        <v>0</v>
      </c>
      <c r="T9" s="26">
        <f>'Bolton hill 2'!S31</f>
        <v>0.26143999999999995</v>
      </c>
      <c r="U9" s="26">
        <f>'Bolton hill 2'!T31</f>
        <v>0</v>
      </c>
      <c r="V9" s="26">
        <f>'Bolton hill 2'!U31</f>
        <v>0</v>
      </c>
    </row>
    <row r="10" spans="1:22" x14ac:dyDescent="0.25">
      <c r="A10" s="29">
        <v>8</v>
      </c>
      <c r="B10" s="81"/>
      <c r="C10" s="26">
        <f>Preseli!B31</f>
        <v>80</v>
      </c>
      <c r="D10" s="26">
        <f>Preseli!C31</f>
        <v>144.70400000000001</v>
      </c>
      <c r="E10" s="26">
        <f>Preseli!D31</f>
        <v>61.068896000000009</v>
      </c>
      <c r="F10" s="26">
        <f>Preseli!E31</f>
        <v>2.1894368000000002</v>
      </c>
      <c r="G10" s="26">
        <f>Preseli!F31</f>
        <v>4.0768230399999998</v>
      </c>
      <c r="H10" s="26">
        <f>Preseli!G31</f>
        <v>0.22848000000000004</v>
      </c>
      <c r="I10" s="26">
        <f>Preseli!H31</f>
        <v>0.86604799999999993</v>
      </c>
      <c r="J10" s="26">
        <f>Preseli!I31</f>
        <v>0.33728000000000002</v>
      </c>
      <c r="K10" s="26">
        <f>Preseli!J31</f>
        <v>4.7872000000000001E-3</v>
      </c>
      <c r="L10" s="26">
        <f>Preseli!K31</f>
        <v>8.1600000000000006E-3</v>
      </c>
      <c r="M10" s="26">
        <f>Preseli!L31</f>
        <v>5.5487999999999996E-2</v>
      </c>
      <c r="N10" s="26">
        <f>Preseli!M31</f>
        <v>4.6783999999999999E-2</v>
      </c>
      <c r="O10" s="26">
        <f>Preseli!N31</f>
        <v>1370.88</v>
      </c>
      <c r="P10" s="26">
        <f>Preseli!O31</f>
        <v>336.19200000000006</v>
      </c>
      <c r="Q10" s="26">
        <f>Preseli!P31</f>
        <v>0</v>
      </c>
      <c r="R10" s="26">
        <f>Preseli!Q31</f>
        <v>116.14400000000003</v>
      </c>
      <c r="S10" s="26">
        <f>Preseli!R31</f>
        <v>0</v>
      </c>
      <c r="T10" s="26">
        <f>Preseli!S31</f>
        <v>0.64083200000000007</v>
      </c>
      <c r="U10" s="26">
        <f>Preseli!T31</f>
        <v>0</v>
      </c>
      <c r="V10" s="26">
        <f>Preseli!U31</f>
        <v>0</v>
      </c>
    </row>
    <row r="11" spans="1:22" x14ac:dyDescent="0.25">
      <c r="A11" s="29">
        <v>9</v>
      </c>
      <c r="B11" s="81"/>
      <c r="C11" s="26">
        <f>'Strata Florida'!B31</f>
        <v>75</v>
      </c>
      <c r="D11" s="26">
        <f>'Strata Florida'!C31</f>
        <v>127.72500000000001</v>
      </c>
      <c r="E11" s="26">
        <f>'Strata Florida'!D31</f>
        <v>55.822505999999997</v>
      </c>
      <c r="F11" s="26">
        <f>'Strata Florida'!E31</f>
        <v>1.8350643750000002</v>
      </c>
      <c r="G11" s="26">
        <f>'Strata Florida'!F31</f>
        <v>3.8932741500000003</v>
      </c>
      <c r="H11" s="26">
        <f>'Strata Florida'!G31</f>
        <v>0.198465</v>
      </c>
      <c r="I11" s="26">
        <f>'Strata Florida'!H31</f>
        <v>0.78796500000000014</v>
      </c>
      <c r="J11" s="26">
        <f>'Strata Florida'!I31</f>
        <v>0.45882750000000005</v>
      </c>
      <c r="K11" s="26">
        <f>'Strata Florida'!J31</f>
        <v>3.63525E-3</v>
      </c>
      <c r="L11" s="26">
        <f>'Strata Florida'!K31</f>
        <v>7.4670000000000014E-3</v>
      </c>
      <c r="M11" s="26">
        <f>'Strata Florida'!L31</f>
        <v>1.5916500000000004E-2</v>
      </c>
      <c r="N11" s="26">
        <f>'Strata Florida'!M31</f>
        <v>4.22475E-2</v>
      </c>
      <c r="O11" s="26">
        <f>'Strata Florida'!N31</f>
        <v>1228.125</v>
      </c>
      <c r="P11" s="26">
        <f>'Strata Florida'!O31</f>
        <v>304.57499999999999</v>
      </c>
      <c r="Q11" s="26">
        <f>'Strata Florida'!P31</f>
        <v>0</v>
      </c>
      <c r="R11" s="26">
        <f>'Strata Florida'!Q31</f>
        <v>109.30312500000001</v>
      </c>
      <c r="S11" s="26">
        <f>'Strata Florida'!R31</f>
        <v>0</v>
      </c>
      <c r="T11" s="26">
        <f>'Strata Florida'!S31</f>
        <v>0.67497750000000012</v>
      </c>
      <c r="U11" s="26">
        <f>'Strata Florida'!T31</f>
        <v>0</v>
      </c>
      <c r="V11" s="26">
        <f>'Strata Florida'!U31</f>
        <v>0</v>
      </c>
    </row>
    <row r="12" spans="1:22" x14ac:dyDescent="0.25">
      <c r="A12" s="29">
        <v>10</v>
      </c>
      <c r="B12" s="81"/>
      <c r="C12" s="26">
        <f>'Bontgoch '!B31</f>
        <v>20</v>
      </c>
      <c r="D12" s="26">
        <f>'Bontgoch '!C31</f>
        <v>62.118000000000009</v>
      </c>
      <c r="E12" s="26">
        <f>'Bontgoch '!D31</f>
        <v>80.085570599999997</v>
      </c>
      <c r="F12" s="26">
        <f>'Bontgoch '!E31</f>
        <v>0.42563010000000001</v>
      </c>
      <c r="G12" s="26">
        <f>'Bontgoch '!F31</f>
        <v>5.3447951200000006</v>
      </c>
      <c r="H12" s="26">
        <f>'Bontgoch '!G31</f>
        <v>5.7245999999999998E-2</v>
      </c>
      <c r="I12" s="26">
        <f>'Bontgoch '!H31</f>
        <v>1.0962000000000001</v>
      </c>
      <c r="J12" s="26">
        <f>'Bontgoch '!I31</f>
        <v>0.161994</v>
      </c>
      <c r="K12" s="26">
        <f>'Bontgoch '!J31</f>
        <v>4.8720000000000008E-4</v>
      </c>
      <c r="L12" s="26">
        <f>'Bontgoch '!K31</f>
        <v>1.9894000000000001E-3</v>
      </c>
      <c r="M12" s="26">
        <f>'Bontgoch '!L31</f>
        <v>9.3786000000000008E-2</v>
      </c>
      <c r="N12" s="26">
        <f>'Bontgoch '!M31</f>
        <v>6.0494000000000006E-2</v>
      </c>
      <c r="O12" s="26">
        <f>'Bontgoch '!N31</f>
        <v>25.293800000000001</v>
      </c>
      <c r="P12" s="26">
        <f>'Bontgoch '!O31</f>
        <v>2119.3200000000002</v>
      </c>
      <c r="Q12" s="26">
        <f>'Bontgoch '!P31</f>
        <v>0</v>
      </c>
      <c r="R12" s="26">
        <f>'Bontgoch '!Q31</f>
        <v>25.882500000000004</v>
      </c>
      <c r="S12" s="26">
        <f>'Bontgoch '!R31</f>
        <v>0</v>
      </c>
      <c r="T12" s="26">
        <f>'Bontgoch '!S31</f>
        <v>0.10109399999999999</v>
      </c>
      <c r="U12" s="26">
        <f>'Bontgoch '!T31</f>
        <v>0</v>
      </c>
      <c r="V12" s="26">
        <f>'Bontgoch '!U31</f>
        <v>0</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'Dairy Partners'!B43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'Dairy Partners'!B44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106</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80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100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f t="shared" si="9"/>
        <v>165</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5">
      <c r="A22" s="75">
        <v>6</v>
      </c>
      <c r="B22" s="76">
        <f t="shared" ref="B22:C22" si="11">B8</f>
        <v>0</v>
      </c>
      <c r="C22" s="77">
        <f t="shared" si="11"/>
        <v>250</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5">
      <c r="A23" s="75">
        <v>7</v>
      </c>
      <c r="B23" s="76">
        <f t="shared" ref="B23:C23" si="13">B9</f>
        <v>0</v>
      </c>
      <c r="C23" s="77">
        <f t="shared" si="13"/>
        <v>80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5">
      <c r="A24" s="75">
        <v>8</v>
      </c>
      <c r="B24" s="76">
        <f t="shared" ref="B24:C24" si="15">B10</f>
        <v>0</v>
      </c>
      <c r="C24" s="77">
        <f t="shared" si="15"/>
        <v>80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5">
      <c r="A25" s="75">
        <v>9</v>
      </c>
      <c r="B25" s="76">
        <f t="shared" ref="B25:C25" si="17">B11</f>
        <v>0</v>
      </c>
      <c r="C25" s="77">
        <f t="shared" si="17"/>
        <v>75</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5">
      <c r="A26" s="75">
        <v>10</v>
      </c>
      <c r="B26" s="76">
        <f t="shared" ref="B26:C26" si="19">B12</f>
        <v>0</v>
      </c>
      <c r="C26" s="77">
        <f t="shared" si="19"/>
        <v>20</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5" x14ac:dyDescent="0.35">
      <c r="A27" s="133" t="s">
        <v>85</v>
      </c>
      <c r="B27" s="133"/>
      <c r="C27" s="133"/>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REGU-195-6590919</_dlc_DocId>
    <_dlc_DocIdUrl xmlns="9be56660-2c31-41ef-bc00-23e72f632f2a">
      <Url>https://cyfoethnaturiolcymru.sharepoint.com/teams/Regulatory/Permitting/_layouts/15/DocIdRedir.aspx?ID=REGU-195-6590919</Url>
      <Description>REGU-195-6590919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2024-10-01T23:00:00+00:00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01ACA0-C71D-4DB9-BD98-9DB320F40996}"/>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9be56660-2c31-41ef-bc00-23e72f632f2a"/>
    <ds:schemaRef ds:uri="http://purl.org/dc/elements/1.1/"/>
    <ds:schemaRef ds:uri="http://schemas.microsoft.com/office/2006/documentManagement/types"/>
    <ds:schemaRef ds:uri="http://schemas.microsoft.com/office/infopath/2007/PartnerControls"/>
    <ds:schemaRef ds:uri="http://purl.org/dc/terms/"/>
    <ds:schemaRef ds:uri="http://www.w3.org/XML/1998/namespace"/>
    <ds:schemaRef ds:uri="http://schemas.openxmlformats.org/package/2006/metadata/core-propertie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F74F2CC6-9537-4109-BDA7-3652638044A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Dairy Partners</vt:lpstr>
      <vt:lpstr>Volvac</vt:lpstr>
      <vt:lpstr>First Milk</vt:lpstr>
      <vt:lpstr>Penderyn </vt:lpstr>
      <vt:lpstr>Llechryd</vt:lpstr>
      <vt:lpstr>Bolton hill</vt:lpstr>
      <vt:lpstr>Bolton hill 2</vt:lpstr>
      <vt:lpstr>Preseli</vt:lpstr>
      <vt:lpstr>Strata Florida</vt:lpstr>
      <vt:lpstr>Bontgoch </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2024-10-01T14:55:23Z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51ade91d-8049-4843-bbb3-6c2dcb76d823</vt:lpwstr>
  </property>
  <property fmtid="{D5CDD505-2E9C-101B-9397-08002B2CF9AE}" pid="4" name="Order">
    <vt:r8>659091900</vt:r8>
  </property>
  <property fmtid="{D5CDD505-2E9C-101B-9397-08002B2CF9AE}" pid="5" name="MediaServiceImageTags">
    <vt:lpwstr/>
  </property>
</Properties>
</file>