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6626/"/>
    </mc:Choice>
  </mc:AlternateContent>
  <xr:revisionPtr revIDLastSave="0" documentId="13_ncr:1_{2BFCA7E5-1937-4B4F-807E-17D93BB2EA43}" xr6:coauthVersionLast="47" xr6:coauthVersionMax="47" xr10:uidLastSave="{00000000-0000-0000-0000-000000000000}"/>
  <bookViews>
    <workbookView xWindow="33720" yWindow="-120" windowWidth="29040" windowHeight="15720" tabRatio="870" xr2:uid="{00000000-000D-0000-FFFF-FFFF00000000}"/>
  </bookViews>
  <sheets>
    <sheet name="Secanim " sheetId="1" r:id="rId1"/>
    <sheet name="Croda Goole" sheetId="21" r:id="rId2"/>
    <sheet name="Croda Widnes" sheetId="27" r:id="rId3"/>
    <sheet name="Maelor Foods" sheetId="28" r:id="rId4"/>
    <sheet name="D Wise" sheetId="30" r:id="rId5"/>
    <sheet name="Kelloggs" sheetId="26" r:id="rId6"/>
    <sheet name="ABP " sheetId="24" r:id="rId7"/>
    <sheet name="Nimbus" sheetId="29" r:id="rId8"/>
    <sheet name="Roberts" sheetId="23" r:id="rId9"/>
    <sheet name="Village bakery "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N65" i="1"/>
  <c r="P65" i="1"/>
  <c r="Q65" i="1"/>
  <c r="R65" i="1"/>
  <c r="S65" i="1"/>
  <c r="T65" i="1"/>
  <c r="U65" i="1"/>
  <c r="L65" i="21"/>
  <c r="N65" i="21"/>
  <c r="P65" i="21"/>
  <c r="Q65" i="21"/>
  <c r="R65" i="21"/>
  <c r="S65" i="21"/>
  <c r="T65" i="21"/>
  <c r="U65" i="21"/>
  <c r="L65" i="27"/>
  <c r="N65" i="27"/>
  <c r="P65" i="27"/>
  <c r="Q65" i="27"/>
  <c r="R65" i="27"/>
  <c r="S65" i="27"/>
  <c r="T65" i="27"/>
  <c r="U65" i="27"/>
  <c r="L65" i="28"/>
  <c r="N65" i="28"/>
  <c r="P65" i="28"/>
  <c r="Q65" i="28"/>
  <c r="R65" i="28"/>
  <c r="S65" i="28"/>
  <c r="T65" i="28"/>
  <c r="U65" i="28"/>
  <c r="L65" i="30"/>
  <c r="N65" i="30"/>
  <c r="P65" i="30"/>
  <c r="Q65" i="30"/>
  <c r="R65" i="30"/>
  <c r="S65" i="30"/>
  <c r="T65" i="30"/>
  <c r="U65" i="30"/>
  <c r="L65" i="26"/>
  <c r="N65" i="26"/>
  <c r="P65" i="26"/>
  <c r="Q65" i="26"/>
  <c r="R65" i="26"/>
  <c r="S65" i="26"/>
  <c r="T65" i="26"/>
  <c r="U65" i="26"/>
  <c r="L65" i="24"/>
  <c r="N65" i="24"/>
  <c r="P65" i="24"/>
  <c r="Q65" i="24"/>
  <c r="R65" i="24"/>
  <c r="S65" i="24"/>
  <c r="T65" i="24"/>
  <c r="U65" i="24"/>
  <c r="L65" i="29"/>
  <c r="N65" i="29"/>
  <c r="P65" i="29"/>
  <c r="Q65" i="29"/>
  <c r="R65" i="29"/>
  <c r="S65" i="29"/>
  <c r="T65" i="29"/>
  <c r="U65" i="29"/>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M22" i="30"/>
  <c r="V20" i="30"/>
  <c r="U20" i="30"/>
  <c r="T20" i="30"/>
  <c r="S20" i="30"/>
  <c r="R20" i="30"/>
  <c r="Q20" i="30"/>
  <c r="P20" i="30"/>
  <c r="O20" i="30"/>
  <c r="N20" i="30"/>
  <c r="M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V20" i="29"/>
  <c r="U20" i="29"/>
  <c r="T20" i="29"/>
  <c r="S20" i="29"/>
  <c r="R20" i="29"/>
  <c r="Q20" i="29"/>
  <c r="P20" i="29"/>
  <c r="O20" i="29"/>
  <c r="N20" i="29"/>
  <c r="M20" i="29"/>
  <c r="T18" i="29"/>
  <c r="M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R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M20" i="26"/>
  <c r="V18" i="26"/>
  <c r="S18"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M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M22" i="22"/>
  <c r="V20" i="22"/>
  <c r="U20" i="22"/>
  <c r="T20" i="22"/>
  <c r="S20" i="22"/>
  <c r="R20" i="22"/>
  <c r="Q20" i="22"/>
  <c r="P20" i="22"/>
  <c r="O20" i="22"/>
  <c r="N20" i="22"/>
  <c r="M20" i="22"/>
  <c r="O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J23" i="21" s="1"/>
  <c r="J24" i="21" s="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I23" i="21" s="1"/>
  <c r="I24" i="21" s="1"/>
  <c r="D59" i="22"/>
  <c r="E21" i="22"/>
  <c r="E23" i="22" s="1"/>
  <c r="E24" i="22" s="1"/>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0" i="22" s="1"/>
  <c r="J21" i="22"/>
  <c r="J23" i="22" s="1"/>
  <c r="J24" i="22" s="1"/>
  <c r="K59" i="23"/>
  <c r="L17" i="23"/>
  <c r="L21" i="23"/>
  <c r="M57" i="21"/>
  <c r="R59" i="21"/>
  <c r="S21" i="21"/>
  <c r="S23" i="21" s="1"/>
  <c r="S24" i="21" s="1"/>
  <c r="S17" i="21"/>
  <c r="J59" i="21"/>
  <c r="K21" i="21"/>
  <c r="K23" i="21" s="1"/>
  <c r="K24" i="21" s="1"/>
  <c r="K17" i="21"/>
  <c r="K19" i="21" s="1"/>
  <c r="K20" i="21" s="1"/>
  <c r="J59" i="22"/>
  <c r="K17" i="22"/>
  <c r="K19" i="22" s="1"/>
  <c r="K20" i="22" s="1"/>
  <c r="K21" i="22"/>
  <c r="K23" i="22" s="1"/>
  <c r="K24" i="22" s="1"/>
  <c r="R59" i="22"/>
  <c r="S17" i="22"/>
  <c r="S21" i="22"/>
  <c r="S23" i="22" s="1"/>
  <c r="S24" i="22" s="1"/>
  <c r="D59" i="23"/>
  <c r="E17" i="23"/>
  <c r="E21" i="23"/>
  <c r="E23" i="23" s="1"/>
  <c r="E24" i="23" s="1"/>
  <c r="L59" i="23"/>
  <c r="M17" i="23"/>
  <c r="M21" i="23"/>
  <c r="T59" i="23"/>
  <c r="U17" i="23"/>
  <c r="U19" i="23" s="1"/>
  <c r="U20" i="23" s="1"/>
  <c r="U21" i="23"/>
  <c r="U23" i="23" s="1"/>
  <c r="U24" i="23" s="1"/>
  <c r="H21" i="24"/>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K23" i="28" s="1"/>
  <c r="K24" i="28" s="1"/>
  <c r="R59" i="28"/>
  <c r="S17" i="28"/>
  <c r="S21" i="28"/>
  <c r="S23" i="28" s="1"/>
  <c r="S24" i="28" s="1"/>
  <c r="I59" i="29"/>
  <c r="J17" i="29"/>
  <c r="J19" i="29" s="1"/>
  <c r="J20" i="29" s="1"/>
  <c r="J21" i="29"/>
  <c r="J23" i="29" s="1"/>
  <c r="J24" i="29" s="1"/>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17" i="23"/>
  <c r="N19" i="23" s="1"/>
  <c r="N20"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L19" i="27" s="1"/>
  <c r="L20" i="27" s="1"/>
  <c r="S59" i="27"/>
  <c r="T17" i="27"/>
  <c r="T19" i="27" s="1"/>
  <c r="C59" i="28"/>
  <c r="D21" i="28"/>
  <c r="D23" i="28" s="1"/>
  <c r="D24" i="28" s="1"/>
  <c r="D17" i="28"/>
  <c r="K59" i="28"/>
  <c r="L21" i="28"/>
  <c r="L17" i="28"/>
  <c r="L19" i="28" s="1"/>
  <c r="L20" i="28" s="1"/>
  <c r="S59" i="28"/>
  <c r="T21" i="28"/>
  <c r="T17" i="28"/>
  <c r="T19" i="28" s="1"/>
  <c r="J59" i="29"/>
  <c r="K17" i="29"/>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U59" i="22"/>
  <c r="V17" i="22"/>
  <c r="V21" i="22"/>
  <c r="C18" i="22"/>
  <c r="H21" i="23"/>
  <c r="H23" i="23" s="1"/>
  <c r="H24" i="23" s="1"/>
  <c r="H17" i="23"/>
  <c r="H19" i="23" s="1"/>
  <c r="H20" i="23" s="1"/>
  <c r="P17" i="23"/>
  <c r="P19" i="23" s="1"/>
  <c r="P20" i="23" s="1"/>
  <c r="P21" i="23"/>
  <c r="J59" i="24"/>
  <c r="K21" i="24"/>
  <c r="K17" i="24"/>
  <c r="K19" i="24" s="1"/>
  <c r="K20" i="24" s="1"/>
  <c r="R59" i="24"/>
  <c r="S21" i="24"/>
  <c r="S23" i="24" s="1"/>
  <c r="S24" i="24" s="1"/>
  <c r="S17" i="24"/>
  <c r="G21" i="26"/>
  <c r="G23" i="26" s="1"/>
  <c r="G24" i="26" s="1"/>
  <c r="G17" i="26"/>
  <c r="G19" i="26" s="1"/>
  <c r="G20" i="26" s="1"/>
  <c r="O17" i="26"/>
  <c r="O21" i="26"/>
  <c r="E59" i="27"/>
  <c r="F17" i="27"/>
  <c r="F19" i="27" s="1"/>
  <c r="F20" i="27" s="1"/>
  <c r="M59" i="27"/>
  <c r="N17" i="27"/>
  <c r="N19" i="27" s="1"/>
  <c r="U59" i="27"/>
  <c r="V17" i="27"/>
  <c r="E59" i="28"/>
  <c r="F17" i="28"/>
  <c r="F19" i="28" s="1"/>
  <c r="F20" i="28" s="1"/>
  <c r="F21" i="28"/>
  <c r="F23" i="28" s="1"/>
  <c r="F24" i="28" s="1"/>
  <c r="M59" i="28"/>
  <c r="N17" i="28"/>
  <c r="N19"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G17" i="22"/>
  <c r="G21" i="22"/>
  <c r="G23" i="22" s="1"/>
  <c r="G24" i="22" s="1"/>
  <c r="O17" i="22"/>
  <c r="O19" i="22" s="1"/>
  <c r="O21" i="22"/>
  <c r="O23" i="22" s="1"/>
  <c r="O24" i="22" s="1"/>
  <c r="H59" i="23"/>
  <c r="I21" i="23"/>
  <c r="I23" i="23" s="1"/>
  <c r="I24" i="23" s="1"/>
  <c r="I17" i="23"/>
  <c r="I19" i="23" s="1"/>
  <c r="I20" i="23" s="1"/>
  <c r="P59" i="23"/>
  <c r="Q17" i="23"/>
  <c r="Q21" i="23"/>
  <c r="Q23" i="23" s="1"/>
  <c r="Q24" i="23" s="1"/>
  <c r="C59" i="24"/>
  <c r="D17" i="24"/>
  <c r="D19" i="24" s="1"/>
  <c r="D20" i="24" s="1"/>
  <c r="D21" i="24"/>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0" i="29" s="1"/>
  <c r="F21" i="29"/>
  <c r="F23" i="29" s="1"/>
  <c r="F24" i="29" s="1"/>
  <c r="M59" i="29"/>
  <c r="N17" i="29"/>
  <c r="N19" i="29" s="1"/>
  <c r="N21" i="29"/>
  <c r="N23" i="29" s="1"/>
  <c r="N24" i="29" s="1"/>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H20" i="22" s="1"/>
  <c r="I59" i="23"/>
  <c r="J21" i="23"/>
  <c r="J23" i="23" s="1"/>
  <c r="J24" i="23" s="1"/>
  <c r="J17" i="23"/>
  <c r="J19" i="23" s="1"/>
  <c r="J20"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0" i="23" s="1"/>
  <c r="S21" i="23"/>
  <c r="E59" i="24"/>
  <c r="F21" i="24"/>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R20" i="23" s="1"/>
  <c r="J58" i="27"/>
  <c r="J61"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Q23" i="30"/>
  <c r="Q24" i="30" s="1"/>
  <c r="U23" i="30"/>
  <c r="U24" i="30" s="1"/>
  <c r="J58" i="28"/>
  <c r="J61" i="28" s="1"/>
  <c r="J64" i="28" s="1"/>
  <c r="R58" i="22"/>
  <c r="R61" i="22" s="1"/>
  <c r="R64" i="22" s="1"/>
  <c r="J58" i="23"/>
  <c r="J61" i="23" s="1"/>
  <c r="J64" i="23" s="1"/>
  <c r="J65"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Q24" i="22"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H64" i="30" s="1"/>
  <c r="N59" i="30"/>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V20" i="23" s="1"/>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K58" i="22"/>
  <c r="K61" i="22" s="1"/>
  <c r="K64" i="22" s="1"/>
  <c r="S58" i="22"/>
  <c r="S61" i="22" s="1"/>
  <c r="S64" i="22" s="1"/>
  <c r="F57" i="23"/>
  <c r="D23" i="24"/>
  <c r="D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K65"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K58" i="27"/>
  <c r="K61" i="27" s="1"/>
  <c r="K64" i="27" s="1"/>
  <c r="K65" i="27" s="1"/>
  <c r="S58" i="27"/>
  <c r="S61" i="27" s="1"/>
  <c r="S64" i="27" s="1"/>
  <c r="P57" i="27"/>
  <c r="N59" i="27"/>
  <c r="H58" i="28"/>
  <c r="H61" i="28" s="1"/>
  <c r="P58" i="28"/>
  <c r="P61" i="28" s="1"/>
  <c r="N57" i="28"/>
  <c r="L23" i="29"/>
  <c r="L24" i="29" s="1"/>
  <c r="T23" i="29"/>
  <c r="T24" i="29" s="1"/>
  <c r="G58" i="29"/>
  <c r="G61" i="29" s="1"/>
  <c r="O58" i="29"/>
  <c r="O61" i="29" s="1"/>
  <c r="P59" i="29"/>
  <c r="I57" i="30"/>
  <c r="M19" i="21"/>
  <c r="G57" i="21"/>
  <c r="E58" i="22"/>
  <c r="E61" i="22" s="1"/>
  <c r="E64" i="22" s="1"/>
  <c r="E65" i="22" s="1"/>
  <c r="M58" i="22"/>
  <c r="M61" i="22" s="1"/>
  <c r="U58" i="22"/>
  <c r="U61" i="22" s="1"/>
  <c r="A45" i="22"/>
  <c r="O57" i="22"/>
  <c r="H58" i="23"/>
  <c r="H61" i="23" s="1"/>
  <c r="P58" i="23"/>
  <c r="P61" i="23" s="1"/>
  <c r="P64" i="23" s="1"/>
  <c r="I58" i="24"/>
  <c r="I61" i="24" s="1"/>
  <c r="Q58" i="24"/>
  <c r="Q61" i="24" s="1"/>
  <c r="Q64" i="24" s="1"/>
  <c r="E58" i="26"/>
  <c r="E61" i="26" s="1"/>
  <c r="M58" i="26"/>
  <c r="M61" i="26" s="1"/>
  <c r="U58" i="26"/>
  <c r="U61" i="26" s="1"/>
  <c r="N57" i="26"/>
  <c r="P59" i="27"/>
  <c r="I58" i="28"/>
  <c r="I61"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V19" i="30"/>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R19" i="29"/>
  <c r="F57" i="29"/>
  <c r="N57" i="29"/>
  <c r="F59" i="29"/>
  <c r="N59" i="29"/>
  <c r="F63" i="29"/>
  <c r="N63" i="29"/>
  <c r="H63" i="29"/>
  <c r="K19" i="29"/>
  <c r="K20" i="29" s="1"/>
  <c r="S19" i="29"/>
  <c r="S23" i="29"/>
  <c r="S24" i="29" s="1"/>
  <c r="A31" i="29"/>
  <c r="A33" i="29"/>
  <c r="A39" i="29"/>
  <c r="A41" i="29"/>
  <c r="A47" i="29"/>
  <c r="A49" i="29"/>
  <c r="G57" i="29"/>
  <c r="O57" i="29"/>
  <c r="G59" i="29"/>
  <c r="O59" i="29"/>
  <c r="G63" i="29"/>
  <c r="O63" i="29"/>
  <c r="M19" i="29"/>
  <c r="U19" i="29"/>
  <c r="E23" i="29"/>
  <c r="E24" i="29" s="1"/>
  <c r="M23" i="29"/>
  <c r="M24" i="29" s="1"/>
  <c r="U23" i="29"/>
  <c r="U24" i="29" s="1"/>
  <c r="I57" i="29"/>
  <c r="Q57" i="29"/>
  <c r="I63" i="29"/>
  <c r="Q63" i="29"/>
  <c r="V19" i="29"/>
  <c r="B63" i="29"/>
  <c r="J63" i="29"/>
  <c r="R63" i="29"/>
  <c r="L19" i="29"/>
  <c r="L20" i="29" s="1"/>
  <c r="O19" i="29"/>
  <c r="A32" i="29"/>
  <c r="A34" i="29"/>
  <c r="A40" i="29"/>
  <c r="A42" i="29"/>
  <c r="A48" i="29"/>
  <c r="A50" i="29"/>
  <c r="C63" i="29"/>
  <c r="K63" i="29"/>
  <c r="S63" i="29"/>
  <c r="P19" i="29"/>
  <c r="D63" i="29"/>
  <c r="L63" i="29"/>
  <c r="T63" i="29"/>
  <c r="E63" i="29"/>
  <c r="M63" i="29"/>
  <c r="S19" i="28"/>
  <c r="A31" i="28"/>
  <c r="A33" i="28"/>
  <c r="A37" i="28"/>
  <c r="A39" i="28"/>
  <c r="A41" i="28"/>
  <c r="A45" i="28"/>
  <c r="A47" i="28"/>
  <c r="A49" i="28"/>
  <c r="G57" i="28"/>
  <c r="O57" i="28"/>
  <c r="G59" i="28"/>
  <c r="O59" i="28"/>
  <c r="G63" i="28"/>
  <c r="O63" i="28"/>
  <c r="D19" i="28"/>
  <c r="D20" i="28" s="1"/>
  <c r="L23" i="28"/>
  <c r="L24" i="28" s="1"/>
  <c r="T23" i="28"/>
  <c r="T24" i="28" s="1"/>
  <c r="H59" i="28"/>
  <c r="P59" i="28"/>
  <c r="H63" i="28"/>
  <c r="P63" i="28"/>
  <c r="M19" i="28"/>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H19" i="27"/>
  <c r="H20" i="27" s="1"/>
  <c r="D63" i="27"/>
  <c r="L63" i="27"/>
  <c r="T63" i="27"/>
  <c r="H63" i="27"/>
  <c r="Q19" i="27"/>
  <c r="E63" i="27"/>
  <c r="M63" i="27"/>
  <c r="U64" i="26"/>
  <c r="U66" i="26" s="1"/>
  <c r="O23" i="26"/>
  <c r="O24" i="26" s="1"/>
  <c r="C19" i="26"/>
  <c r="C20" i="26" s="1"/>
  <c r="K23" i="26"/>
  <c r="K24" i="26" s="1"/>
  <c r="A31" i="26"/>
  <c r="A33" i="26"/>
  <c r="A37" i="26"/>
  <c r="A39" i="26"/>
  <c r="A41" i="26"/>
  <c r="A45" i="26"/>
  <c r="A47" i="26"/>
  <c r="A49" i="26"/>
  <c r="G57" i="26"/>
  <c r="O57" i="26"/>
  <c r="G59" i="26"/>
  <c r="O59" i="26"/>
  <c r="G63" i="26"/>
  <c r="O63" i="26"/>
  <c r="T19" i="26"/>
  <c r="T23" i="26"/>
  <c r="T24" i="26" s="1"/>
  <c r="H63" i="26"/>
  <c r="P63" i="26"/>
  <c r="M19" i="26"/>
  <c r="E23" i="26"/>
  <c r="E24" i="26" s="1"/>
  <c r="M23" i="26"/>
  <c r="M24" i="26" s="1"/>
  <c r="I57" i="26"/>
  <c r="Q57" i="26"/>
  <c r="I59" i="26"/>
  <c r="Q59" i="26"/>
  <c r="Q64" i="26" s="1"/>
  <c r="I63" i="26"/>
  <c r="Q63" i="26"/>
  <c r="V23" i="26"/>
  <c r="V24" i="26" s="1"/>
  <c r="B63" i="26"/>
  <c r="J63" i="26"/>
  <c r="R63" i="26"/>
  <c r="O19" i="26"/>
  <c r="A32" i="26"/>
  <c r="A34" i="26"/>
  <c r="A40" i="26"/>
  <c r="A42" i="26"/>
  <c r="A48" i="26"/>
  <c r="A50" i="26"/>
  <c r="C63" i="26"/>
  <c r="K63" i="26"/>
  <c r="S63" i="26"/>
  <c r="P19" i="26"/>
  <c r="D63" i="26"/>
  <c r="L63" i="26"/>
  <c r="I19" i="26"/>
  <c r="I20" i="26"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U65" i="23" s="1"/>
  <c r="M63" i="23"/>
  <c r="E63" i="23"/>
  <c r="T63" i="23"/>
  <c r="T65" i="23" s="1"/>
  <c r="L63" i="23"/>
  <c r="L65" i="23" s="1"/>
  <c r="D63" i="23"/>
  <c r="S63" i="23"/>
  <c r="S65" i="23" s="1"/>
  <c r="K63" i="23"/>
  <c r="C63" i="23"/>
  <c r="R63" i="23"/>
  <c r="R65" i="23" s="1"/>
  <c r="J63" i="23"/>
  <c r="B63" i="23"/>
  <c r="Q63" i="23"/>
  <c r="Q65" i="23" s="1"/>
  <c r="I63" i="23"/>
  <c r="P63" i="23"/>
  <c r="P65" i="23" s="1"/>
  <c r="H63" i="23"/>
  <c r="F63" i="23"/>
  <c r="O63" i="23"/>
  <c r="G63" i="23"/>
  <c r="N63" i="23"/>
  <c r="N65" i="23" s="1"/>
  <c r="P23" i="23"/>
  <c r="P24" i="23" s="1"/>
  <c r="R23" i="23"/>
  <c r="R24" i="23" s="1"/>
  <c r="K19" i="23"/>
  <c r="K20" i="23" s="1"/>
  <c r="S23" i="23"/>
  <c r="S24" i="23" s="1"/>
  <c r="A31" i="23"/>
  <c r="A33" i="23"/>
  <c r="A37" i="23"/>
  <c r="A39" i="23"/>
  <c r="A41" i="23"/>
  <c r="A45" i="23"/>
  <c r="A47" i="23"/>
  <c r="A49" i="23"/>
  <c r="G57" i="23"/>
  <c r="O57" i="23"/>
  <c r="G59" i="23"/>
  <c r="O59" i="23"/>
  <c r="L19" i="23"/>
  <c r="L20" i="23" s="1"/>
  <c r="T19" i="23"/>
  <c r="T20" i="23" s="1"/>
  <c r="D23" i="23"/>
  <c r="D24" i="23" s="1"/>
  <c r="L23" i="23"/>
  <c r="L24" i="23" s="1"/>
  <c r="T23" i="23"/>
  <c r="T24" i="23" s="1"/>
  <c r="E19" i="23"/>
  <c r="E20" i="23" s="1"/>
  <c r="M19" i="23"/>
  <c r="M20" i="23" s="1"/>
  <c r="M23" i="23"/>
  <c r="M24" i="23" s="1"/>
  <c r="I57" i="23"/>
  <c r="Q57" i="23"/>
  <c r="N23" i="23"/>
  <c r="N24" i="23" s="1"/>
  <c r="O19" i="23"/>
  <c r="O20" i="23" s="1"/>
  <c r="A32" i="23"/>
  <c r="A34" i="23"/>
  <c r="A40" i="23"/>
  <c r="A42" i="23"/>
  <c r="A48" i="23"/>
  <c r="A50" i="23"/>
  <c r="Q19" i="23"/>
  <c r="Q20" i="23" s="1"/>
  <c r="U63" i="22"/>
  <c r="M63" i="22"/>
  <c r="E63" i="22"/>
  <c r="F63" i="22"/>
  <c r="T63" i="22"/>
  <c r="L63" i="22"/>
  <c r="D63" i="22"/>
  <c r="S63" i="22"/>
  <c r="K63" i="22"/>
  <c r="C63" i="22"/>
  <c r="N63" i="22"/>
  <c r="R63" i="22"/>
  <c r="J63" i="22"/>
  <c r="B63" i="22"/>
  <c r="Q63" i="22"/>
  <c r="I63" i="22"/>
  <c r="P63" i="22"/>
  <c r="H63" i="22"/>
  <c r="O63" i="22"/>
  <c r="G63" i="22"/>
  <c r="S19" i="22"/>
  <c r="T19" i="22"/>
  <c r="L23" i="22"/>
  <c r="L24" i="22" s="1"/>
  <c r="T23" i="22"/>
  <c r="T24" i="22" s="1"/>
  <c r="A31" i="22"/>
  <c r="A33" i="22"/>
  <c r="A41" i="22"/>
  <c r="A47" i="22"/>
  <c r="E19" i="22"/>
  <c r="E20" i="22" s="1"/>
  <c r="M19" i="22"/>
  <c r="U23" i="22"/>
  <c r="U24" i="22" s="1"/>
  <c r="I57" i="22"/>
  <c r="Q57" i="22"/>
  <c r="A39" i="22"/>
  <c r="A49" i="22"/>
  <c r="V19" i="22"/>
  <c r="V23" i="22"/>
  <c r="V24" i="22" s="1"/>
  <c r="G19" i="22"/>
  <c r="G20" i="22" s="1"/>
  <c r="A32" i="22"/>
  <c r="A34" i="22"/>
  <c r="A40" i="22"/>
  <c r="A42" i="22"/>
  <c r="A48" i="22"/>
  <c r="A50" i="22"/>
  <c r="P19" i="22"/>
  <c r="P64" i="21"/>
  <c r="A33" i="21"/>
  <c r="A37" i="21"/>
  <c r="A41" i="21"/>
  <c r="A45" i="21"/>
  <c r="A49" i="21"/>
  <c r="E58" i="21"/>
  <c r="E61" i="21" s="1"/>
  <c r="M58" i="21"/>
  <c r="M61" i="21" s="1"/>
  <c r="U58" i="21"/>
  <c r="U61" i="21" s="1"/>
  <c r="U64" i="21" s="1"/>
  <c r="U66" i="21" s="1"/>
  <c r="S19" i="21"/>
  <c r="M23" i="21"/>
  <c r="M24" i="21" s="1"/>
  <c r="C57" i="21"/>
  <c r="K57" i="21"/>
  <c r="S57" i="21"/>
  <c r="Q19" i="21"/>
  <c r="R23" i="21"/>
  <c r="R24" i="21" s="1"/>
  <c r="I19" i="21"/>
  <c r="I20" i="21" s="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2" l="1"/>
  <c r="I65" i="22"/>
  <c r="E65" i="23"/>
  <c r="C65" i="23"/>
  <c r="I65" i="23"/>
  <c r="I65" i="29"/>
  <c r="C19" i="29"/>
  <c r="C20" i="29" s="1"/>
  <c r="J65" i="24"/>
  <c r="B65" i="24"/>
  <c r="C65" i="26"/>
  <c r="C65" i="30"/>
  <c r="E65" i="30"/>
  <c r="H65" i="30"/>
  <c r="B65" i="30"/>
  <c r="J65" i="28"/>
  <c r="D65" i="27"/>
  <c r="E65" i="27"/>
  <c r="K65" i="21"/>
  <c r="C23" i="21"/>
  <c r="C24" i="21" s="1"/>
  <c r="I64" i="26"/>
  <c r="I65" i="26" s="1"/>
  <c r="H64" i="26"/>
  <c r="H65" i="26" s="1"/>
  <c r="G64" i="30"/>
  <c r="G65" i="30" s="1"/>
  <c r="D64" i="30"/>
  <c r="D65" i="30" s="1"/>
  <c r="O64" i="21"/>
  <c r="O65" i="21" s="1"/>
  <c r="M64" i="22"/>
  <c r="M65" i="22" s="1"/>
  <c r="J64" i="27"/>
  <c r="J65" i="27" s="1"/>
  <c r="I64" i="28"/>
  <c r="I65" i="28" s="1"/>
  <c r="I64" i="27"/>
  <c r="I65" i="27" s="1"/>
  <c r="H64" i="22"/>
  <c r="H65" i="22" s="1"/>
  <c r="H64" i="23"/>
  <c r="H65" i="23" s="1"/>
  <c r="F64" i="26"/>
  <c r="F65" i="26" s="1"/>
  <c r="M64" i="26"/>
  <c r="M66" i="26" s="1"/>
  <c r="D64" i="28"/>
  <c r="D65" i="28" s="1"/>
  <c r="C64" i="21"/>
  <c r="C65" i="21" s="1"/>
  <c r="C64" i="29"/>
  <c r="C65" i="29" s="1"/>
  <c r="C64" i="22"/>
  <c r="C65" i="22" s="1"/>
  <c r="C64" i="27"/>
  <c r="C65" i="27" s="1"/>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G64" i="24"/>
  <c r="H64" i="24"/>
  <c r="D64" i="23"/>
  <c r="D65" i="23" s="1"/>
  <c r="K64" i="24"/>
  <c r="K65" i="24" s="1"/>
  <c r="P64" i="24"/>
  <c r="U64" i="29"/>
  <c r="U66" i="29" s="1"/>
  <c r="M64" i="30"/>
  <c r="K64" i="26"/>
  <c r="C64" i="28"/>
  <c r="C64" i="24"/>
  <c r="L64" i="27"/>
  <c r="L66" i="27" s="1"/>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D66" i="29"/>
  <c r="O64" i="26"/>
  <c r="R66" i="22"/>
  <c r="L66" i="22"/>
  <c r="T66" i="24"/>
  <c r="U66" i="23"/>
  <c r="P64" i="30"/>
  <c r="P66" i="30" s="1"/>
  <c r="C66" i="23"/>
  <c r="P66" i="23"/>
  <c r="E66" i="22"/>
  <c r="T66" i="23"/>
  <c r="Q66" i="21"/>
  <c r="P66" i="21"/>
  <c r="K66" i="27"/>
  <c r="G64" i="23"/>
  <c r="Q66" i="24"/>
  <c r="R66" i="27"/>
  <c r="G64" i="27"/>
  <c r="G66" i="30"/>
  <c r="J66" i="30"/>
  <c r="F64" i="27"/>
  <c r="T66" i="27"/>
  <c r="L66" i="29"/>
  <c r="Q66" i="22"/>
  <c r="T66" i="21"/>
  <c r="S66" i="23"/>
  <c r="H66" i="30"/>
  <c r="E66" i="30"/>
  <c r="S66" i="24"/>
  <c r="L66" i="21"/>
  <c r="S66" i="26"/>
  <c r="L66" i="28"/>
  <c r="L66" i="26"/>
  <c r="T66" i="30"/>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I66" i="29"/>
  <c r="S66" i="29"/>
  <c r="T66" i="28"/>
  <c r="Q66" i="28"/>
  <c r="I66" i="28"/>
  <c r="S66" i="28"/>
  <c r="K66" i="28"/>
  <c r="Q66" i="27"/>
  <c r="P66" i="27"/>
  <c r="Q66" i="26"/>
  <c r="P66" i="26"/>
  <c r="C66" i="26"/>
  <c r="H66" i="26"/>
  <c r="L66" i="24"/>
  <c r="P66" i="24"/>
  <c r="D66" i="24"/>
  <c r="K66" i="24"/>
  <c r="I66" i="23"/>
  <c r="N66" i="23"/>
  <c r="E66" i="23"/>
  <c r="I66" i="22"/>
  <c r="M66" i="22"/>
  <c r="S66" i="22"/>
  <c r="K66" i="22"/>
  <c r="T66" i="22"/>
  <c r="K66" i="21"/>
  <c r="D66" i="21"/>
  <c r="R66" i="21"/>
  <c r="N64" i="1"/>
  <c r="M64" i="1"/>
  <c r="M65" i="1" s="1"/>
  <c r="T64" i="1"/>
  <c r="L64" i="1"/>
  <c r="J64" i="1"/>
  <c r="K64" i="1"/>
  <c r="O64" i="1"/>
  <c r="O65" i="1" s="1"/>
  <c r="C64" i="1"/>
  <c r="I64" i="1"/>
  <c r="H64" i="1"/>
  <c r="G64" i="1"/>
  <c r="G65" i="1" s="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H65" i="1" l="1"/>
  <c r="I65" i="1"/>
  <c r="C65" i="1"/>
  <c r="K65" i="1"/>
  <c r="J65" i="1"/>
  <c r="B65" i="1"/>
  <c r="I66" i="26"/>
  <c r="I66" i="27"/>
  <c r="H66" i="23"/>
  <c r="O66" i="21"/>
  <c r="D66" i="28"/>
  <c r="C66" i="21"/>
  <c r="O66" i="26"/>
  <c r="O65" i="26"/>
  <c r="O66" i="23"/>
  <c r="O65" i="23"/>
  <c r="O66" i="24"/>
  <c r="O65" i="24"/>
  <c r="O66" i="30"/>
  <c r="O65" i="30"/>
  <c r="O66" i="28"/>
  <c r="O65" i="28"/>
  <c r="O66" i="27"/>
  <c r="O65" i="27"/>
  <c r="O66" i="29"/>
  <c r="O65" i="29"/>
  <c r="J66" i="27"/>
  <c r="I66" i="24"/>
  <c r="H66" i="21"/>
  <c r="M66" i="24"/>
  <c r="F66" i="26"/>
  <c r="M65" i="26"/>
  <c r="D66" i="26"/>
  <c r="M66" i="21"/>
  <c r="C66" i="27"/>
  <c r="C66" i="22"/>
  <c r="C66" i="29"/>
  <c r="M66" i="23"/>
  <c r="M65" i="23"/>
  <c r="M66" i="30"/>
  <c r="M65" i="30"/>
  <c r="M66" i="27"/>
  <c r="M65" i="27"/>
  <c r="M66" i="29"/>
  <c r="M66" i="28"/>
  <c r="K66" i="26"/>
  <c r="K65" i="26"/>
  <c r="K66" i="23"/>
  <c r="K65" i="23"/>
  <c r="K66" i="29"/>
  <c r="K65" i="29"/>
  <c r="J66" i="29"/>
  <c r="J65" i="29"/>
  <c r="J66" i="26"/>
  <c r="J66" i="21"/>
  <c r="J65" i="21"/>
  <c r="J66" i="22"/>
  <c r="J65" i="22"/>
  <c r="I66" i="21"/>
  <c r="I65" i="21"/>
  <c r="H66" i="24"/>
  <c r="H65" i="24"/>
  <c r="H66" i="28"/>
  <c r="H65" i="28"/>
  <c r="H66" i="27"/>
  <c r="H65" i="27"/>
  <c r="H66" i="29"/>
  <c r="H65" i="29"/>
  <c r="G66" i="22"/>
  <c r="G65" i="22"/>
  <c r="G66" i="29"/>
  <c r="G65" i="29"/>
  <c r="G66" i="21"/>
  <c r="G65" i="21"/>
  <c r="G66" i="26"/>
  <c r="G65" i="26"/>
  <c r="G66" i="27"/>
  <c r="G65" i="27"/>
  <c r="G66" i="28"/>
  <c r="G65" i="28"/>
  <c r="G66" i="24"/>
  <c r="G65" i="24"/>
  <c r="G66" i="23"/>
  <c r="G65" i="23"/>
  <c r="F66" i="23"/>
  <c r="F65" i="23"/>
  <c r="F66" i="27"/>
  <c r="F65" i="27"/>
  <c r="F66" i="22"/>
  <c r="F65" i="22"/>
  <c r="F66" i="30"/>
  <c r="F65" i="30"/>
  <c r="F66" i="21"/>
  <c r="F65" i="21"/>
  <c r="F66" i="29"/>
  <c r="F65" i="29"/>
  <c r="F66" i="28"/>
  <c r="F65" i="28"/>
  <c r="F66" i="24"/>
  <c r="F65" i="24"/>
  <c r="E66" i="24"/>
  <c r="E65" i="24"/>
  <c r="E66" i="21"/>
  <c r="E65" i="21"/>
  <c r="E66" i="28"/>
  <c r="E65" i="28"/>
  <c r="E66" i="29"/>
  <c r="E65" i="29"/>
  <c r="E66" i="26"/>
  <c r="E65" i="26"/>
  <c r="D66" i="23"/>
  <c r="D66" i="22"/>
  <c r="C66" i="24"/>
  <c r="C65" i="24"/>
  <c r="C66" i="28"/>
  <c r="C65" i="28"/>
  <c r="B66" i="21"/>
  <c r="B65" i="21"/>
  <c r="B66" i="26"/>
  <c r="B65" i="26"/>
  <c r="B66" i="27"/>
  <c r="B65" i="27"/>
  <c r="B66" i="23"/>
  <c r="B65" i="23"/>
  <c r="B66" i="28"/>
  <c r="B65" i="28"/>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<sst xmlns="http://schemas.openxmlformats.org/spreadsheetml/2006/main" count="2236" uniqueCount="191">
  <si>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</si>
  <si>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</si>
  <si>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</si>
  <si>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</si>
  <si>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</si>
  <si>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</si>
  <si>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</si>
  <si>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</si>
  <si>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</si>
  <si>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</si>
  <si>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</si>
  <si>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</si>
  <si>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</si>
  <si>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</si>
  <si>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</si>
  <si>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</si>
  <si>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</si>
  <si>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</si>
  <si>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</si>
  <si>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</si>
  <si>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</si>
  <si>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</si>
  <si>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</si>
  <si>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</si>
  <si>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</si>
  <si>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</si>
  <si>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</si>
  <si>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</si>
  <si>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</si>
  <si>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</si>
  <si>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</si>
  <si>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</si>
  <si>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</si>
  <si>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</si>
  <si>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</si>
  <si>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</si>
  <si>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</si>
  <si>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</si>
  <si>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</si>
  <si>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</si>
  <si>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</si>
  <si>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</si>
  <si>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</si>
  <si>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</si>
  <si>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</si>
  <si>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</si>
  <si>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</si>
  <si>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</si>
  <si>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</si>
  <si>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</si>
  <si>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</si>
  <si>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</si>
  <si>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</si>
  <si>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</si>
  <si>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</si>
  <si>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</si>
  <si>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</si>
  <si>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</si>
  <si>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</si>
  <si>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</si>
  <si>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</si>
  <si>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</si>
  <si>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</si>
  <si>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</si>
  <si>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</si>
  <si>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</si>
  <si>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</si>
  <si>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</si>
  <si>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</si>
  <si>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</si>
  <si>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</si>
  <si>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</si>
  <si>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</si>
  <si>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</si>
  <si>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</si>
  <si>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</si>
  <si>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</si>
  <si>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</si>
  <si>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</si>
  <si>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</si>
  <si>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</si>
  <si>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</si>
  <si>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</si>
  <si>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</si>
  <si>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</si>
  <si>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</si>
  <si>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</si>
  <si>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</si>
  <si>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</si>
  <si>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</si>
  <si>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</si>
  <si>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</si>
  <si>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</si>
  <si>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</si>
  <si>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</si>
  <si>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</si>
  <si>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</si>
  <si>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</si>
  <si>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</si>
  <si>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</si>
  <si>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</si>
  <si>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</si>
  <si>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</si>
  <si>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</si>
  <si>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</si>
  <si>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</si>
  <si>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</si>
  <si>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</si>
  <si>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</si>
  <si>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</si>
  <si>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</si>
  <si>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</si>
  <si>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</si>
  <si>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</si>
  <si>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</si>
  <si>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</si>
  <si>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</si>
  <si>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</si>
  <si>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</si>
  <si>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</si>
  <si>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</si>
  <si>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</si>
  <si>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</si>
  <si>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</si>
  <si>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</si>
  <si>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</si>
  <si>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</si>
  <si>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</si>
  <si>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</si>
  <si>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</si>
  <si>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</si>
  <si>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</si>
  <si>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</si>
  <si>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</si>
  <si>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</si>
  <si>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</si>
  <si>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</si>
  <si>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</si>
  <si>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</si>
  <si>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</si>
  <si>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</si>
  <si>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</si>
  <si>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</si>
  <si>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</si>
  <si>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</si>
  <si>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</si>
  <si>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</si>
  <si>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</si>
  <si>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</si>
  <si>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</si>
  <si>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</si>
  <si>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</si>
  <si>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</si>
  <si>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</si>
  <si>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</si>
  <si>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</si>
  <si>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</si>
  <si>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</si>
  <si>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</si>
  <si>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</si>
  <si>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PAN-026626</t>
  </si>
  <si>
    <t>FB3606GC</t>
  </si>
  <si>
    <t xml:space="preserve">Agrispread LTD </t>
  </si>
  <si>
    <t>Prysau Farm, Babell, Holywell, CH8 8PY</t>
  </si>
  <si>
    <t>Megan Tucker</t>
  </si>
  <si>
    <t>02 02 04</t>
  </si>
  <si>
    <t>BW1</t>
  </si>
  <si>
    <t>BW2</t>
  </si>
  <si>
    <t>BW3</t>
  </si>
  <si>
    <t>BW4</t>
  </si>
  <si>
    <t>BW6</t>
  </si>
  <si>
    <t>BW7</t>
  </si>
  <si>
    <t>DJ1</t>
  </si>
  <si>
    <t>DJ2</t>
  </si>
  <si>
    <t>DJ3</t>
  </si>
  <si>
    <t>DJ4</t>
  </si>
  <si>
    <t xml:space="preserve">Moderate </t>
  </si>
  <si>
    <t xml:space="preserve">Secanim </t>
  </si>
  <si>
    <t>07 07 12</t>
  </si>
  <si>
    <t xml:space="preserve">Croda Goole </t>
  </si>
  <si>
    <t>02 03 05</t>
  </si>
  <si>
    <t xml:space="preserve">Croda Widnes </t>
  </si>
  <si>
    <t xml:space="preserve">Maelor </t>
  </si>
  <si>
    <t>D Wise</t>
  </si>
  <si>
    <t xml:space="preserve">02 03 05 </t>
  </si>
  <si>
    <t>Kelloggs</t>
  </si>
  <si>
    <t>ABP</t>
  </si>
  <si>
    <t>02 06 01</t>
  </si>
  <si>
    <t>Roberts</t>
  </si>
  <si>
    <t xml:space="preserve">Village Bakery </t>
  </si>
  <si>
    <t>Nimbus5.03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</si>
</sst>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6" zoomScale="90" zoomScaleNormal="90" workbookViewId="0">
      <selection activeCell="I35" sqref="I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4" t="s">
        <v>41</v>
      </c>
      <c r="B1" s="114"/>
      <c r="C1" s="108" t="s">
        <v>160</v>
      </c>
      <c r="D1" s="109"/>
      <c r="E1" s="83" t="s">
        <v>45</v>
      </c>
      <c r="F1" s="86">
        <v>39.299999999999997</v>
      </c>
      <c r="G1" s="110" t="s">
        <v>43</v>
      </c>
      <c r="H1" s="111"/>
      <c r="I1" s="86">
        <v>5.97</v>
      </c>
      <c r="J1" s="114" t="s">
        <v>153</v>
      </c>
      <c r="K1" s="114"/>
      <c r="L1" s="86">
        <v>251</v>
      </c>
      <c r="AB1" s="14"/>
      <c r="AC1" s="14"/>
      <c r="AD1" s="23" t="s">
        <v>126</v>
      </c>
      <c r="AE1" s="14"/>
      <c r="AF1" s="14"/>
      <c r="AG1" s="14"/>
      <c r="AH1" s="14"/>
      <c r="AI1" s="33" t="s">
        <v>79</v>
      </c>
      <c r="AJ1" s="34" t="s">
        <v>94</v>
      </c>
      <c r="AK1" s="35" t="s">
        <v>95</v>
      </c>
      <c r="AL1" s="36" t="s">
        <v>125</v>
      </c>
      <c r="AM1" s="36" t="s">
        <v>131</v>
      </c>
      <c r="AN1" s="36" t="s">
        <v>111</v>
      </c>
    </row>
    <row r="2" spans="1:40" ht="13" x14ac:dyDescent="0.3">
      <c r="A2" s="114" t="s">
        <v>87</v>
      </c>
      <c r="B2" s="114"/>
      <c r="C2" s="106" t="s">
        <v>161</v>
      </c>
      <c r="D2" s="107"/>
      <c r="E2" s="83" t="s">
        <v>109</v>
      </c>
      <c r="F2" s="86" t="s">
        <v>165</v>
      </c>
      <c r="G2" s="112" t="s">
        <v>110</v>
      </c>
      <c r="H2" s="113"/>
      <c r="I2" s="86">
        <v>1015</v>
      </c>
      <c r="J2" s="114" t="s">
        <v>158</v>
      </c>
      <c r="K2" s="114"/>
      <c r="L2" s="86">
        <v>0.13</v>
      </c>
      <c r="AB2" s="23" t="s">
        <v>56</v>
      </c>
      <c r="AC2" s="14"/>
      <c r="AD2" s="23" t="s">
        <v>70</v>
      </c>
      <c r="AE2" s="14"/>
      <c r="AF2" s="14"/>
      <c r="AG2" s="37" t="s">
        <v>76</v>
      </c>
      <c r="AH2" s="14"/>
      <c r="AI2" s="38" t="s">
        <v>126</v>
      </c>
      <c r="AJ2" s="39">
        <v>0</v>
      </c>
      <c r="AK2" s="40">
        <v>0</v>
      </c>
      <c r="AL2" s="7">
        <v>0</v>
      </c>
      <c r="AM2" s="9">
        <v>0</v>
      </c>
      <c r="AN2" s="9">
        <v>0</v>
      </c>
    </row>
    <row r="3" spans="1:40" ht="13" x14ac:dyDescent="0.25">
      <c r="A3" s="110" t="s">
        <v>42</v>
      </c>
      <c r="B3" s="111"/>
      <c r="C3" s="106" t="s">
        <v>162</v>
      </c>
      <c r="D3" s="107"/>
      <c r="E3" s="83" t="s">
        <v>108</v>
      </c>
      <c r="F3" s="24" t="s">
        <v>78</v>
      </c>
      <c r="G3" s="114" t="s">
        <v>159</v>
      </c>
      <c r="H3" s="114"/>
      <c r="I3" s="86">
        <v>13460</v>
      </c>
      <c r="J3" s="110" t="s">
        <v>154</v>
      </c>
      <c r="K3" s="111"/>
      <c r="L3" s="86">
        <f>(L1/(L2*10000))*100</f>
        <v>19.30769230769231</v>
      </c>
      <c r="AB3" s="23" t="s">
        <v>57</v>
      </c>
      <c r="AC3" s="14"/>
      <c r="AD3" s="23" t="s">
        <v>71</v>
      </c>
      <c r="AE3" s="14"/>
      <c r="AF3" s="14"/>
      <c r="AG3" s="37" t="s">
        <v>77</v>
      </c>
      <c r="AH3" s="14"/>
      <c r="AI3" s="41" t="s">
        <v>113</v>
      </c>
      <c r="AJ3" s="42">
        <v>1.7</v>
      </c>
      <c r="AK3" s="43">
        <v>6</v>
      </c>
      <c r="AL3" s="44">
        <v>1</v>
      </c>
      <c r="AM3" s="9">
        <v>6.2</v>
      </c>
      <c r="AN3" s="9" t="s">
        <v>112</v>
      </c>
    </row>
    <row r="4" spans="1:40" ht="13" x14ac:dyDescent="0.25">
      <c r="A4" s="114" t="s">
        <v>0</v>
      </c>
      <c r="B4" s="114"/>
      <c r="C4" s="108" t="s">
        <v>163</v>
      </c>
      <c r="D4" s="109"/>
      <c r="E4" s="84" t="s">
        <v>1</v>
      </c>
      <c r="F4" s="85" t="s">
        <v>177</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4" t="s">
        <v>2</v>
      </c>
      <c r="B8" s="114"/>
      <c r="C8" s="12" t="s">
        <v>166</v>
      </c>
      <c r="D8" s="12" t="s">
        <v>167</v>
      </c>
      <c r="E8" s="12" t="s">
        <v>168</v>
      </c>
      <c r="F8" s="12" t="s">
        <v>169</v>
      </c>
      <c r="G8" s="12" t="s">
        <v>170</v>
      </c>
      <c r="H8" s="12" t="s">
        <v>171</v>
      </c>
      <c r="I8" s="12" t="s">
        <v>172</v>
      </c>
      <c r="J8" s="12" t="s">
        <v>173</v>
      </c>
      <c r="K8" s="12" t="s">
        <v>174</v>
      </c>
      <c r="L8" s="12" t="s">
        <v>175</v>
      </c>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14" t="s">
        <v>3</v>
      </c>
      <c r="B9" s="114"/>
      <c r="C9" s="12" t="s">
        <v>176</v>
      </c>
      <c r="D9" s="12" t="s">
        <v>176</v>
      </c>
      <c r="E9" s="12" t="s">
        <v>176</v>
      </c>
      <c r="F9" s="12" t="s">
        <v>176</v>
      </c>
      <c r="G9" s="12" t="s">
        <v>176</v>
      </c>
      <c r="H9" s="12" t="s">
        <v>176</v>
      </c>
      <c r="I9" s="12" t="s">
        <v>176</v>
      </c>
      <c r="J9" s="12" t="s">
        <v>176</v>
      </c>
      <c r="K9" s="12" t="s">
        <v>176</v>
      </c>
      <c r="L9" s="12" t="s">
        <v>176</v>
      </c>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14" t="s">
        <v>4</v>
      </c>
      <c r="B10" s="114"/>
      <c r="C10" s="12">
        <v>5.7</v>
      </c>
      <c r="D10" s="12">
        <v>5.9</v>
      </c>
      <c r="E10" s="12">
        <v>5.7</v>
      </c>
      <c r="F10" s="12">
        <v>5.9</v>
      </c>
      <c r="G10" s="12">
        <v>6.4</v>
      </c>
      <c r="H10" s="12">
        <v>5.9</v>
      </c>
      <c r="I10" s="12">
        <v>6.6</v>
      </c>
      <c r="J10" s="12">
        <v>5.7</v>
      </c>
      <c r="K10" s="12">
        <v>6.1</v>
      </c>
      <c r="L10" s="12">
        <v>5.2</v>
      </c>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14" t="s">
        <v>5</v>
      </c>
      <c r="B11" s="114"/>
      <c r="C11" s="12">
        <v>1</v>
      </c>
      <c r="D11" s="12">
        <v>2</v>
      </c>
      <c r="E11" s="12">
        <v>2</v>
      </c>
      <c r="F11" s="12">
        <v>2</v>
      </c>
      <c r="G11" s="12">
        <v>2</v>
      </c>
      <c r="H11" s="12">
        <v>2</v>
      </c>
      <c r="I11" s="12">
        <v>0</v>
      </c>
      <c r="J11" s="12">
        <v>1</v>
      </c>
      <c r="K11" s="12">
        <v>0</v>
      </c>
      <c r="L11" s="12">
        <v>0</v>
      </c>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14" t="s">
        <v>6</v>
      </c>
      <c r="B12" s="114"/>
      <c r="C12" s="12">
        <v>0</v>
      </c>
      <c r="D12" s="12">
        <v>0</v>
      </c>
      <c r="E12" s="12">
        <v>1</v>
      </c>
      <c r="F12" s="12">
        <v>1</v>
      </c>
      <c r="G12" s="12">
        <v>0</v>
      </c>
      <c r="H12" s="12">
        <v>1</v>
      </c>
      <c r="I12" s="12">
        <v>1</v>
      </c>
      <c r="J12" s="12">
        <v>2</v>
      </c>
      <c r="K12" s="12">
        <v>2</v>
      </c>
      <c r="L12" s="12">
        <v>3</v>
      </c>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14" t="s">
        <v>7</v>
      </c>
      <c r="B13" s="114"/>
      <c r="C13" s="12">
        <v>2</v>
      </c>
      <c r="D13" s="12">
        <v>2</v>
      </c>
      <c r="E13" s="12">
        <v>2</v>
      </c>
      <c r="F13" s="12">
        <v>2</v>
      </c>
      <c r="G13" s="12">
        <v>2</v>
      </c>
      <c r="H13" s="12">
        <v>2</v>
      </c>
      <c r="I13" s="12">
        <v>2</v>
      </c>
      <c r="J13" s="12">
        <v>2</v>
      </c>
      <c r="K13" s="12">
        <v>2</v>
      </c>
      <c r="L13" s="12">
        <v>2</v>
      </c>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3" t="s">
        <v>8</v>
      </c>
      <c r="B14" s="123"/>
      <c r="C14" s="89" t="s">
        <v>113</v>
      </c>
      <c r="D14" s="89" t="s">
        <v>113</v>
      </c>
      <c r="E14" s="89" t="s">
        <v>113</v>
      </c>
      <c r="F14" s="89" t="s">
        <v>113</v>
      </c>
      <c r="G14" s="89" t="s">
        <v>113</v>
      </c>
      <c r="H14" s="89" t="s">
        <v>113</v>
      </c>
      <c r="I14" s="89" t="s">
        <v>113</v>
      </c>
      <c r="J14" s="89" t="s">
        <v>113</v>
      </c>
      <c r="K14" s="89" t="s">
        <v>113</v>
      </c>
      <c r="L14" s="89" t="s">
        <v>113</v>
      </c>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22" t="s">
        <v>9</v>
      </c>
      <c r="B15" s="122"/>
      <c r="C15" s="12">
        <v>38</v>
      </c>
      <c r="D15" s="12">
        <v>38</v>
      </c>
      <c r="E15" s="12">
        <v>38</v>
      </c>
      <c r="F15" s="12">
        <v>38</v>
      </c>
      <c r="G15" s="12">
        <v>38</v>
      </c>
      <c r="H15" s="12">
        <v>38</v>
      </c>
      <c r="I15" s="12">
        <v>38</v>
      </c>
      <c r="J15" s="12">
        <v>38</v>
      </c>
      <c r="K15" s="12">
        <v>38</v>
      </c>
      <c r="L15" s="12">
        <v>38</v>
      </c>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24" t="s">
        <v>44</v>
      </c>
      <c r="B16" s="124"/>
      <c r="C16" s="90" t="s">
        <v>71</v>
      </c>
      <c r="D16" s="90" t="s">
        <v>71</v>
      </c>
      <c r="E16" s="90" t="s">
        <v>71</v>
      </c>
      <c r="F16" s="90" t="s">
        <v>71</v>
      </c>
      <c r="G16" s="90" t="s">
        <v>71</v>
      </c>
      <c r="H16" s="90" t="s">
        <v>71</v>
      </c>
      <c r="I16" s="90" t="s">
        <v>71</v>
      </c>
      <c r="J16" s="90" t="s">
        <v>71</v>
      </c>
      <c r="K16" s="90" t="s">
        <v>71</v>
      </c>
      <c r="L16" s="90" t="s">
        <v>71</v>
      </c>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63.231599999999993</v>
      </c>
      <c r="D18" s="13">
        <f>$D32</f>
        <v>63.231599999999993</v>
      </c>
      <c r="E18" s="13">
        <f>$D33</f>
        <v>63.231599999999993</v>
      </c>
      <c r="F18" s="13">
        <f>$D34</f>
        <v>63.231599999999993</v>
      </c>
      <c r="G18" s="13">
        <f>$D35</f>
        <v>63.231599999999993</v>
      </c>
      <c r="H18" s="13">
        <f>$D36</f>
        <v>63.231599999999993</v>
      </c>
      <c r="I18" s="13">
        <f>$D37</f>
        <v>63.231599999999993</v>
      </c>
      <c r="J18" s="13">
        <f>$D38</f>
        <v>63.231599999999993</v>
      </c>
      <c r="K18" s="13">
        <f>$D39</f>
        <v>63.231599999999993</v>
      </c>
      <c r="L18" s="13">
        <f>$D40</f>
        <v>63.231599999999993</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-1.3684000000000012</v>
      </c>
      <c r="D19" s="13">
        <f t="shared" ref="D19:V19" si="1">D18-D17</f>
        <v>-1.3684000000000012</v>
      </c>
      <c r="E19" s="13">
        <f t="shared" si="1"/>
        <v>-1.3684000000000012</v>
      </c>
      <c r="F19" s="13">
        <f t="shared" si="1"/>
        <v>-1.3684000000000012</v>
      </c>
      <c r="G19" s="13">
        <f t="shared" si="1"/>
        <v>-1.3684000000000012</v>
      </c>
      <c r="H19" s="13">
        <f t="shared" si="1"/>
        <v>-1.3684000000000012</v>
      </c>
      <c r="I19" s="13">
        <f t="shared" si="1"/>
        <v>-1.3684000000000012</v>
      </c>
      <c r="J19" s="13">
        <f t="shared" si="1"/>
        <v>-1.3684000000000012</v>
      </c>
      <c r="K19" s="13">
        <f t="shared" si="1"/>
        <v>-1.3684000000000012</v>
      </c>
      <c r="L19" s="13">
        <f t="shared" si="1"/>
        <v>-1.3684000000000012</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25.27608</v>
      </c>
      <c r="D22" s="13">
        <f>$E32</f>
        <v>25.27608</v>
      </c>
      <c r="E22" s="13">
        <f>$E33</f>
        <v>25.27608</v>
      </c>
      <c r="F22" s="13">
        <f>$E34</f>
        <v>25.27608</v>
      </c>
      <c r="G22" s="13">
        <f>$E35</f>
        <v>25.27608</v>
      </c>
      <c r="H22" s="13">
        <f>$E36</f>
        <v>25.27608</v>
      </c>
      <c r="I22" s="13">
        <f>$E37</f>
        <v>25.27608</v>
      </c>
      <c r="J22" s="13">
        <f>$E38</f>
        <v>25.27608</v>
      </c>
      <c r="K22" s="13">
        <f>$E39</f>
        <v>25.27608</v>
      </c>
      <c r="L22" s="13">
        <f>$E40</f>
        <v>25.27608</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-202.72391999999999</v>
      </c>
      <c r="D23" s="13">
        <f t="shared" ref="D23:V23" si="3">D22-D21</f>
        <v>-202.72391999999999</v>
      </c>
      <c r="E23" s="13">
        <f t="shared" si="3"/>
        <v>-202.72391999999999</v>
      </c>
      <c r="F23" s="13">
        <f t="shared" si="3"/>
        <v>-202.72391999999999</v>
      </c>
      <c r="G23" s="13">
        <f t="shared" si="3"/>
        <v>-202.72391999999999</v>
      </c>
      <c r="H23" s="13">
        <f t="shared" si="3"/>
        <v>-202.72391999999999</v>
      </c>
      <c r="I23" s="13">
        <f t="shared" si="3"/>
        <v>-202.72391999999999</v>
      </c>
      <c r="J23" s="13">
        <f t="shared" si="3"/>
        <v>-202.72391999999999</v>
      </c>
      <c r="K23" s="13">
        <f t="shared" si="3"/>
        <v>-202.72391999999999</v>
      </c>
      <c r="L23" s="13">
        <f t="shared" si="3"/>
        <v>-202.72391999999999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3.11</v>
      </c>
      <c r="C28" s="12">
        <v>0.13</v>
      </c>
      <c r="D28" s="12">
        <v>300</v>
      </c>
      <c r="E28" s="12">
        <v>228</v>
      </c>
      <c r="F28" s="12">
        <v>87.2</v>
      </c>
      <c r="G28" s="12">
        <v>2.17</v>
      </c>
      <c r="H28" s="12">
        <v>9.43</v>
      </c>
      <c r="I28" s="12">
        <v>0.63300000000000001</v>
      </c>
      <c r="J28" s="12">
        <v>1.2999999999999999E-2</v>
      </c>
      <c r="K28" s="16">
        <v>0.05</v>
      </c>
      <c r="L28" s="12">
        <v>0.33200000000000002</v>
      </c>
      <c r="M28" s="12">
        <v>0.72499999999999998</v>
      </c>
      <c r="N28" s="12"/>
      <c r="O28" s="12"/>
      <c r="P28" s="12">
        <v>797</v>
      </c>
      <c r="Q28" s="12">
        <v>520</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92</v>
      </c>
      <c r="C31" s="68">
        <f>IF(C$27="%w/w SAR",((C$28*10)*$B31),IF(C$27="%w/w DM",(((C$28*10)*($B$28/100))*$B31),IF(C$27="kg/t SAR",(C$28*$B31),IF(C$27="kg/t DM",((C$28*($B$28/100))*$B31),IF(C$27="mg/kg SAR",((C$28*0.001)*$B31),IF(C$27="mg/kg DM",(((C$28*0.001)*($B$28/100))*$B31),0))))))</f>
        <v>119.60000000000001</v>
      </c>
      <c r="D31" s="68">
        <f>(IF(D$27="%w/w SAR",((D$28*10)*$B31),IF(D$27="%w/w DM",(((D$28*10)*($B$28/100))*$B31),IF(D$27="kg/t SAR",(D$28*$B31),IF(D$27="kg/t DM",((D$28*($B$28/100))*$B31),IF(D$27="mg/kg SAR",((D$28*0.001)*$B31),IF(D$27="mg/kg DM",(((D$28*0.001)*($B$28/100))*$B31),"0")))))))*2.291</f>
        <v>63.231599999999993</v>
      </c>
      <c r="E31" s="68">
        <f>(IF(E$27="%w/w SAR",((E$28*10)*$B31),IF(E$27="%w/w DM",(((E$28*10)*($B$28/100))*$B31),IF(E$27="kg/t SAR",(E$28*$B31),IF(E$27="kg/t DM",((E$28*($B$28/100))*$B31),IF(E$27="mg/kg SAR",((E$28*0.001)*$B31),IF(E$27="mg/kg DM",(((E$28*0.001)*($B$28/100))*$B31),"0")))))))*1.205</f>
        <v>25.27608</v>
      </c>
      <c r="F31" s="68">
        <f>(IF(F$27="%w/w SAR",((F$28*10)*$B31),IF(F$27="%w/w DM",(((F$28*10)*($B$28/100))*$B31),IF(F$27="kg/t SAR",(F$28*$B31),IF(F$27="kg/t DM",((F$28*($B$28/100))*$B31),IF(F$27="mg/kg SAR",((F$28*0.001)*$B31),IF(F$27="mg/kg DM",(((F$28*0.001)*($B$28/100))*$B31),"0")))))))*1.658</f>
        <v>13.301139199999998</v>
      </c>
      <c r="G31" s="68">
        <f t="shared" ref="G31:P31" si="5">IF(G$27="%w/w SAR",((G$28*10)*$B31),IF(G$27="%w/w DM",(((G$28*10)*($B$28/100))*$B31),IF(G$27="kg/t SAR",(G$28*$B31),IF(G$27="kg/t DM",((G$28*($B$28/100))*$B31),IF(G$27="mg/kg SAR",((G$28*0.001)*$B31),IF(G$27="mg/kg DM",(((G$28*0.001)*($B$28/100))*$B31),0))))))</f>
        <v>0.19964000000000001</v>
      </c>
      <c r="H31" s="68">
        <f t="shared" si="5"/>
        <v>0.86755999999999989</v>
      </c>
      <c r="I31" s="68">
        <f t="shared" si="5"/>
        <v>5.8235999999999996E-2</v>
      </c>
      <c r="J31" s="68">
        <f t="shared" si="5"/>
        <v>1.196E-3</v>
      </c>
      <c r="K31" s="68">
        <f t="shared" si="5"/>
        <v>4.5999999999999999E-3</v>
      </c>
      <c r="L31" s="68">
        <f t="shared" si="5"/>
        <v>3.0544000000000005E-2</v>
      </c>
      <c r="M31" s="68">
        <f t="shared" si="5"/>
        <v>6.6699999999999995E-2</v>
      </c>
      <c r="N31" s="68">
        <f t="shared" si="5"/>
        <v>0</v>
      </c>
      <c r="O31" s="68">
        <f t="shared" si="5"/>
        <v>0</v>
      </c>
      <c r="P31" s="68">
        <f t="shared" si="5"/>
        <v>73.323999999999998</v>
      </c>
      <c r="Q31" s="68">
        <f>(IF(Q$27="%w/w SAR",((Q$28*10)*$B31),IF(Q$27="%w/w DM",(((Q$28*10)*($B$28/100))*$B31),IF(Q$27="kg/t SAR",(Q$28*$B31),IF(Q$27="kg/t DM",((Q$28*($B$28/100))*$B31),IF(Q$27="mg/kg SAR",((Q$28*0.001)*$B31),IF(Q$27="mg/kg DM",(((Q$28*0.001)*($B$28/100))*$B31),0)))))))*2.5</f>
        <v>119.60000000000001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92</v>
      </c>
      <c r="C32" s="68">
        <f t="shared" ref="C32:C50" si="6">IF(C$27="%w/w SAR",((C$28*10)*$B32),IF(C$27="%w/w DM",(((C$28*10)*($B$28/100))*$B32),IF(C$27="kg/t SAR",(C$28*$B32),IF(C$27="kg/t DM",((C$28*($B$28/100))*$B32),IF(C$27="mg/kg SAR",((C$28*0.001)*$B32),IF(C$27="mg/kg DM",(((C$28*0.001)*($B$28/100))*$B32),0))))))</f>
        <v>119.60000000000001</v>
      </c>
      <c r="D32" s="68">
        <f t="shared" ref="D32:D50" si="7">(IF(D$27="%w/w SAR",((D$28*10)*$B32),IF(D$27="%w/w DM",(((D$28*10)*($B$28/100))*$B32),IF(D$27="kg/t SAR",(D$28*$B32),IF(D$27="kg/t DM",((D$28*($B$28/100))*$B32),IF(D$27="mg/kg SAR",((D$28*0.001)*$B32),IF(D$27="mg/kg DM",(((D$28*0.001)*($B$28/100))*$B32),"0")))))))*2.291</f>
        <v>63.231599999999993</v>
      </c>
      <c r="E32" s="68">
        <f t="shared" ref="E32:E50" si="8">(IF(E$27="%w/w SAR",((E$28*10)*$B32),IF(E$27="%w/w DM",(((E$28*10)*($B$28/100))*$B32),IF(E$27="kg/t SAR",(E$28*$B32),IF(E$27="kg/t DM",((E$28*($B$28/100))*$B32),IF(E$27="mg/kg SAR",((E$28*0.001)*$B32),IF(E$27="mg/kg DM",(((E$28*0.001)*($B$28/100))*$B32),"0")))))))*1.205</f>
        <v>25.27608</v>
      </c>
      <c r="F32" s="68">
        <f t="shared" ref="F32:F50" si="9">(IF(F$27="%w/w SAR",((F$28*10)*$B32),IF(F$27="%w/w DM",(((F$28*10)*($B$28/100))*$B32),IF(F$27="kg/t SAR",(F$28*$B32),IF(F$27="kg/t DM",((F$28*($B$28/100))*$B32),IF(F$27="mg/kg SAR",((F$28*0.001)*$B32),IF(F$27="mg/kg DM",(((F$28*0.001)*($B$28/100))*$B32),"0")))))))*1.658</f>
        <v>13.301139199999998</v>
      </c>
      <c r="G32" s="68">
        <f t="shared" ref="G32:P50" si="10">IF(G$27="%w/w SAR",((G$28*10)*$B32),IF(G$27="%w/w DM",(((G$28*10)*($B$28/100))*$B32),IF(G$27="kg/t SAR",(G$28*$B32),IF(G$27="kg/t DM",((G$28*($B$28/100))*$B32),IF(G$27="mg/kg SAR",((G$28*0.001)*$B32),IF(G$27="mg/kg DM",(((G$28*0.001)*($B$28/100))*$B32),0))))))</f>
        <v>0.19964000000000001</v>
      </c>
      <c r="H32" s="68">
        <f t="shared" si="10"/>
        <v>0.86755999999999989</v>
      </c>
      <c r="I32" s="68">
        <f t="shared" si="10"/>
        <v>5.8235999999999996E-2</v>
      </c>
      <c r="J32" s="68">
        <f t="shared" si="10"/>
        <v>1.196E-3</v>
      </c>
      <c r="K32" s="68">
        <f t="shared" si="10"/>
        <v>4.5999999999999999E-3</v>
      </c>
      <c r="L32" s="68">
        <f t="shared" si="10"/>
        <v>3.0544000000000005E-2</v>
      </c>
      <c r="M32" s="68">
        <f t="shared" si="10"/>
        <v>6.6699999999999995E-2</v>
      </c>
      <c r="N32" s="68">
        <f t="shared" si="10"/>
        <v>0</v>
      </c>
      <c r="O32" s="68">
        <f t="shared" si="10"/>
        <v>0</v>
      </c>
      <c r="P32" s="68">
        <f t="shared" si="10"/>
        <v>73.323999999999998</v>
      </c>
      <c r="Q32" s="68">
        <f t="shared" ref="Q32:Q50" si="11">(IF(Q$27="%w/w SAR",((Q$28*10)*$B32),IF(Q$27="%w/w DM",(((Q$28*10)*($B$28/100))*$B32),IF(Q$27="kg/t SAR",(Q$28*$B32),IF(Q$27="kg/t DM",((Q$28*($B$28/100))*$B32),IF(Q$27="mg/kg SAR",((Q$28*0.001)*$B32),IF(Q$27="mg/kg DM",(((Q$28*0.001)*($B$28/100))*$B32),0)))))))*2.5</f>
        <v>119.60000000000001</v>
      </c>
      <c r="R32" s="68">
        <f t="shared" ref="R32:U50" si="12">IF(R$27="%w/w SAR",((R$28*10)*$B32),IF(R$27="%w/w DM",(((R$28*10)*($B$28/100))*$B32),IF(R$27="kg/t SAR",(R$28*$B32),IF(R$27="kg/t DM",((R$28*($B$28/100))*$B32),IF(R$27="mg/kg SAR",((R$28*0.001)*$B32),IF(R$27="mg/kg DM",(((R$28*0.001)*($B$28/100))*$B32),0))))))</f>
        <v>0</v>
      </c>
      <c r="S32" s="68">
        <f t="shared" si="12"/>
        <v>0</v>
      </c>
      <c r="T32" s="68">
        <f t="shared" si="12"/>
        <v>0</v>
      </c>
      <c r="U32" s="68">
        <f t="shared" si="12"/>
        <v>0</v>
      </c>
    </row>
    <row r="33" spans="1:21" s="51" customFormat="1" ht="13" x14ac:dyDescent="0.35">
      <c r="A33" s="10" t="str">
        <f>E8</f>
        <v>BW3</v>
      </c>
      <c r="B33" s="12">
        <v>92</v>
      </c>
      <c r="C33" s="68">
        <f t="shared" si="6"/>
        <v>119.60000000000001</v>
      </c>
      <c r="D33" s="68">
        <f t="shared" si="7"/>
        <v>63.231599999999993</v>
      </c>
      <c r="E33" s="68">
        <f t="shared" si="8"/>
        <v>25.27608</v>
      </c>
      <c r="F33" s="68">
        <f t="shared" si="9"/>
        <v>13.301139199999998</v>
      </c>
      <c r="G33" s="68">
        <f t="shared" si="10"/>
        <v>0.19964000000000001</v>
      </c>
      <c r="H33" s="68">
        <f t="shared" si="10"/>
        <v>0.86755999999999989</v>
      </c>
      <c r="I33" s="68">
        <f t="shared" si="10"/>
        <v>5.8235999999999996E-2</v>
      </c>
      <c r="J33" s="68">
        <f t="shared" si="10"/>
        <v>1.196E-3</v>
      </c>
      <c r="K33" s="68">
        <f t="shared" si="10"/>
        <v>4.5999999999999999E-3</v>
      </c>
      <c r="L33" s="68">
        <f t="shared" si="10"/>
        <v>3.0544000000000005E-2</v>
      </c>
      <c r="M33" s="68">
        <f t="shared" si="10"/>
        <v>6.6699999999999995E-2</v>
      </c>
      <c r="N33" s="68">
        <f t="shared" si="10"/>
        <v>0</v>
      </c>
      <c r="O33" s="68">
        <f t="shared" si="10"/>
        <v>0</v>
      </c>
      <c r="P33" s="68">
        <f t="shared" si="10"/>
        <v>73.323999999999998</v>
      </c>
      <c r="Q33" s="68">
        <f t="shared" si="11"/>
        <v>119.60000000000001</v>
      </c>
      <c r="R33" s="68">
        <f t="shared" si="12"/>
        <v>0</v>
      </c>
      <c r="S33" s="68">
        <f t="shared" si="12"/>
        <v>0</v>
      </c>
      <c r="T33" s="68">
        <f t="shared" si="12"/>
        <v>0</v>
      </c>
      <c r="U33" s="68">
        <f t="shared" si="12"/>
        <v>0</v>
      </c>
    </row>
    <row r="34" spans="1:21" s="51" customFormat="1" ht="13" x14ac:dyDescent="0.35">
      <c r="A34" s="10" t="str">
        <f>F8</f>
        <v>BW4</v>
      </c>
      <c r="B34" s="12">
        <v>92</v>
      </c>
      <c r="C34" s="68">
        <f t="shared" si="6"/>
        <v>119.60000000000001</v>
      </c>
      <c r="D34" s="68">
        <f t="shared" si="7"/>
        <v>63.231599999999993</v>
      </c>
      <c r="E34" s="68">
        <f t="shared" si="8"/>
        <v>25.27608</v>
      </c>
      <c r="F34" s="68">
        <f t="shared" si="9"/>
        <v>13.301139199999998</v>
      </c>
      <c r="G34" s="68">
        <f t="shared" si="10"/>
        <v>0.19964000000000001</v>
      </c>
      <c r="H34" s="68">
        <f t="shared" si="10"/>
        <v>0.86755999999999989</v>
      </c>
      <c r="I34" s="68">
        <f t="shared" si="10"/>
        <v>5.8235999999999996E-2</v>
      </c>
      <c r="J34" s="68">
        <f t="shared" si="10"/>
        <v>1.196E-3</v>
      </c>
      <c r="K34" s="68">
        <f t="shared" si="10"/>
        <v>4.5999999999999999E-3</v>
      </c>
      <c r="L34" s="68">
        <f t="shared" si="10"/>
        <v>3.0544000000000005E-2</v>
      </c>
      <c r="M34" s="68">
        <f t="shared" si="10"/>
        <v>6.6699999999999995E-2</v>
      </c>
      <c r="N34" s="68">
        <f t="shared" si="10"/>
        <v>0</v>
      </c>
      <c r="O34" s="68">
        <f t="shared" si="10"/>
        <v>0</v>
      </c>
      <c r="P34" s="68">
        <f t="shared" si="10"/>
        <v>73.323999999999998</v>
      </c>
      <c r="Q34" s="68">
        <f t="shared" si="11"/>
        <v>119.60000000000001</v>
      </c>
      <c r="R34" s="68">
        <f t="shared" si="12"/>
        <v>0</v>
      </c>
      <c r="S34" s="68">
        <f t="shared" si="12"/>
        <v>0</v>
      </c>
      <c r="T34" s="68">
        <f t="shared" si="12"/>
        <v>0</v>
      </c>
      <c r="U34" s="68">
        <f t="shared" si="12"/>
        <v>0</v>
      </c>
    </row>
    <row r="35" spans="1:21" s="51" customFormat="1" ht="13" x14ac:dyDescent="0.35">
      <c r="A35" s="10" t="str">
        <f>G8</f>
        <v>BW6</v>
      </c>
      <c r="B35" s="12">
        <v>92</v>
      </c>
      <c r="C35" s="68">
        <f t="shared" si="6"/>
        <v>119.60000000000001</v>
      </c>
      <c r="D35" s="68">
        <f t="shared" si="7"/>
        <v>63.231599999999993</v>
      </c>
      <c r="E35" s="68">
        <f t="shared" si="8"/>
        <v>25.27608</v>
      </c>
      <c r="F35" s="68">
        <f t="shared" si="9"/>
        <v>13.301139199999998</v>
      </c>
      <c r="G35" s="68">
        <f t="shared" si="10"/>
        <v>0.19964000000000001</v>
      </c>
      <c r="H35" s="68">
        <f t="shared" si="10"/>
        <v>0.86755999999999989</v>
      </c>
      <c r="I35" s="68">
        <f t="shared" si="10"/>
        <v>5.8235999999999996E-2</v>
      </c>
      <c r="J35" s="68">
        <f t="shared" si="10"/>
        <v>1.196E-3</v>
      </c>
      <c r="K35" s="68">
        <f t="shared" si="10"/>
        <v>4.5999999999999999E-3</v>
      </c>
      <c r="L35" s="68">
        <f t="shared" si="10"/>
        <v>3.0544000000000005E-2</v>
      </c>
      <c r="M35" s="68">
        <f t="shared" si="10"/>
        <v>6.6699999999999995E-2</v>
      </c>
      <c r="N35" s="68">
        <f t="shared" si="10"/>
        <v>0</v>
      </c>
      <c r="O35" s="68">
        <f t="shared" si="10"/>
        <v>0</v>
      </c>
      <c r="P35" s="68">
        <f t="shared" si="10"/>
        <v>73.323999999999998</v>
      </c>
      <c r="Q35" s="68">
        <f t="shared" si="11"/>
        <v>119.60000000000001</v>
      </c>
      <c r="R35" s="68">
        <f t="shared" si="12"/>
        <v>0</v>
      </c>
      <c r="S35" s="68">
        <f t="shared" si="12"/>
        <v>0</v>
      </c>
      <c r="T35" s="68">
        <f t="shared" si="12"/>
        <v>0</v>
      </c>
      <c r="U35" s="68">
        <f t="shared" si="12"/>
        <v>0</v>
      </c>
    </row>
    <row r="36" spans="1:21" s="51" customFormat="1" ht="13" x14ac:dyDescent="0.35">
      <c r="A36" s="10" t="str">
        <f>H8</f>
        <v>BW7</v>
      </c>
      <c r="B36" s="12">
        <v>92</v>
      </c>
      <c r="C36" s="68">
        <f t="shared" si="6"/>
        <v>119.60000000000001</v>
      </c>
      <c r="D36" s="68">
        <f t="shared" si="7"/>
        <v>63.231599999999993</v>
      </c>
      <c r="E36" s="68">
        <f t="shared" si="8"/>
        <v>25.27608</v>
      </c>
      <c r="F36" s="68">
        <f t="shared" si="9"/>
        <v>13.301139199999998</v>
      </c>
      <c r="G36" s="68">
        <f t="shared" si="10"/>
        <v>0.19964000000000001</v>
      </c>
      <c r="H36" s="68">
        <f t="shared" si="10"/>
        <v>0.86755999999999989</v>
      </c>
      <c r="I36" s="68">
        <f t="shared" si="10"/>
        <v>5.8235999999999996E-2</v>
      </c>
      <c r="J36" s="68">
        <f t="shared" si="10"/>
        <v>1.196E-3</v>
      </c>
      <c r="K36" s="68">
        <f t="shared" si="10"/>
        <v>4.5999999999999999E-3</v>
      </c>
      <c r="L36" s="68">
        <f t="shared" si="10"/>
        <v>3.0544000000000005E-2</v>
      </c>
      <c r="M36" s="68">
        <f t="shared" si="10"/>
        <v>6.6699999999999995E-2</v>
      </c>
      <c r="N36" s="68">
        <f t="shared" si="10"/>
        <v>0</v>
      </c>
      <c r="O36" s="68">
        <f t="shared" si="10"/>
        <v>0</v>
      </c>
      <c r="P36" s="68">
        <f t="shared" si="10"/>
        <v>73.323999999999998</v>
      </c>
      <c r="Q36" s="68">
        <f t="shared" si="11"/>
        <v>119.60000000000001</v>
      </c>
      <c r="R36" s="68">
        <f t="shared" si="12"/>
        <v>0</v>
      </c>
      <c r="S36" s="68">
        <f t="shared" si="12"/>
        <v>0</v>
      </c>
      <c r="T36" s="68">
        <f t="shared" si="12"/>
        <v>0</v>
      </c>
      <c r="U36" s="68">
        <f t="shared" si="12"/>
        <v>0</v>
      </c>
    </row>
    <row r="37" spans="1:21" s="51" customFormat="1" ht="13" x14ac:dyDescent="0.35">
      <c r="A37" s="10" t="str">
        <f>I8</f>
        <v>DJ1</v>
      </c>
      <c r="B37" s="12">
        <v>92</v>
      </c>
      <c r="C37" s="68">
        <f t="shared" si="6"/>
        <v>119.60000000000001</v>
      </c>
      <c r="D37" s="68">
        <f t="shared" si="7"/>
        <v>63.231599999999993</v>
      </c>
      <c r="E37" s="68">
        <f t="shared" si="8"/>
        <v>25.27608</v>
      </c>
      <c r="F37" s="68">
        <f t="shared" si="9"/>
        <v>13.301139199999998</v>
      </c>
      <c r="G37" s="68">
        <f t="shared" si="10"/>
        <v>0.19964000000000001</v>
      </c>
      <c r="H37" s="68">
        <f t="shared" si="10"/>
        <v>0.86755999999999989</v>
      </c>
      <c r="I37" s="68">
        <f t="shared" si="10"/>
        <v>5.8235999999999996E-2</v>
      </c>
      <c r="J37" s="68">
        <f t="shared" si="10"/>
        <v>1.196E-3</v>
      </c>
      <c r="K37" s="68">
        <f t="shared" si="10"/>
        <v>4.5999999999999999E-3</v>
      </c>
      <c r="L37" s="68">
        <f t="shared" si="10"/>
        <v>3.0544000000000005E-2</v>
      </c>
      <c r="M37" s="68">
        <f t="shared" si="10"/>
        <v>6.6699999999999995E-2</v>
      </c>
      <c r="N37" s="68">
        <f t="shared" si="10"/>
        <v>0</v>
      </c>
      <c r="O37" s="68">
        <f t="shared" si="10"/>
        <v>0</v>
      </c>
      <c r="P37" s="68">
        <f t="shared" si="10"/>
        <v>73.323999999999998</v>
      </c>
      <c r="Q37" s="68">
        <f t="shared" si="11"/>
        <v>119.60000000000001</v>
      </c>
      <c r="R37" s="68">
        <f t="shared" si="12"/>
        <v>0</v>
      </c>
      <c r="S37" s="68">
        <f t="shared" si="12"/>
        <v>0</v>
      </c>
      <c r="T37" s="68">
        <f t="shared" si="12"/>
        <v>0</v>
      </c>
      <c r="U37" s="68">
        <f t="shared" si="12"/>
        <v>0</v>
      </c>
    </row>
    <row r="38" spans="1:21" s="51" customFormat="1" ht="13" x14ac:dyDescent="0.35">
      <c r="A38" s="10" t="str">
        <f>J8</f>
        <v>DJ2</v>
      </c>
      <c r="B38" s="12">
        <v>92</v>
      </c>
      <c r="C38" s="68">
        <f t="shared" si="6"/>
        <v>119.60000000000001</v>
      </c>
      <c r="D38" s="68">
        <f t="shared" si="7"/>
        <v>63.231599999999993</v>
      </c>
      <c r="E38" s="68">
        <f t="shared" si="8"/>
        <v>25.27608</v>
      </c>
      <c r="F38" s="68">
        <f t="shared" si="9"/>
        <v>13.301139199999998</v>
      </c>
      <c r="G38" s="68">
        <f t="shared" si="10"/>
        <v>0.19964000000000001</v>
      </c>
      <c r="H38" s="68">
        <f t="shared" si="10"/>
        <v>0.86755999999999989</v>
      </c>
      <c r="I38" s="68">
        <f t="shared" si="10"/>
        <v>5.8235999999999996E-2</v>
      </c>
      <c r="J38" s="68">
        <f t="shared" si="10"/>
        <v>1.196E-3</v>
      </c>
      <c r="K38" s="68">
        <f t="shared" si="10"/>
        <v>4.5999999999999999E-3</v>
      </c>
      <c r="L38" s="68">
        <f t="shared" si="10"/>
        <v>3.0544000000000005E-2</v>
      </c>
      <c r="M38" s="68">
        <f t="shared" si="10"/>
        <v>6.6699999999999995E-2</v>
      </c>
      <c r="N38" s="68">
        <f t="shared" si="10"/>
        <v>0</v>
      </c>
      <c r="O38" s="68">
        <f t="shared" si="10"/>
        <v>0</v>
      </c>
      <c r="P38" s="68">
        <f t="shared" si="10"/>
        <v>73.323999999999998</v>
      </c>
      <c r="Q38" s="68">
        <f t="shared" si="11"/>
        <v>119.60000000000001</v>
      </c>
      <c r="R38" s="68">
        <f t="shared" si="12"/>
        <v>0</v>
      </c>
      <c r="S38" s="68">
        <f t="shared" si="12"/>
        <v>0</v>
      </c>
      <c r="T38" s="68">
        <f t="shared" si="12"/>
        <v>0</v>
      </c>
      <c r="U38" s="68">
        <f t="shared" si="12"/>
        <v>0</v>
      </c>
    </row>
    <row r="39" spans="1:21" s="51" customFormat="1" ht="13" x14ac:dyDescent="0.35">
      <c r="A39" s="10" t="str">
        <f>K8</f>
        <v>DJ3</v>
      </c>
      <c r="B39" s="12">
        <v>92</v>
      </c>
      <c r="C39" s="68">
        <f t="shared" si="6"/>
        <v>119.60000000000001</v>
      </c>
      <c r="D39" s="68">
        <f t="shared" si="7"/>
        <v>63.231599999999993</v>
      </c>
      <c r="E39" s="68">
        <f t="shared" si="8"/>
        <v>25.27608</v>
      </c>
      <c r="F39" s="68">
        <f t="shared" si="9"/>
        <v>13.301139199999998</v>
      </c>
      <c r="G39" s="68">
        <f t="shared" si="10"/>
        <v>0.19964000000000001</v>
      </c>
      <c r="H39" s="68">
        <f t="shared" si="10"/>
        <v>0.86755999999999989</v>
      </c>
      <c r="I39" s="68">
        <f t="shared" si="10"/>
        <v>5.8235999999999996E-2</v>
      </c>
      <c r="J39" s="68">
        <f t="shared" si="10"/>
        <v>1.196E-3</v>
      </c>
      <c r="K39" s="68">
        <f t="shared" si="10"/>
        <v>4.5999999999999999E-3</v>
      </c>
      <c r="L39" s="68">
        <f t="shared" si="10"/>
        <v>3.0544000000000005E-2</v>
      </c>
      <c r="M39" s="68">
        <f t="shared" si="10"/>
        <v>6.6699999999999995E-2</v>
      </c>
      <c r="N39" s="68">
        <f t="shared" si="10"/>
        <v>0</v>
      </c>
      <c r="O39" s="68">
        <f t="shared" si="10"/>
        <v>0</v>
      </c>
      <c r="P39" s="68">
        <f t="shared" si="10"/>
        <v>73.323999999999998</v>
      </c>
      <c r="Q39" s="68">
        <f t="shared" si="11"/>
        <v>119.60000000000001</v>
      </c>
      <c r="R39" s="68">
        <f t="shared" si="12"/>
        <v>0</v>
      </c>
      <c r="S39" s="68">
        <f t="shared" si="12"/>
        <v>0</v>
      </c>
      <c r="T39" s="68">
        <f t="shared" si="12"/>
        <v>0</v>
      </c>
      <c r="U39" s="68">
        <f t="shared" si="12"/>
        <v>0</v>
      </c>
    </row>
    <row r="40" spans="1:21" s="51" customFormat="1" ht="13" x14ac:dyDescent="0.35">
      <c r="A40" s="10" t="str">
        <f>L8</f>
        <v>DJ4</v>
      </c>
      <c r="B40" s="12">
        <v>92</v>
      </c>
      <c r="C40" s="68">
        <f t="shared" si="6"/>
        <v>119.60000000000001</v>
      </c>
      <c r="D40" s="68">
        <f t="shared" si="7"/>
        <v>63.231599999999993</v>
      </c>
      <c r="E40" s="68">
        <f t="shared" si="8"/>
        <v>25.27608</v>
      </c>
      <c r="F40" s="68">
        <f t="shared" si="9"/>
        <v>13.301139199999998</v>
      </c>
      <c r="G40" s="68">
        <f t="shared" si="10"/>
        <v>0.19964000000000001</v>
      </c>
      <c r="H40" s="68">
        <f t="shared" si="10"/>
        <v>0.86755999999999989</v>
      </c>
      <c r="I40" s="68">
        <f t="shared" si="10"/>
        <v>5.8235999999999996E-2</v>
      </c>
      <c r="J40" s="68">
        <f t="shared" si="10"/>
        <v>1.196E-3</v>
      </c>
      <c r="K40" s="68">
        <f t="shared" si="10"/>
        <v>4.5999999999999999E-3</v>
      </c>
      <c r="L40" s="68">
        <f t="shared" si="10"/>
        <v>3.0544000000000005E-2</v>
      </c>
      <c r="M40" s="68">
        <f t="shared" si="10"/>
        <v>6.6699999999999995E-2</v>
      </c>
      <c r="N40" s="68">
        <f t="shared" si="10"/>
        <v>0</v>
      </c>
      <c r="O40" s="68">
        <f t="shared" si="10"/>
        <v>0</v>
      </c>
      <c r="P40" s="68">
        <f t="shared" si="10"/>
        <v>73.323999999999998</v>
      </c>
      <c r="Q40" s="68">
        <f t="shared" si="11"/>
        <v>119.60000000000001</v>
      </c>
      <c r="R40" s="68">
        <f t="shared" si="12"/>
        <v>0</v>
      </c>
      <c r="S40" s="68">
        <f t="shared" si="12"/>
        <v>0</v>
      </c>
      <c r="T40" s="68">
        <f t="shared" si="12"/>
        <v>0</v>
      </c>
      <c r="U40" s="68">
        <f t="shared" si="12"/>
        <v>0</v>
      </c>
    </row>
    <row r="41" spans="1:21" s="51" customFormat="1" ht="13" x14ac:dyDescent="0.3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ht="13" x14ac:dyDescent="0.3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ht="13" x14ac:dyDescent="0.3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Sandy Loam I Grass</v>
      </c>
      <c r="C58" s="10" t="str">
        <f>D16&amp;" I "&amp;(VLOOKUP(D14,Table24[],6,FALSE))</f>
        <v>Sandy Loam I Grass</v>
      </c>
      <c r="D58" s="10" t="str">
        <f>E16&amp;" I "&amp;(VLOOKUP(E14,Table24[],6,FALSE))</f>
        <v>Sandy Loam I Grass</v>
      </c>
      <c r="E58" s="10" t="str">
        <f>F16&amp;" I "&amp;(VLOOKUP(F14,Table24[],6,FALSE))</f>
        <v>Sandy Loam I Grass</v>
      </c>
      <c r="F58" s="10" t="str">
        <f>G16&amp;" I "&amp;(VLOOKUP(G14,Table24[],6,FALSE))</f>
        <v>Sandy Loam I Grass</v>
      </c>
      <c r="G58" s="10" t="str">
        <f>H16&amp;" I "&amp;(VLOOKUP(H14,Table24[],6,FALSE))</f>
        <v>Sandy Loam I Grass</v>
      </c>
      <c r="H58" s="10" t="str">
        <f>I16&amp;" I "&amp;(VLOOKUP(I14,Table24[],6,FALSE))</f>
        <v>Sandy Loam I Grass</v>
      </c>
      <c r="I58" s="10" t="str">
        <f>J16&amp;" I "&amp;(VLOOKUP(J14,Table24[],6,FALSE))</f>
        <v>Sandy Loam I Grass</v>
      </c>
      <c r="J58" s="10" t="str">
        <f>K16&amp;" I "&amp;(VLOOKUP(K14,Table24[],6,FALSE))</f>
        <v>Sandy Loam I Grass</v>
      </c>
      <c r="K58" s="10" t="str">
        <f>L16&amp;" I "&amp;(VLOOKUP(L14,Table24[],6,FALSE))</f>
        <v>Sandy Loam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92</v>
      </c>
      <c r="C62" s="68">
        <f>B32</f>
        <v>92</v>
      </c>
      <c r="D62" s="68">
        <f>B33</f>
        <v>92</v>
      </c>
      <c r="E62" s="68">
        <f>B34</f>
        <v>92</v>
      </c>
      <c r="F62" s="68">
        <f>B35</f>
        <v>92</v>
      </c>
      <c r="G62" s="68">
        <f>B36</f>
        <v>92</v>
      </c>
      <c r="H62" s="68">
        <f>B37</f>
        <v>92</v>
      </c>
      <c r="I62" s="68">
        <f>B38</f>
        <v>92</v>
      </c>
      <c r="J62" s="68">
        <f>B39</f>
        <v>92</v>
      </c>
      <c r="K62" s="68">
        <f>B40</f>
        <v>92</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79" priority="42" operator="greaterThan">
      <formula>$B$51</formula>
    </cfRule>
  </conditionalFormatting>
  <conditionalFormatting sqref="B66:U66">
    <cfRule type="cellIs" dxfId="278" priority="4" operator="equal">
      <formula>"UNDER"</formula>
    </cfRule>
    <cfRule type="cellIs" dxfId="277" priority="5" operator="equal">
      <formula>"OVER"</formula>
    </cfRule>
  </conditionalFormatting>
  <conditionalFormatting sqref="C31:C50">
    <cfRule type="cellIs" dxfId="276" priority="41" operator="greaterThan">
      <formula>$C$51</formula>
    </cfRule>
  </conditionalFormatting>
  <conditionalFormatting sqref="C17:V19">
    <cfRule type="cellIs" dxfId="275" priority="34" operator="equal">
      <formula>0</formula>
    </cfRule>
  </conditionalFormatting>
  <conditionalFormatting sqref="C20:V21">
    <cfRule type="cellIs" dxfId="274" priority="43" operator="equal">
      <formula>"DECREASE"</formula>
    </cfRule>
    <cfRule type="cellIs" dxfId="273" priority="44" operator="equal">
      <formula>"INCREASE"</formula>
    </cfRule>
  </conditionalFormatting>
  <conditionalFormatting sqref="C21:V21">
    <cfRule type="cellIs" dxfId="272" priority="8" operator="equal">
      <formula>0</formula>
    </cfRule>
  </conditionalFormatting>
  <conditionalFormatting sqref="C22:V23">
    <cfRule type="cellIs" dxfId="271" priority="15" operator="equal">
      <formula>0</formula>
    </cfRule>
  </conditionalFormatting>
  <conditionalFormatting sqref="C24:V24">
    <cfRule type="cellIs" dxfId="270" priority="16" operator="equal">
      <formula>"DECREASE"</formula>
    </cfRule>
    <cfRule type="cellIs" dxfId="269" priority="17" operator="equal">
      <formula>"INCREASE"</formula>
    </cfRule>
  </conditionalFormatting>
  <conditionalFormatting sqref="G31:G50">
    <cfRule type="cellIs" dxfId="268" priority="31" operator="greaterThan">
      <formula>$G$51</formula>
    </cfRule>
  </conditionalFormatting>
  <conditionalFormatting sqref="H31:H50">
    <cfRule type="cellIs" dxfId="267" priority="30" operator="greaterThan">
      <formula>$H$51</formula>
    </cfRule>
  </conditionalFormatting>
  <conditionalFormatting sqref="I1">
    <cfRule type="cellIs" dxfId="266" priority="11" operator="between">
      <formula>0.1</formula>
      <formula>5</formula>
    </cfRule>
  </conditionalFormatting>
  <conditionalFormatting sqref="I2">
    <cfRule type="cellIs" dxfId="265" priority="10" operator="greaterThan">
      <formula>5000.1</formula>
    </cfRule>
  </conditionalFormatting>
  <conditionalFormatting sqref="I3">
    <cfRule type="cellIs" dxfId="264" priority="9" operator="greaterThan">
      <formula>40000.01</formula>
    </cfRule>
  </conditionalFormatting>
  <conditionalFormatting sqref="I31:I50">
    <cfRule type="cellIs" dxfId="263" priority="29" operator="greaterThan">
      <formula>$I$51</formula>
    </cfRule>
  </conditionalFormatting>
  <conditionalFormatting sqref="J31:J50">
    <cfRule type="cellIs" dxfId="262" priority="3" operator="greaterThan">
      <formula>$J$51</formula>
    </cfRule>
  </conditionalFormatting>
  <conditionalFormatting sqref="K31:K50">
    <cfRule type="cellIs" dxfId="261" priority="27" operator="greaterThan">
      <formula>$K$51</formula>
    </cfRule>
  </conditionalFormatting>
  <conditionalFormatting sqref="L3">
    <cfRule type="cellIs" dxfId="260" priority="1" operator="lessThan">
      <formula>30</formula>
    </cfRule>
    <cfRule type="cellIs" dxfId="259" priority="2" operator="greaterThanOrEqual">
      <formula>30</formula>
    </cfRule>
  </conditionalFormatting>
  <conditionalFormatting sqref="L31:L50">
    <cfRule type="cellIs" dxfId="258" priority="26" operator="greaterThan">
      <formula>$L$51</formula>
    </cfRule>
  </conditionalFormatting>
  <conditionalFormatting sqref="M31:M50">
    <cfRule type="cellIs" dxfId="257" priority="25" operator="greaterThan">
      <formula>$M$51</formula>
    </cfRule>
  </conditionalFormatting>
  <conditionalFormatting sqref="P31:P50">
    <cfRule type="cellIs" dxfId="256" priority="24" operator="greaterThan">
      <formula>$P$51</formula>
    </cfRule>
  </conditionalFormatting>
  <conditionalFormatting sqref="R31:R50">
    <cfRule type="cellIs" dxfId="255" priority="23" operator="greaterThan">
      <formula>$R$51</formula>
    </cfRule>
  </conditionalFormatting>
  <conditionalFormatting sqref="S31:S50">
    <cfRule type="cellIs" dxfId="254" priority="22" operator="greaterThan">
      <formula>$S$51</formula>
    </cfRule>
  </conditionalFormatting>
  <conditionalFormatting sqref="T31:T50">
    <cfRule type="cellIs" dxfId="253" priority="21" operator="greaterThan">
      <formula>$T$51</formula>
    </cfRule>
  </conditionalFormatting>
  <conditionalFormatting sqref="U31:U50">
    <cfRule type="cellIs" dxfId="252"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3" zoomScale="90" zoomScaleNormal="90" workbookViewId="0">
      <selection activeCell="I28" sqref="I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7.24</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178</v>
      </c>
      <c r="G2" s="112" t="s">
        <v>110</v>
      </c>
      <c r="H2" s="113"/>
      <c r="I2" s="86">
        <v>2500</v>
      </c>
      <c r="J2" s="114" t="s">
        <v>158</v>
      </c>
      <c r="K2" s="114"/>
      <c r="L2" s="86">
        <v>0.06</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200</v>
      </c>
      <c r="J3" s="110" t="s">
        <v>154</v>
      </c>
      <c r="K3" s="111"/>
      <c r="L3" s="86">
        <f>(L1/(L2*10000))*100</f>
        <v>4.1666666666666661</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179</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55.616315999999998</v>
      </c>
      <c r="D18" s="13">
        <f>$D32</f>
        <v>55.616315999999998</v>
      </c>
      <c r="E18" s="13">
        <f>$D33</f>
        <v>55.616315999999998</v>
      </c>
      <c r="F18" s="13">
        <f>$D34</f>
        <v>55.616315999999998</v>
      </c>
      <c r="G18" s="13">
        <f>$D35</f>
        <v>55.616315999999998</v>
      </c>
      <c r="H18" s="13">
        <f>$D36</f>
        <v>55.616315999999998</v>
      </c>
      <c r="I18" s="13">
        <f>$D37</f>
        <v>55.616315999999998</v>
      </c>
      <c r="J18" s="13">
        <f>$D38</f>
        <v>55.616315999999998</v>
      </c>
      <c r="K18" s="13">
        <f>$D39</f>
        <v>55.616315999999998</v>
      </c>
      <c r="L18" s="13">
        <f>$D40</f>
        <v>55.616315999999998</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-8.9836839999999967</v>
      </c>
      <c r="D19" s="13">
        <f t="shared" ref="D19:V19" si="1">D18-D17</f>
        <v>-8.9836839999999967</v>
      </c>
      <c r="E19" s="13">
        <f t="shared" si="1"/>
        <v>-8.9836839999999967</v>
      </c>
      <c r="F19" s="13">
        <f t="shared" si="1"/>
        <v>-8.9836839999999967</v>
      </c>
      <c r="G19" s="13">
        <f t="shared" si="1"/>
        <v>-8.9836839999999967</v>
      </c>
      <c r="H19" s="13">
        <f t="shared" si="1"/>
        <v>-8.9836839999999967</v>
      </c>
      <c r="I19" s="13">
        <f t="shared" si="1"/>
        <v>-8.9836839999999967</v>
      </c>
      <c r="J19" s="13">
        <f t="shared" si="1"/>
        <v>-8.9836839999999967</v>
      </c>
      <c r="K19" s="13">
        <f t="shared" si="1"/>
        <v>-8.9836839999999967</v>
      </c>
      <c r="L19" s="13">
        <f t="shared" si="1"/>
        <v>-8.9836839999999967</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5.2113840000000007</v>
      </c>
      <c r="D22" s="13">
        <f>$E32</f>
        <v>5.2113840000000007</v>
      </c>
      <c r="E22" s="13">
        <f>$E33</f>
        <v>5.2113840000000007</v>
      </c>
      <c r="F22" s="13">
        <f>$E34</f>
        <v>5.2113840000000007</v>
      </c>
      <c r="G22" s="13">
        <f>$E35</f>
        <v>5.2113840000000007</v>
      </c>
      <c r="H22" s="13">
        <f>$E36</f>
        <v>5.2113840000000007</v>
      </c>
      <c r="I22" s="13">
        <f>$E37</f>
        <v>5.2113840000000007</v>
      </c>
      <c r="J22" s="13">
        <f>$E38</f>
        <v>5.2113840000000007</v>
      </c>
      <c r="K22" s="13">
        <f>$E39</f>
        <v>5.2113840000000007</v>
      </c>
      <c r="L22" s="13">
        <f>$E40</f>
        <v>5.2113840000000007</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-222.78861599999999</v>
      </c>
      <c r="D23" s="13">
        <f t="shared" ref="D23:V23" si="3">D22-D21</f>
        <v>-222.78861599999999</v>
      </c>
      <c r="E23" s="13">
        <f t="shared" si="3"/>
        <v>-222.78861599999999</v>
      </c>
      <c r="F23" s="13">
        <f t="shared" si="3"/>
        <v>-222.78861599999999</v>
      </c>
      <c r="G23" s="13">
        <f t="shared" si="3"/>
        <v>-222.78861599999999</v>
      </c>
      <c r="H23" s="13">
        <f t="shared" si="3"/>
        <v>-222.78861599999999</v>
      </c>
      <c r="I23" s="13">
        <f t="shared" si="3"/>
        <v>-222.78861599999999</v>
      </c>
      <c r="J23" s="13">
        <f t="shared" si="3"/>
        <v>-222.78861599999999</v>
      </c>
      <c r="K23" s="13">
        <f t="shared" si="3"/>
        <v>-222.78861599999999</v>
      </c>
      <c r="L23" s="13">
        <f t="shared" si="3"/>
        <v>-222.78861599999999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1.8</v>
      </c>
      <c r="C28" s="12">
        <v>0.06</v>
      </c>
      <c r="D28" s="12">
        <v>357</v>
      </c>
      <c r="E28" s="12">
        <v>63.6</v>
      </c>
      <c r="F28" s="12">
        <v>25.7</v>
      </c>
      <c r="G28" s="12">
        <v>0.48</v>
      </c>
      <c r="H28" s="12">
        <v>6.47</v>
      </c>
      <c r="I28" s="12">
        <v>0.5</v>
      </c>
      <c r="J28" s="12">
        <v>0.01</v>
      </c>
      <c r="K28" s="16">
        <v>0.05</v>
      </c>
      <c r="L28" s="12">
        <v>0.29299999999999998</v>
      </c>
      <c r="M28" s="12">
        <v>1.1399999999999999</v>
      </c>
      <c r="N28" s="12"/>
      <c r="O28" s="12"/>
      <c r="P28" s="12">
        <v>3039</v>
      </c>
      <c r="Q28" s="12">
        <v>1287</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68</v>
      </c>
      <c r="C31" s="68">
        <f>IF(C$27="%w/w SAR",((C$28*10)*$B31),IF(C$27="%w/w DM",(((C$28*10)*($B$28/100))*$B31),IF(C$27="kg/t SAR",(C$28*$B31),IF(C$27="kg/t DM",((C$28*($B$28/100))*$B31),IF(C$27="mg/kg SAR",((C$28*0.001)*$B31),IF(C$27="mg/kg DM",(((C$28*0.001)*($B$28/100))*$B31),0))))))</f>
        <v>40.799999999999997</v>
      </c>
      <c r="D31" s="68">
        <f>(IF(D$27="%w/w SAR",((D$28*10)*$B31),IF(D$27="%w/w DM",(((D$28*10)*($B$28/100))*$B31),IF(D$27="kg/t SAR",(D$28*$B31),IF(D$27="kg/t DM",((D$28*($B$28/100))*$B31),IF(D$27="mg/kg SAR",((D$28*0.001)*$B31),IF(D$27="mg/kg DM",(((D$28*0.001)*($B$28/100))*$B31),"0")))))))*2.291</f>
        <v>55.616315999999998</v>
      </c>
      <c r="E31" s="68">
        <f>(IF(E$27="%w/w SAR",((E$28*10)*$B31),IF(E$27="%w/w DM",(((E$28*10)*($B$28/100))*$B31),IF(E$27="kg/t SAR",(E$28*$B31),IF(E$27="kg/t DM",((E$28*($B$28/100))*$B31),IF(E$27="mg/kg SAR",((E$28*0.001)*$B31),IF(E$27="mg/kg DM",(((E$28*0.001)*($B$28/100))*$B31),"0")))))))*1.205</f>
        <v>5.2113840000000007</v>
      </c>
      <c r="F31" s="68">
        <f>(IF(F$27="%w/w SAR",((F$28*10)*$B31),IF(F$27="%w/w DM",(((F$28*10)*($B$28/100))*$B31),IF(F$27="kg/t SAR",(F$28*$B31),IF(F$27="kg/t DM",((F$28*($B$28/100))*$B31),IF(F$27="mg/kg SAR",((F$28*0.001)*$B31),IF(F$27="mg/kg DM",(((F$28*0.001)*($B$28/100))*$B31),"0")))))))*1.658</f>
        <v>2.8975208000000001</v>
      </c>
      <c r="G31" s="68">
        <f t="shared" ref="G31:P46" si="5">IF(G$27="%w/w SAR",((G$28*10)*$B31),IF(G$27="%w/w DM",(((G$28*10)*($B$28/100))*$B31),IF(G$27="kg/t SAR",(G$28*$B31),IF(G$27="kg/t DM",((G$28*($B$28/100))*$B31),IF(G$27="mg/kg SAR",((G$28*0.001)*$B31),IF(G$27="mg/kg DM",(((G$28*0.001)*($B$28/100))*$B31),0))))))</f>
        <v>3.2640000000000002E-2</v>
      </c>
      <c r="H31" s="68">
        <f t="shared" si="5"/>
        <v>0.43996000000000002</v>
      </c>
      <c r="I31" s="68">
        <f t="shared" si="5"/>
        <v>3.4000000000000002E-2</v>
      </c>
      <c r="J31" s="68">
        <f t="shared" si="5"/>
        <v>6.8000000000000005E-4</v>
      </c>
      <c r="K31" s="68">
        <f t="shared" si="5"/>
        <v>3.4000000000000002E-3</v>
      </c>
      <c r="L31" s="68">
        <f t="shared" si="5"/>
        <v>1.9923999999999997E-2</v>
      </c>
      <c r="M31" s="68">
        <f t="shared" si="5"/>
        <v>7.7519999999999992E-2</v>
      </c>
      <c r="N31" s="68">
        <f t="shared" si="5"/>
        <v>0</v>
      </c>
      <c r="O31" s="68">
        <f t="shared" si="5"/>
        <v>0</v>
      </c>
      <c r="P31" s="68">
        <f t="shared" si="5"/>
        <v>206.65200000000002</v>
      </c>
      <c r="Q31" s="68">
        <f>(IF(Q$27="%w/w SAR",((Q$28*10)*$B31),IF(Q$27="%w/w DM",(((Q$28*10)*($B$28/100))*$B31),IF(Q$27="kg/t SAR",(Q$28*$B31),IF(Q$27="kg/t DM",((Q$28*($B$28/100))*$B31),IF(Q$27="mg/kg SAR",((Q$28*0.001)*$B31),IF(Q$27="mg/kg DM",(((Q$28*0.001)*($B$28/100))*$B31),0)))))))*2.5</f>
        <v>218.78999999999996</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68</v>
      </c>
      <c r="C32" s="68">
        <f t="shared" ref="C32:C50" si="6">IF(C$27="%w/w SAR",((C$28*10)*$B32),IF(C$27="%w/w DM",(((C$28*10)*($B$28/100))*$B32),IF(C$27="kg/t SAR",(C$28*$B32),IF(C$27="kg/t DM",((C$28*($B$28/100))*$B32),IF(C$27="mg/kg SAR",((C$28*0.001)*$B32),IF(C$27="mg/kg DM",(((C$28*0.001)*($B$28/100))*$B32),0))))))</f>
        <v>40.799999999999997</v>
      </c>
      <c r="D32" s="68">
        <f t="shared" ref="D32:D50" si="7">(IF(D$27="%w/w SAR",((D$28*10)*$B32),IF(D$27="%w/w DM",(((D$28*10)*($B$28/100))*$B32),IF(D$27="kg/t SAR",(D$28*$B32),IF(D$27="kg/t DM",((D$28*($B$28/100))*$B32),IF(D$27="mg/kg SAR",((D$28*0.001)*$B32),IF(D$27="mg/kg DM",(((D$28*0.001)*($B$28/100))*$B32),"0")))))))*2.291</f>
        <v>55.616315999999998</v>
      </c>
      <c r="E32" s="68">
        <f t="shared" ref="E32:E50" si="8">(IF(E$27="%w/w SAR",((E$28*10)*$B32),IF(E$27="%w/w DM",(((E$28*10)*($B$28/100))*$B32),IF(E$27="kg/t SAR",(E$28*$B32),IF(E$27="kg/t DM",((E$28*($B$28/100))*$B32),IF(E$27="mg/kg SAR",((E$28*0.001)*$B32),IF(E$27="mg/kg DM",(((E$28*0.001)*($B$28/100))*$B32),"0")))))))*1.205</f>
        <v>5.2113840000000007</v>
      </c>
      <c r="F32" s="68">
        <f t="shared" ref="F32:F50" si="9">(IF(F$27="%w/w SAR",((F$28*10)*$B32),IF(F$27="%w/w DM",(((F$28*10)*($B$28/100))*$B32),IF(F$27="kg/t SAR",(F$28*$B32),IF(F$27="kg/t DM",((F$28*($B$28/100))*$B32),IF(F$27="mg/kg SAR",((F$28*0.001)*$B32),IF(F$27="mg/kg DM",(((F$28*0.001)*($B$28/100))*$B32),"0")))))))*1.658</f>
        <v>2.8975208000000001</v>
      </c>
      <c r="G32" s="68">
        <f t="shared" si="5"/>
        <v>3.2640000000000002E-2</v>
      </c>
      <c r="H32" s="68">
        <f t="shared" si="5"/>
        <v>0.43996000000000002</v>
      </c>
      <c r="I32" s="68">
        <f t="shared" si="5"/>
        <v>3.4000000000000002E-2</v>
      </c>
      <c r="J32" s="68">
        <f t="shared" si="5"/>
        <v>6.8000000000000005E-4</v>
      </c>
      <c r="K32" s="68">
        <f t="shared" si="5"/>
        <v>3.4000000000000002E-3</v>
      </c>
      <c r="L32" s="68">
        <f t="shared" si="5"/>
        <v>1.9923999999999997E-2</v>
      </c>
      <c r="M32" s="68">
        <f t="shared" si="5"/>
        <v>7.7519999999999992E-2</v>
      </c>
      <c r="N32" s="68">
        <f t="shared" si="5"/>
        <v>0</v>
      </c>
      <c r="O32" s="68">
        <f t="shared" si="5"/>
        <v>0</v>
      </c>
      <c r="P32" s="68">
        <f t="shared" si="5"/>
        <v>206.65200000000002</v>
      </c>
      <c r="Q32" s="68">
        <f t="shared" ref="Q32:Q50" si="10">(IF(Q$27="%w/w SAR",((Q$28*10)*$B32),IF(Q$27="%w/w DM",(((Q$28*10)*($B$28/100))*$B32),IF(Q$27="kg/t SAR",(Q$28*$B32),IF(Q$27="kg/t DM",((Q$28*($B$28/100))*$B32),IF(Q$27="mg/kg SAR",((Q$28*0.001)*$B32),IF(Q$27="mg/kg DM",(((Q$28*0.001)*($B$28/100))*$B32),0)))))))*2.5</f>
        <v>218.78999999999996</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68</v>
      </c>
      <c r="C33" s="68">
        <f t="shared" si="6"/>
        <v>40.799999999999997</v>
      </c>
      <c r="D33" s="68">
        <f t="shared" si="7"/>
        <v>55.616315999999998</v>
      </c>
      <c r="E33" s="68">
        <f t="shared" si="8"/>
        <v>5.2113840000000007</v>
      </c>
      <c r="F33" s="68">
        <f t="shared" si="9"/>
        <v>2.8975208000000001</v>
      </c>
      <c r="G33" s="68">
        <f t="shared" si="5"/>
        <v>3.2640000000000002E-2</v>
      </c>
      <c r="H33" s="68">
        <f t="shared" si="5"/>
        <v>0.43996000000000002</v>
      </c>
      <c r="I33" s="68">
        <f t="shared" si="5"/>
        <v>3.4000000000000002E-2</v>
      </c>
      <c r="J33" s="68">
        <f t="shared" si="5"/>
        <v>6.8000000000000005E-4</v>
      </c>
      <c r="K33" s="68">
        <f t="shared" si="5"/>
        <v>3.4000000000000002E-3</v>
      </c>
      <c r="L33" s="68">
        <f t="shared" si="5"/>
        <v>1.9923999999999997E-2</v>
      </c>
      <c r="M33" s="68">
        <f t="shared" si="5"/>
        <v>7.7519999999999992E-2</v>
      </c>
      <c r="N33" s="68">
        <f t="shared" si="5"/>
        <v>0</v>
      </c>
      <c r="O33" s="68">
        <f t="shared" si="5"/>
        <v>0</v>
      </c>
      <c r="P33" s="68">
        <f t="shared" si="5"/>
        <v>206.65200000000002</v>
      </c>
      <c r="Q33" s="68">
        <f t="shared" si="10"/>
        <v>218.78999999999996</v>
      </c>
      <c r="R33" s="68">
        <f t="shared" si="11"/>
        <v>0</v>
      </c>
      <c r="S33" s="68">
        <f t="shared" si="11"/>
        <v>0</v>
      </c>
      <c r="T33" s="68">
        <f t="shared" si="11"/>
        <v>0</v>
      </c>
      <c r="U33" s="68">
        <f t="shared" si="11"/>
        <v>0</v>
      </c>
    </row>
    <row r="34" spans="1:21" s="51" customFormat="1" ht="13" x14ac:dyDescent="0.35">
      <c r="A34" s="10" t="str">
        <f>F8</f>
        <v>BW4</v>
      </c>
      <c r="B34" s="12">
        <v>68</v>
      </c>
      <c r="C34" s="68">
        <f t="shared" si="6"/>
        <v>40.799999999999997</v>
      </c>
      <c r="D34" s="68">
        <f t="shared" si="7"/>
        <v>55.616315999999998</v>
      </c>
      <c r="E34" s="68">
        <f t="shared" si="8"/>
        <v>5.2113840000000007</v>
      </c>
      <c r="F34" s="68">
        <f t="shared" si="9"/>
        <v>2.8975208000000001</v>
      </c>
      <c r="G34" s="68">
        <f t="shared" si="5"/>
        <v>3.2640000000000002E-2</v>
      </c>
      <c r="H34" s="68">
        <f t="shared" si="5"/>
        <v>0.43996000000000002</v>
      </c>
      <c r="I34" s="68">
        <f t="shared" si="5"/>
        <v>3.4000000000000002E-2</v>
      </c>
      <c r="J34" s="68">
        <f t="shared" si="5"/>
        <v>6.8000000000000005E-4</v>
      </c>
      <c r="K34" s="68">
        <f t="shared" si="5"/>
        <v>3.4000000000000002E-3</v>
      </c>
      <c r="L34" s="68">
        <f t="shared" si="5"/>
        <v>1.9923999999999997E-2</v>
      </c>
      <c r="M34" s="68">
        <f t="shared" si="5"/>
        <v>7.7519999999999992E-2</v>
      </c>
      <c r="N34" s="68">
        <f t="shared" si="5"/>
        <v>0</v>
      </c>
      <c r="O34" s="68">
        <f t="shared" si="5"/>
        <v>0</v>
      </c>
      <c r="P34" s="68">
        <f t="shared" si="5"/>
        <v>206.65200000000002</v>
      </c>
      <c r="Q34" s="68">
        <f t="shared" si="10"/>
        <v>218.78999999999996</v>
      </c>
      <c r="R34" s="68">
        <f t="shared" si="11"/>
        <v>0</v>
      </c>
      <c r="S34" s="68">
        <f t="shared" si="11"/>
        <v>0</v>
      </c>
      <c r="T34" s="68">
        <f t="shared" si="11"/>
        <v>0</v>
      </c>
      <c r="U34" s="68">
        <f t="shared" si="11"/>
        <v>0</v>
      </c>
    </row>
    <row r="35" spans="1:21" s="51" customFormat="1" ht="13" x14ac:dyDescent="0.35">
      <c r="A35" s="10" t="str">
        <f>G8</f>
        <v>BW6</v>
      </c>
      <c r="B35" s="12">
        <v>68</v>
      </c>
      <c r="C35" s="68">
        <f t="shared" si="6"/>
        <v>40.799999999999997</v>
      </c>
      <c r="D35" s="68">
        <f t="shared" si="7"/>
        <v>55.616315999999998</v>
      </c>
      <c r="E35" s="68">
        <f t="shared" si="8"/>
        <v>5.2113840000000007</v>
      </c>
      <c r="F35" s="68">
        <f t="shared" si="9"/>
        <v>2.8975208000000001</v>
      </c>
      <c r="G35" s="68">
        <f t="shared" si="5"/>
        <v>3.2640000000000002E-2</v>
      </c>
      <c r="H35" s="68">
        <f t="shared" si="5"/>
        <v>0.43996000000000002</v>
      </c>
      <c r="I35" s="68">
        <f t="shared" si="5"/>
        <v>3.4000000000000002E-2</v>
      </c>
      <c r="J35" s="68">
        <f t="shared" si="5"/>
        <v>6.8000000000000005E-4</v>
      </c>
      <c r="K35" s="68">
        <f t="shared" si="5"/>
        <v>3.4000000000000002E-3</v>
      </c>
      <c r="L35" s="68">
        <f t="shared" si="5"/>
        <v>1.9923999999999997E-2</v>
      </c>
      <c r="M35" s="68">
        <f t="shared" si="5"/>
        <v>7.7519999999999992E-2</v>
      </c>
      <c r="N35" s="68">
        <f t="shared" si="5"/>
        <v>0</v>
      </c>
      <c r="O35" s="68">
        <f t="shared" si="5"/>
        <v>0</v>
      </c>
      <c r="P35" s="68">
        <f t="shared" si="5"/>
        <v>206.65200000000002</v>
      </c>
      <c r="Q35" s="68">
        <f t="shared" si="10"/>
        <v>218.78999999999996</v>
      </c>
      <c r="R35" s="68">
        <f t="shared" si="11"/>
        <v>0</v>
      </c>
      <c r="S35" s="68">
        <f t="shared" si="11"/>
        <v>0</v>
      </c>
      <c r="T35" s="68">
        <f t="shared" si="11"/>
        <v>0</v>
      </c>
      <c r="U35" s="68">
        <f t="shared" si="11"/>
        <v>0</v>
      </c>
    </row>
    <row r="36" spans="1:21" s="51" customFormat="1" ht="13" x14ac:dyDescent="0.35">
      <c r="A36" s="10" t="str">
        <f>H8</f>
        <v>BW7</v>
      </c>
      <c r="B36" s="12">
        <v>68</v>
      </c>
      <c r="C36" s="68">
        <f t="shared" si="6"/>
        <v>40.799999999999997</v>
      </c>
      <c r="D36" s="68">
        <f t="shared" si="7"/>
        <v>55.616315999999998</v>
      </c>
      <c r="E36" s="68">
        <f t="shared" si="8"/>
        <v>5.2113840000000007</v>
      </c>
      <c r="F36" s="68">
        <f t="shared" si="9"/>
        <v>2.8975208000000001</v>
      </c>
      <c r="G36" s="68">
        <f t="shared" si="5"/>
        <v>3.2640000000000002E-2</v>
      </c>
      <c r="H36" s="68">
        <f t="shared" si="5"/>
        <v>0.43996000000000002</v>
      </c>
      <c r="I36" s="68">
        <f t="shared" si="5"/>
        <v>3.4000000000000002E-2</v>
      </c>
      <c r="J36" s="68">
        <f t="shared" si="5"/>
        <v>6.8000000000000005E-4</v>
      </c>
      <c r="K36" s="68">
        <f t="shared" si="5"/>
        <v>3.4000000000000002E-3</v>
      </c>
      <c r="L36" s="68">
        <f t="shared" si="5"/>
        <v>1.9923999999999997E-2</v>
      </c>
      <c r="M36" s="68">
        <f t="shared" si="5"/>
        <v>7.7519999999999992E-2</v>
      </c>
      <c r="N36" s="68">
        <f t="shared" si="5"/>
        <v>0</v>
      </c>
      <c r="O36" s="68">
        <f t="shared" si="5"/>
        <v>0</v>
      </c>
      <c r="P36" s="68">
        <f t="shared" si="5"/>
        <v>206.65200000000002</v>
      </c>
      <c r="Q36" s="68">
        <f t="shared" si="10"/>
        <v>218.78999999999996</v>
      </c>
      <c r="R36" s="68">
        <f t="shared" si="11"/>
        <v>0</v>
      </c>
      <c r="S36" s="68">
        <f t="shared" si="11"/>
        <v>0</v>
      </c>
      <c r="T36" s="68">
        <f t="shared" si="11"/>
        <v>0</v>
      </c>
      <c r="U36" s="68">
        <f t="shared" si="11"/>
        <v>0</v>
      </c>
    </row>
    <row r="37" spans="1:21" s="51" customFormat="1" ht="13" x14ac:dyDescent="0.35">
      <c r="A37" s="10" t="str">
        <f>I8</f>
        <v>DJ1</v>
      </c>
      <c r="B37" s="12">
        <v>68</v>
      </c>
      <c r="C37" s="68">
        <f t="shared" si="6"/>
        <v>40.799999999999997</v>
      </c>
      <c r="D37" s="68">
        <f t="shared" si="7"/>
        <v>55.616315999999998</v>
      </c>
      <c r="E37" s="68">
        <f t="shared" si="8"/>
        <v>5.2113840000000007</v>
      </c>
      <c r="F37" s="68">
        <f t="shared" si="9"/>
        <v>2.8975208000000001</v>
      </c>
      <c r="G37" s="68">
        <f t="shared" si="5"/>
        <v>3.2640000000000002E-2</v>
      </c>
      <c r="H37" s="68">
        <f t="shared" si="5"/>
        <v>0.43996000000000002</v>
      </c>
      <c r="I37" s="68">
        <f t="shared" si="5"/>
        <v>3.4000000000000002E-2</v>
      </c>
      <c r="J37" s="68">
        <f t="shared" si="5"/>
        <v>6.8000000000000005E-4</v>
      </c>
      <c r="K37" s="68">
        <f t="shared" si="5"/>
        <v>3.4000000000000002E-3</v>
      </c>
      <c r="L37" s="68">
        <f t="shared" si="5"/>
        <v>1.9923999999999997E-2</v>
      </c>
      <c r="M37" s="68">
        <f t="shared" si="5"/>
        <v>7.7519999999999992E-2</v>
      </c>
      <c r="N37" s="68">
        <f t="shared" si="5"/>
        <v>0</v>
      </c>
      <c r="O37" s="68">
        <f t="shared" si="5"/>
        <v>0</v>
      </c>
      <c r="P37" s="68">
        <f t="shared" si="5"/>
        <v>206.65200000000002</v>
      </c>
      <c r="Q37" s="68">
        <f t="shared" si="10"/>
        <v>218.78999999999996</v>
      </c>
      <c r="R37" s="68">
        <f t="shared" si="11"/>
        <v>0</v>
      </c>
      <c r="S37" s="68">
        <f t="shared" si="11"/>
        <v>0</v>
      </c>
      <c r="T37" s="68">
        <f t="shared" si="11"/>
        <v>0</v>
      </c>
      <c r="U37" s="68">
        <f t="shared" si="11"/>
        <v>0</v>
      </c>
    </row>
    <row r="38" spans="1:21" s="51" customFormat="1" ht="13" x14ac:dyDescent="0.35">
      <c r="A38" s="10" t="str">
        <f>J8</f>
        <v>DJ2</v>
      </c>
      <c r="B38" s="12">
        <v>68</v>
      </c>
      <c r="C38" s="68">
        <f t="shared" si="6"/>
        <v>40.799999999999997</v>
      </c>
      <c r="D38" s="68">
        <f t="shared" si="7"/>
        <v>55.616315999999998</v>
      </c>
      <c r="E38" s="68">
        <f t="shared" si="8"/>
        <v>5.2113840000000007</v>
      </c>
      <c r="F38" s="68">
        <f t="shared" si="9"/>
        <v>2.8975208000000001</v>
      </c>
      <c r="G38" s="68">
        <f t="shared" si="5"/>
        <v>3.2640000000000002E-2</v>
      </c>
      <c r="H38" s="68">
        <f t="shared" si="5"/>
        <v>0.43996000000000002</v>
      </c>
      <c r="I38" s="68">
        <f t="shared" si="5"/>
        <v>3.4000000000000002E-2</v>
      </c>
      <c r="J38" s="68">
        <f t="shared" si="5"/>
        <v>6.8000000000000005E-4</v>
      </c>
      <c r="K38" s="68">
        <f t="shared" si="5"/>
        <v>3.4000000000000002E-3</v>
      </c>
      <c r="L38" s="68">
        <f t="shared" si="5"/>
        <v>1.9923999999999997E-2</v>
      </c>
      <c r="M38" s="68">
        <f t="shared" si="5"/>
        <v>7.7519999999999992E-2</v>
      </c>
      <c r="N38" s="68">
        <f t="shared" si="5"/>
        <v>0</v>
      </c>
      <c r="O38" s="68">
        <f t="shared" si="5"/>
        <v>0</v>
      </c>
      <c r="P38" s="68">
        <f t="shared" si="5"/>
        <v>206.65200000000002</v>
      </c>
      <c r="Q38" s="68">
        <f t="shared" si="10"/>
        <v>218.78999999999996</v>
      </c>
      <c r="R38" s="68">
        <f t="shared" si="11"/>
        <v>0</v>
      </c>
      <c r="S38" s="68">
        <f t="shared" si="11"/>
        <v>0</v>
      </c>
      <c r="T38" s="68">
        <f t="shared" si="11"/>
        <v>0</v>
      </c>
      <c r="U38" s="68">
        <f t="shared" si="11"/>
        <v>0</v>
      </c>
    </row>
    <row r="39" spans="1:21" s="51" customFormat="1" ht="13" x14ac:dyDescent="0.35">
      <c r="A39" s="10" t="str">
        <f>K8</f>
        <v>DJ3</v>
      </c>
      <c r="B39" s="12">
        <v>68</v>
      </c>
      <c r="C39" s="68">
        <f t="shared" si="6"/>
        <v>40.799999999999997</v>
      </c>
      <c r="D39" s="68">
        <f t="shared" si="7"/>
        <v>55.616315999999998</v>
      </c>
      <c r="E39" s="68">
        <f t="shared" si="8"/>
        <v>5.2113840000000007</v>
      </c>
      <c r="F39" s="68">
        <f t="shared" si="9"/>
        <v>2.8975208000000001</v>
      </c>
      <c r="G39" s="68">
        <f t="shared" si="5"/>
        <v>3.2640000000000002E-2</v>
      </c>
      <c r="H39" s="68">
        <f t="shared" si="5"/>
        <v>0.43996000000000002</v>
      </c>
      <c r="I39" s="68">
        <f t="shared" si="5"/>
        <v>3.4000000000000002E-2</v>
      </c>
      <c r="J39" s="68">
        <f t="shared" si="5"/>
        <v>6.8000000000000005E-4</v>
      </c>
      <c r="K39" s="68">
        <f t="shared" si="5"/>
        <v>3.4000000000000002E-3</v>
      </c>
      <c r="L39" s="68">
        <f t="shared" si="5"/>
        <v>1.9923999999999997E-2</v>
      </c>
      <c r="M39" s="68">
        <f t="shared" si="5"/>
        <v>7.7519999999999992E-2</v>
      </c>
      <c r="N39" s="68">
        <f t="shared" si="5"/>
        <v>0</v>
      </c>
      <c r="O39" s="68">
        <f t="shared" si="5"/>
        <v>0</v>
      </c>
      <c r="P39" s="68">
        <f t="shared" si="5"/>
        <v>206.65200000000002</v>
      </c>
      <c r="Q39" s="68">
        <f t="shared" si="10"/>
        <v>218.78999999999996</v>
      </c>
      <c r="R39" s="68">
        <f t="shared" si="11"/>
        <v>0</v>
      </c>
      <c r="S39" s="68">
        <f t="shared" si="11"/>
        <v>0</v>
      </c>
      <c r="T39" s="68">
        <f t="shared" si="11"/>
        <v>0</v>
      </c>
      <c r="U39" s="68">
        <f t="shared" si="11"/>
        <v>0</v>
      </c>
    </row>
    <row r="40" spans="1:21" s="51" customFormat="1" ht="13" x14ac:dyDescent="0.35">
      <c r="A40" s="10" t="str">
        <f>L8</f>
        <v>DJ4</v>
      </c>
      <c r="B40" s="12">
        <v>68</v>
      </c>
      <c r="C40" s="68">
        <f t="shared" si="6"/>
        <v>40.799999999999997</v>
      </c>
      <c r="D40" s="68">
        <f t="shared" si="7"/>
        <v>55.616315999999998</v>
      </c>
      <c r="E40" s="68">
        <f t="shared" si="8"/>
        <v>5.2113840000000007</v>
      </c>
      <c r="F40" s="68">
        <f t="shared" si="9"/>
        <v>2.8975208000000001</v>
      </c>
      <c r="G40" s="68">
        <f t="shared" si="5"/>
        <v>3.2640000000000002E-2</v>
      </c>
      <c r="H40" s="68">
        <f t="shared" si="5"/>
        <v>0.43996000000000002</v>
      </c>
      <c r="I40" s="68">
        <f t="shared" si="5"/>
        <v>3.4000000000000002E-2</v>
      </c>
      <c r="J40" s="68">
        <f t="shared" si="5"/>
        <v>6.8000000000000005E-4</v>
      </c>
      <c r="K40" s="68">
        <f t="shared" si="5"/>
        <v>3.4000000000000002E-3</v>
      </c>
      <c r="L40" s="68">
        <f t="shared" si="5"/>
        <v>1.9923999999999997E-2</v>
      </c>
      <c r="M40" s="68">
        <f t="shared" si="5"/>
        <v>7.7519999999999992E-2</v>
      </c>
      <c r="N40" s="68">
        <f t="shared" si="5"/>
        <v>0</v>
      </c>
      <c r="O40" s="68">
        <f t="shared" si="5"/>
        <v>0</v>
      </c>
      <c r="P40" s="68">
        <f t="shared" si="5"/>
        <v>206.65200000000002</v>
      </c>
      <c r="Q40" s="68">
        <f t="shared" si="10"/>
        <v>218.78999999999996</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Sandy Loam I Grass</v>
      </c>
      <c r="C58" s="10" t="str">
        <f>D16&amp;" I "&amp;(VLOOKUP(D14,Table245[],6,FALSE))</f>
        <v>Sandy Loam I Grass</v>
      </c>
      <c r="D58" s="10" t="str">
        <f>E16&amp;" I "&amp;(VLOOKUP(E14,Table245[],6,FALSE))</f>
        <v>Sandy Loam I Grass</v>
      </c>
      <c r="E58" s="10" t="str">
        <f>F16&amp;" I "&amp;(VLOOKUP(F14,Table245[],6,FALSE))</f>
        <v>Sandy Loam I Grass</v>
      </c>
      <c r="F58" s="10" t="str">
        <f>G16&amp;" I "&amp;(VLOOKUP(G14,Table245[],6,FALSE))</f>
        <v>Sandy Loam I Grass</v>
      </c>
      <c r="G58" s="10" t="str">
        <f>H16&amp;" I "&amp;(VLOOKUP(H14,Table245[],6,FALSE))</f>
        <v>Sandy Loam I Grass</v>
      </c>
      <c r="H58" s="10" t="str">
        <f>I16&amp;" I "&amp;(VLOOKUP(I14,Table245[],6,FALSE))</f>
        <v>Sandy Loam I Grass</v>
      </c>
      <c r="I58" s="10" t="str">
        <f>J16&amp;" I "&amp;(VLOOKUP(J14,Table245[],6,FALSE))</f>
        <v>Sandy Loam I Grass</v>
      </c>
      <c r="J58" s="10" t="str">
        <f>K16&amp;" I "&amp;(VLOOKUP(K14,Table245[],6,FALSE))</f>
        <v>Sandy Loam I Grass</v>
      </c>
      <c r="K58" s="10" t="str">
        <f>L16&amp;" I "&amp;(VLOOKUP(L14,Table245[],6,FALSE))</f>
        <v>Sandy Loam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68</v>
      </c>
      <c r="C62" s="68">
        <f>B32</f>
        <v>68</v>
      </c>
      <c r="D62" s="68">
        <f>B33</f>
        <v>68</v>
      </c>
      <c r="E62" s="68">
        <f>B34</f>
        <v>68</v>
      </c>
      <c r="F62" s="68">
        <f>B35</f>
        <v>68</v>
      </c>
      <c r="G62" s="68">
        <f>B36</f>
        <v>68</v>
      </c>
      <c r="H62" s="68">
        <f>B37</f>
        <v>68</v>
      </c>
      <c r="I62" s="68">
        <f>B38</f>
        <v>68</v>
      </c>
      <c r="J62" s="68">
        <f>B39</f>
        <v>68</v>
      </c>
      <c r="K62" s="68">
        <f>B40</f>
        <v>68</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51" priority="36" operator="greaterThan">
      <formula>$B$51</formula>
    </cfRule>
  </conditionalFormatting>
  <conditionalFormatting sqref="B66:U66">
    <cfRule type="cellIs" dxfId="250" priority="11" operator="equal">
      <formula>"UNDER"</formula>
    </cfRule>
    <cfRule type="cellIs" dxfId="249" priority="12" operator="equal">
      <formula>"OVER"</formula>
    </cfRule>
  </conditionalFormatting>
  <conditionalFormatting sqref="C31:C50">
    <cfRule type="cellIs" dxfId="248" priority="35" operator="greaterThan">
      <formula>$C$51</formula>
    </cfRule>
  </conditionalFormatting>
  <conditionalFormatting sqref="C17:V19">
    <cfRule type="cellIs" dxfId="247" priority="32" operator="equal">
      <formula>0</formula>
    </cfRule>
  </conditionalFormatting>
  <conditionalFormatting sqref="C20:V21">
    <cfRule type="cellIs" dxfId="246" priority="37" operator="equal">
      <formula>"DECREASE"</formula>
    </cfRule>
    <cfRule type="cellIs" dxfId="245" priority="38" operator="equal">
      <formula>"INCREASE"</formula>
    </cfRule>
  </conditionalFormatting>
  <conditionalFormatting sqref="C21:V21">
    <cfRule type="cellIs" dxfId="244" priority="13" operator="equal">
      <formula>0</formula>
    </cfRule>
  </conditionalFormatting>
  <conditionalFormatting sqref="C22:V23">
    <cfRule type="cellIs" dxfId="243" priority="17" operator="equal">
      <formula>0</formula>
    </cfRule>
  </conditionalFormatting>
  <conditionalFormatting sqref="C24:V24">
    <cfRule type="cellIs" dxfId="242" priority="18" operator="equal">
      <formula>"DECREASE"</formula>
    </cfRule>
    <cfRule type="cellIs" dxfId="241" priority="19"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3" operator="between">
      <formula>0.1</formula>
      <formula>5</formula>
    </cfRule>
  </conditionalFormatting>
  <conditionalFormatting sqref="I2">
    <cfRule type="cellIs" dxfId="237" priority="2" operator="greaterThan">
      <formula>5000.1</formula>
    </cfRule>
  </conditionalFormatting>
  <conditionalFormatting sqref="I3">
    <cfRule type="cellIs" dxfId="236" priority="1"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8" operator="greaterThan">
      <formula>$J$51</formula>
    </cfRule>
  </conditionalFormatting>
  <conditionalFormatting sqref="K31:K50">
    <cfRule type="cellIs" dxfId="233" priority="28" operator="greaterThan">
      <formula>$K$51</formula>
    </cfRule>
  </conditionalFormatting>
  <conditionalFormatting sqref="L3">
    <cfRule type="cellIs" dxfId="232" priority="4" operator="lessThan">
      <formula>30</formula>
    </cfRule>
    <cfRule type="cellIs" dxfId="231" priority="5" operator="greaterThanOrEqual">
      <formula>30</formula>
    </cfRule>
  </conditionalFormatting>
  <conditionalFormatting sqref="L31:L50">
    <cfRule type="cellIs" dxfId="230" priority="27" operator="greaterThan">
      <formula>$L$51</formula>
    </cfRule>
  </conditionalFormatting>
  <conditionalFormatting sqref="M31:M50">
    <cfRule type="cellIs" dxfId="229" priority="26" operator="greaterThan">
      <formula>$M$51</formula>
    </cfRule>
  </conditionalFormatting>
  <conditionalFormatting sqref="P31:P50">
    <cfRule type="cellIs" dxfId="228" priority="25" operator="greaterThan">
      <formula>$P$51</formula>
    </cfRule>
  </conditionalFormatting>
  <conditionalFormatting sqref="R31:R50">
    <cfRule type="cellIs" dxfId="227" priority="24" operator="greaterThan">
      <formula>$R$51</formula>
    </cfRule>
  </conditionalFormatting>
  <conditionalFormatting sqref="S31:S50">
    <cfRule type="cellIs" dxfId="226" priority="23" operator="greaterThan">
      <formula>$S$51</formula>
    </cfRule>
  </conditionalFormatting>
  <conditionalFormatting sqref="T31:T50">
    <cfRule type="cellIs" dxfId="225" priority="22" operator="greaterThan">
      <formula>$T$51</formula>
    </cfRule>
  </conditionalFormatting>
  <conditionalFormatting sqref="U31:U50">
    <cfRule type="cellIs" dxfId="224"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0" zoomScale="90" zoomScaleNormal="90" workbookViewId="0">
      <selection activeCell="D19" sqref="D1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7.27</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180</v>
      </c>
      <c r="G2" s="112" t="s">
        <v>110</v>
      </c>
      <c r="H2" s="113"/>
      <c r="I2" s="86">
        <v>550</v>
      </c>
      <c r="J2" s="114" t="s">
        <v>158</v>
      </c>
      <c r="K2" s="114"/>
      <c r="L2" s="86">
        <v>0.13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200</v>
      </c>
      <c r="J3" s="110" t="s">
        <v>154</v>
      </c>
      <c r="K3" s="111"/>
      <c r="L3" s="86">
        <f>(L1/(L2*10000))*100</f>
        <v>1.9230769230769231</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181</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64.963595999999995</v>
      </c>
      <c r="D18" s="13">
        <f>$D32</f>
        <v>64.963595999999995</v>
      </c>
      <c r="E18" s="13">
        <f>$D33</f>
        <v>64.963595999999995</v>
      </c>
      <c r="F18" s="13">
        <f>$D34</f>
        <v>64.963595999999995</v>
      </c>
      <c r="G18" s="13">
        <f>$D35</f>
        <v>64.963595999999995</v>
      </c>
      <c r="H18" s="13">
        <f>$D36</f>
        <v>64.963595999999995</v>
      </c>
      <c r="I18" s="13">
        <f>$D37</f>
        <v>64.963595999999995</v>
      </c>
      <c r="J18" s="13">
        <f>$D38</f>
        <v>64.963595999999995</v>
      </c>
      <c r="K18" s="13">
        <f>$D39</f>
        <v>64.963595999999995</v>
      </c>
      <c r="L18" s="13">
        <f>$D40</f>
        <v>64.963595999999995</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0.36359600000000114</v>
      </c>
      <c r="D19" s="13">
        <f t="shared" ref="D19:V19" si="1">D18-D17</f>
        <v>0.36359600000000114</v>
      </c>
      <c r="E19" s="13">
        <f t="shared" si="1"/>
        <v>0.36359600000000114</v>
      </c>
      <c r="F19" s="13">
        <f t="shared" si="1"/>
        <v>0.36359600000000114</v>
      </c>
      <c r="G19" s="13">
        <f t="shared" si="1"/>
        <v>0.36359600000000114</v>
      </c>
      <c r="H19" s="13">
        <f t="shared" si="1"/>
        <v>0.36359600000000114</v>
      </c>
      <c r="I19" s="13">
        <f t="shared" si="1"/>
        <v>0.36359600000000114</v>
      </c>
      <c r="J19" s="13">
        <f t="shared" si="1"/>
        <v>0.36359600000000114</v>
      </c>
      <c r="K19" s="13">
        <f t="shared" si="1"/>
        <v>0.36359600000000114</v>
      </c>
      <c r="L19" s="13">
        <f t="shared" si="1"/>
        <v>0.36359600000000114</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(VLOOKUP(D$14,$AI2:$AK24,3,FALSE))*D$15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12.86458</v>
      </c>
      <c r="D22" s="13">
        <f>$E32</f>
        <v>12.86458</v>
      </c>
      <c r="E22" s="13">
        <f>$E33</f>
        <v>12.86458</v>
      </c>
      <c r="F22" s="13">
        <f>$E34</f>
        <v>12.86458</v>
      </c>
      <c r="G22" s="13">
        <f>$E35</f>
        <v>12.86458</v>
      </c>
      <c r="H22" s="13">
        <f>$E36</f>
        <v>12.86458</v>
      </c>
      <c r="I22" s="13">
        <f>$E37</f>
        <v>12.86458</v>
      </c>
      <c r="J22" s="13">
        <f>$E38</f>
        <v>12.86458</v>
      </c>
      <c r="K22" s="13">
        <f>$E39</f>
        <v>12.86458</v>
      </c>
      <c r="L22" s="13">
        <f>$E40</f>
        <v>12.86458</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-215.13542000000001</v>
      </c>
      <c r="D23" s="13">
        <f t="shared" ref="D23:V23" si="3">D22-D21</f>
        <v>-215.13542000000001</v>
      </c>
      <c r="E23" s="13">
        <f t="shared" si="3"/>
        <v>-215.13542000000001</v>
      </c>
      <c r="F23" s="13">
        <f t="shared" si="3"/>
        <v>-215.13542000000001</v>
      </c>
      <c r="G23" s="13">
        <f t="shared" si="3"/>
        <v>-215.13542000000001</v>
      </c>
      <c r="H23" s="13">
        <f t="shared" si="3"/>
        <v>-215.13542000000001</v>
      </c>
      <c r="I23" s="13">
        <f t="shared" si="3"/>
        <v>-215.13542000000001</v>
      </c>
      <c r="J23" s="13">
        <f t="shared" si="3"/>
        <v>-215.13542000000001</v>
      </c>
      <c r="K23" s="13">
        <f t="shared" si="3"/>
        <v>-215.13542000000001</v>
      </c>
      <c r="L23" s="13">
        <f t="shared" si="3"/>
        <v>-215.13542000000001</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1.95</v>
      </c>
      <c r="C28" s="12">
        <v>0.13</v>
      </c>
      <c r="D28" s="12">
        <v>417</v>
      </c>
      <c r="E28" s="12">
        <v>157</v>
      </c>
      <c r="F28" s="12">
        <v>156</v>
      </c>
      <c r="G28" s="12">
        <v>0.61899999999999999</v>
      </c>
      <c r="H28" s="12">
        <v>2.68</v>
      </c>
      <c r="I28" s="12">
        <v>0.5</v>
      </c>
      <c r="J28" s="12">
        <v>0.01</v>
      </c>
      <c r="K28" s="16">
        <v>0.05</v>
      </c>
      <c r="L28" s="12">
        <v>0.2</v>
      </c>
      <c r="M28" s="12">
        <v>0.378</v>
      </c>
      <c r="N28" s="12"/>
      <c r="O28" s="12"/>
      <c r="P28" s="12">
        <v>248</v>
      </c>
      <c r="Q28" s="12">
        <v>176</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68</v>
      </c>
      <c r="C31" s="68">
        <f>IF(C$27="%w/w SAR",((C$28*10)*$B31),IF(C$27="%w/w DM",(((C$28*10)*($B$28/100))*$B31),IF(C$27="kg/t SAR",(C$28*$B31),IF(C$27="kg/t DM",((C$28*($B$28/100))*$B31),IF(C$27="mg/kg SAR",((C$28*0.001)*$B31),IF(C$27="mg/kg DM",(((C$28*0.001)*($B$28/100))*$B31),0))))))</f>
        <v>88.4</v>
      </c>
      <c r="D31" s="68">
        <f>(IF(D$27="%w/w SAR",((D$28*10)*$B31),IF(D$27="%w/w DM",(((D$28*10)*($B$28/100))*$B31),IF(D$27="kg/t SAR",(D$28*$B31),IF(D$27="kg/t DM",((D$28*($B$28/100))*$B31),IF(D$27="mg/kg SAR",((D$28*0.001)*$B31),IF(D$27="mg/kg DM",(((D$28*0.001)*($B$28/100))*$B31),"0")))))))*2.291</f>
        <v>64.963595999999995</v>
      </c>
      <c r="E31" s="68">
        <f>(IF(E$27="%w/w SAR",((E$28*10)*$B31),IF(E$27="%w/w DM",(((E$28*10)*($B$28/100))*$B31),IF(E$27="kg/t SAR",(E$28*$B31),IF(E$27="kg/t DM",((E$28*($B$28/100))*$B31),IF(E$27="mg/kg SAR",((E$28*0.001)*$B31),IF(E$27="mg/kg DM",(((E$28*0.001)*($B$28/100))*$B31),"0")))))))*1.205</f>
        <v>12.86458</v>
      </c>
      <c r="F31" s="68">
        <f>(IF(F$27="%w/w SAR",((F$28*10)*$B31),IF(F$27="%w/w DM",(((F$28*10)*($B$28/100))*$B31),IF(F$27="kg/t SAR",(F$28*$B31),IF(F$27="kg/t DM",((F$28*($B$28/100))*$B31),IF(F$27="mg/kg SAR",((F$28*0.001)*$B31),IF(F$27="mg/kg DM",(((F$28*0.001)*($B$28/100))*$B31),"0")))))))*1.658</f>
        <v>17.588063999999999</v>
      </c>
      <c r="G31" s="68">
        <f t="shared" ref="G31:P46" si="5">IF(G$27="%w/w SAR",((G$28*10)*$B31),IF(G$27="%w/w DM",(((G$28*10)*($B$28/100))*$B31),IF(G$27="kg/t SAR",(G$28*$B31),IF(G$27="kg/t DM",((G$28*($B$28/100))*$B31),IF(G$27="mg/kg SAR",((G$28*0.001)*$B31),IF(G$27="mg/kg DM",(((G$28*0.001)*($B$28/100))*$B31),0))))))</f>
        <v>4.2091999999999997E-2</v>
      </c>
      <c r="H31" s="68">
        <f t="shared" si="5"/>
        <v>0.18224000000000001</v>
      </c>
      <c r="I31" s="68">
        <f t="shared" si="5"/>
        <v>3.4000000000000002E-2</v>
      </c>
      <c r="J31" s="68">
        <f t="shared" si="5"/>
        <v>6.8000000000000005E-4</v>
      </c>
      <c r="K31" s="68">
        <f t="shared" si="5"/>
        <v>3.4000000000000002E-3</v>
      </c>
      <c r="L31" s="68">
        <f t="shared" si="5"/>
        <v>1.3600000000000001E-2</v>
      </c>
      <c r="M31" s="68">
        <f t="shared" si="5"/>
        <v>2.5704000000000001E-2</v>
      </c>
      <c r="N31" s="68">
        <f t="shared" si="5"/>
        <v>0</v>
      </c>
      <c r="O31" s="68">
        <f t="shared" si="5"/>
        <v>0</v>
      </c>
      <c r="P31" s="68">
        <f t="shared" si="5"/>
        <v>16.864000000000001</v>
      </c>
      <c r="Q31" s="68">
        <f>(IF(Q$27="%w/w SAR",((Q$28*10)*$B31),IF(Q$27="%w/w DM",(((Q$28*10)*($B$28/100))*$B31),IF(Q$27="kg/t SAR",(Q$28*$B31),IF(Q$27="kg/t DM",((Q$28*($B$28/100))*$B31),IF(Q$27="mg/kg SAR",((Q$28*0.001)*$B31),IF(Q$27="mg/kg DM",(((Q$28*0.001)*($B$28/100))*$B31),0)))))))*2.5</f>
        <v>29.92</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68</v>
      </c>
      <c r="C32" s="68">
        <f t="shared" ref="C32:C50" si="6">IF(C$27="%w/w SAR",((C$28*10)*$B32),IF(C$27="%w/w DM",(((C$28*10)*($B$28/100))*$B32),IF(C$27="kg/t SAR",(C$28*$B32),IF(C$27="kg/t DM",((C$28*($B$28/100))*$B32),IF(C$27="mg/kg SAR",((C$28*0.001)*$B32),IF(C$27="mg/kg DM",(((C$28*0.001)*($B$28/100))*$B32),0))))))</f>
        <v>88.4</v>
      </c>
      <c r="D32" s="68">
        <f t="shared" ref="D32:D50" si="7">(IF(D$27="%w/w SAR",((D$28*10)*$B32),IF(D$27="%w/w DM",(((D$28*10)*($B$28/100))*$B32),IF(D$27="kg/t SAR",(D$28*$B32),IF(D$27="kg/t DM",((D$28*($B$28/100))*$B32),IF(D$27="mg/kg SAR",((D$28*0.001)*$B32),IF(D$27="mg/kg DM",(((D$28*0.001)*($B$28/100))*$B32),"0")))))))*2.291</f>
        <v>64.963595999999995</v>
      </c>
      <c r="E32" s="68">
        <f t="shared" ref="E32:E50" si="8">(IF(E$27="%w/w SAR",((E$28*10)*$B32),IF(E$27="%w/w DM",(((E$28*10)*($B$28/100))*$B32),IF(E$27="kg/t SAR",(E$28*$B32),IF(E$27="kg/t DM",((E$28*($B$28/100))*$B32),IF(E$27="mg/kg SAR",((E$28*0.001)*$B32),IF(E$27="mg/kg DM",(((E$28*0.001)*($B$28/100))*$B32),"0")))))))*1.205</f>
        <v>12.86458</v>
      </c>
      <c r="F32" s="68">
        <f t="shared" ref="F32:F50" si="9">(IF(F$27="%w/w SAR",((F$28*10)*$B32),IF(F$27="%w/w DM",(((F$28*10)*($B$28/100))*$B32),IF(F$27="kg/t SAR",(F$28*$B32),IF(F$27="kg/t DM",((F$28*($B$28/100))*$B32),IF(F$27="mg/kg SAR",((F$28*0.001)*$B32),IF(F$27="mg/kg DM",(((F$28*0.001)*($B$28/100))*$B32),"0")))))))*1.658</f>
        <v>17.588063999999999</v>
      </c>
      <c r="G32" s="68">
        <f t="shared" si="5"/>
        <v>4.2091999999999997E-2</v>
      </c>
      <c r="H32" s="68">
        <f t="shared" si="5"/>
        <v>0.18224000000000001</v>
      </c>
      <c r="I32" s="68">
        <f t="shared" si="5"/>
        <v>3.4000000000000002E-2</v>
      </c>
      <c r="J32" s="68">
        <f t="shared" si="5"/>
        <v>6.8000000000000005E-4</v>
      </c>
      <c r="K32" s="68">
        <f t="shared" si="5"/>
        <v>3.4000000000000002E-3</v>
      </c>
      <c r="L32" s="68">
        <f t="shared" si="5"/>
        <v>1.3600000000000001E-2</v>
      </c>
      <c r="M32" s="68">
        <f t="shared" si="5"/>
        <v>2.5704000000000001E-2</v>
      </c>
      <c r="N32" s="68">
        <f t="shared" si="5"/>
        <v>0</v>
      </c>
      <c r="O32" s="68">
        <f t="shared" si="5"/>
        <v>0</v>
      </c>
      <c r="P32" s="68">
        <f t="shared" si="5"/>
        <v>16.864000000000001</v>
      </c>
      <c r="Q32" s="68">
        <f t="shared" ref="Q32:Q50" si="10">(IF(Q$27="%w/w SAR",((Q$28*10)*$B32),IF(Q$27="%w/w DM",(((Q$28*10)*($B$28/100))*$B32),IF(Q$27="kg/t SAR",(Q$28*$B32),IF(Q$27="kg/t DM",((Q$28*($B$28/100))*$B32),IF(Q$27="mg/kg SAR",((Q$28*0.001)*$B32),IF(Q$27="mg/kg DM",(((Q$28*0.001)*($B$28/100))*$B32),0)))))))*2.5</f>
        <v>29.92</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68</v>
      </c>
      <c r="C33" s="68">
        <f t="shared" si="6"/>
        <v>88.4</v>
      </c>
      <c r="D33" s="68">
        <f t="shared" si="7"/>
        <v>64.963595999999995</v>
      </c>
      <c r="E33" s="68">
        <f t="shared" si="8"/>
        <v>12.86458</v>
      </c>
      <c r="F33" s="68">
        <f t="shared" si="9"/>
        <v>17.588063999999999</v>
      </c>
      <c r="G33" s="68">
        <f t="shared" si="5"/>
        <v>4.2091999999999997E-2</v>
      </c>
      <c r="H33" s="68">
        <f t="shared" si="5"/>
        <v>0.18224000000000001</v>
      </c>
      <c r="I33" s="68">
        <f t="shared" si="5"/>
        <v>3.4000000000000002E-2</v>
      </c>
      <c r="J33" s="68">
        <f t="shared" si="5"/>
        <v>6.8000000000000005E-4</v>
      </c>
      <c r="K33" s="68">
        <f t="shared" si="5"/>
        <v>3.4000000000000002E-3</v>
      </c>
      <c r="L33" s="68">
        <f t="shared" si="5"/>
        <v>1.3600000000000001E-2</v>
      </c>
      <c r="M33" s="68">
        <f t="shared" si="5"/>
        <v>2.5704000000000001E-2</v>
      </c>
      <c r="N33" s="68">
        <f t="shared" si="5"/>
        <v>0</v>
      </c>
      <c r="O33" s="68">
        <f t="shared" si="5"/>
        <v>0</v>
      </c>
      <c r="P33" s="68">
        <f t="shared" si="5"/>
        <v>16.864000000000001</v>
      </c>
      <c r="Q33" s="68">
        <f t="shared" si="10"/>
        <v>29.92</v>
      </c>
      <c r="R33" s="68">
        <f t="shared" si="11"/>
        <v>0</v>
      </c>
      <c r="S33" s="68">
        <f t="shared" si="11"/>
        <v>0</v>
      </c>
      <c r="T33" s="68">
        <f t="shared" si="11"/>
        <v>0</v>
      </c>
      <c r="U33" s="68">
        <f t="shared" si="11"/>
        <v>0</v>
      </c>
    </row>
    <row r="34" spans="1:21" s="51" customFormat="1" ht="13" x14ac:dyDescent="0.35">
      <c r="A34" s="10" t="str">
        <f>F8</f>
        <v>BW4</v>
      </c>
      <c r="B34" s="12">
        <v>68</v>
      </c>
      <c r="C34" s="68">
        <f t="shared" si="6"/>
        <v>88.4</v>
      </c>
      <c r="D34" s="68">
        <f t="shared" si="7"/>
        <v>64.963595999999995</v>
      </c>
      <c r="E34" s="68">
        <f t="shared" si="8"/>
        <v>12.86458</v>
      </c>
      <c r="F34" s="68">
        <f t="shared" si="9"/>
        <v>17.588063999999999</v>
      </c>
      <c r="G34" s="68">
        <f t="shared" si="5"/>
        <v>4.2091999999999997E-2</v>
      </c>
      <c r="H34" s="68">
        <f t="shared" si="5"/>
        <v>0.18224000000000001</v>
      </c>
      <c r="I34" s="68">
        <f t="shared" si="5"/>
        <v>3.4000000000000002E-2</v>
      </c>
      <c r="J34" s="68">
        <f t="shared" si="5"/>
        <v>6.8000000000000005E-4</v>
      </c>
      <c r="K34" s="68">
        <f t="shared" si="5"/>
        <v>3.4000000000000002E-3</v>
      </c>
      <c r="L34" s="68">
        <f t="shared" si="5"/>
        <v>1.3600000000000001E-2</v>
      </c>
      <c r="M34" s="68">
        <f t="shared" si="5"/>
        <v>2.5704000000000001E-2</v>
      </c>
      <c r="N34" s="68">
        <f t="shared" si="5"/>
        <v>0</v>
      </c>
      <c r="O34" s="68">
        <f t="shared" si="5"/>
        <v>0</v>
      </c>
      <c r="P34" s="68">
        <f t="shared" si="5"/>
        <v>16.864000000000001</v>
      </c>
      <c r="Q34" s="68">
        <f t="shared" si="10"/>
        <v>29.92</v>
      </c>
      <c r="R34" s="68">
        <f t="shared" si="11"/>
        <v>0</v>
      </c>
      <c r="S34" s="68">
        <f t="shared" si="11"/>
        <v>0</v>
      </c>
      <c r="T34" s="68">
        <f t="shared" si="11"/>
        <v>0</v>
      </c>
      <c r="U34" s="68">
        <f t="shared" si="11"/>
        <v>0</v>
      </c>
    </row>
    <row r="35" spans="1:21" s="51" customFormat="1" ht="13" x14ac:dyDescent="0.35">
      <c r="A35" s="10" t="str">
        <f>G8</f>
        <v>BW6</v>
      </c>
      <c r="B35" s="12">
        <v>68</v>
      </c>
      <c r="C35" s="68">
        <f t="shared" si="6"/>
        <v>88.4</v>
      </c>
      <c r="D35" s="68">
        <f t="shared" si="7"/>
        <v>64.963595999999995</v>
      </c>
      <c r="E35" s="68">
        <f t="shared" si="8"/>
        <v>12.86458</v>
      </c>
      <c r="F35" s="68">
        <f t="shared" si="9"/>
        <v>17.588063999999999</v>
      </c>
      <c r="G35" s="68">
        <f t="shared" si="5"/>
        <v>4.2091999999999997E-2</v>
      </c>
      <c r="H35" s="68">
        <f t="shared" si="5"/>
        <v>0.18224000000000001</v>
      </c>
      <c r="I35" s="68">
        <f t="shared" si="5"/>
        <v>3.4000000000000002E-2</v>
      </c>
      <c r="J35" s="68">
        <f t="shared" si="5"/>
        <v>6.8000000000000005E-4</v>
      </c>
      <c r="K35" s="68">
        <f t="shared" si="5"/>
        <v>3.4000000000000002E-3</v>
      </c>
      <c r="L35" s="68">
        <f t="shared" si="5"/>
        <v>1.3600000000000001E-2</v>
      </c>
      <c r="M35" s="68">
        <f t="shared" si="5"/>
        <v>2.5704000000000001E-2</v>
      </c>
      <c r="N35" s="68">
        <f t="shared" si="5"/>
        <v>0</v>
      </c>
      <c r="O35" s="68">
        <f t="shared" si="5"/>
        <v>0</v>
      </c>
      <c r="P35" s="68">
        <f t="shared" si="5"/>
        <v>16.864000000000001</v>
      </c>
      <c r="Q35" s="68">
        <f t="shared" si="10"/>
        <v>29.92</v>
      </c>
      <c r="R35" s="68">
        <f t="shared" si="11"/>
        <v>0</v>
      </c>
      <c r="S35" s="68">
        <f t="shared" si="11"/>
        <v>0</v>
      </c>
      <c r="T35" s="68">
        <f t="shared" si="11"/>
        <v>0</v>
      </c>
      <c r="U35" s="68">
        <f t="shared" si="11"/>
        <v>0</v>
      </c>
    </row>
    <row r="36" spans="1:21" s="51" customFormat="1" ht="13" x14ac:dyDescent="0.35">
      <c r="A36" s="10" t="str">
        <f>H8</f>
        <v>BW7</v>
      </c>
      <c r="B36" s="12">
        <v>68</v>
      </c>
      <c r="C36" s="68">
        <f t="shared" si="6"/>
        <v>88.4</v>
      </c>
      <c r="D36" s="68">
        <f t="shared" si="7"/>
        <v>64.963595999999995</v>
      </c>
      <c r="E36" s="68">
        <f t="shared" si="8"/>
        <v>12.86458</v>
      </c>
      <c r="F36" s="68">
        <f t="shared" si="9"/>
        <v>17.588063999999999</v>
      </c>
      <c r="G36" s="68">
        <f t="shared" si="5"/>
        <v>4.2091999999999997E-2</v>
      </c>
      <c r="H36" s="68">
        <f t="shared" si="5"/>
        <v>0.18224000000000001</v>
      </c>
      <c r="I36" s="68">
        <f t="shared" si="5"/>
        <v>3.4000000000000002E-2</v>
      </c>
      <c r="J36" s="68">
        <f t="shared" si="5"/>
        <v>6.8000000000000005E-4</v>
      </c>
      <c r="K36" s="68">
        <f t="shared" si="5"/>
        <v>3.4000000000000002E-3</v>
      </c>
      <c r="L36" s="68">
        <f t="shared" si="5"/>
        <v>1.3600000000000001E-2</v>
      </c>
      <c r="M36" s="68">
        <f t="shared" si="5"/>
        <v>2.5704000000000001E-2</v>
      </c>
      <c r="N36" s="68">
        <f t="shared" si="5"/>
        <v>0</v>
      </c>
      <c r="O36" s="68">
        <f t="shared" si="5"/>
        <v>0</v>
      </c>
      <c r="P36" s="68">
        <f t="shared" si="5"/>
        <v>16.864000000000001</v>
      </c>
      <c r="Q36" s="68">
        <f t="shared" si="10"/>
        <v>29.92</v>
      </c>
      <c r="R36" s="68">
        <f t="shared" si="11"/>
        <v>0</v>
      </c>
      <c r="S36" s="68">
        <f t="shared" si="11"/>
        <v>0</v>
      </c>
      <c r="T36" s="68">
        <f t="shared" si="11"/>
        <v>0</v>
      </c>
      <c r="U36" s="68">
        <f t="shared" si="11"/>
        <v>0</v>
      </c>
    </row>
    <row r="37" spans="1:21" s="51" customFormat="1" ht="13" x14ac:dyDescent="0.35">
      <c r="A37" s="10" t="str">
        <f>I8</f>
        <v>DJ1</v>
      </c>
      <c r="B37" s="12">
        <v>68</v>
      </c>
      <c r="C37" s="68">
        <f t="shared" si="6"/>
        <v>88.4</v>
      </c>
      <c r="D37" s="68">
        <f t="shared" si="7"/>
        <v>64.963595999999995</v>
      </c>
      <c r="E37" s="68">
        <f t="shared" si="8"/>
        <v>12.86458</v>
      </c>
      <c r="F37" s="68">
        <f t="shared" si="9"/>
        <v>17.588063999999999</v>
      </c>
      <c r="G37" s="68">
        <f t="shared" si="5"/>
        <v>4.2091999999999997E-2</v>
      </c>
      <c r="H37" s="68">
        <f t="shared" si="5"/>
        <v>0.18224000000000001</v>
      </c>
      <c r="I37" s="68">
        <f t="shared" si="5"/>
        <v>3.4000000000000002E-2</v>
      </c>
      <c r="J37" s="68">
        <f t="shared" si="5"/>
        <v>6.8000000000000005E-4</v>
      </c>
      <c r="K37" s="68">
        <f t="shared" si="5"/>
        <v>3.4000000000000002E-3</v>
      </c>
      <c r="L37" s="68">
        <f t="shared" si="5"/>
        <v>1.3600000000000001E-2</v>
      </c>
      <c r="M37" s="68">
        <f t="shared" si="5"/>
        <v>2.5704000000000001E-2</v>
      </c>
      <c r="N37" s="68">
        <f t="shared" si="5"/>
        <v>0</v>
      </c>
      <c r="O37" s="68">
        <f t="shared" si="5"/>
        <v>0</v>
      </c>
      <c r="P37" s="68">
        <f t="shared" si="5"/>
        <v>16.864000000000001</v>
      </c>
      <c r="Q37" s="68">
        <f t="shared" si="10"/>
        <v>29.92</v>
      </c>
      <c r="R37" s="68">
        <f t="shared" si="11"/>
        <v>0</v>
      </c>
      <c r="S37" s="68">
        <f t="shared" si="11"/>
        <v>0</v>
      </c>
      <c r="T37" s="68">
        <f t="shared" si="11"/>
        <v>0</v>
      </c>
      <c r="U37" s="68">
        <f t="shared" si="11"/>
        <v>0</v>
      </c>
    </row>
    <row r="38" spans="1:21" s="51" customFormat="1" ht="13" x14ac:dyDescent="0.35">
      <c r="A38" s="10" t="str">
        <f>J8</f>
        <v>DJ2</v>
      </c>
      <c r="B38" s="12">
        <v>68</v>
      </c>
      <c r="C38" s="68">
        <f t="shared" si="6"/>
        <v>88.4</v>
      </c>
      <c r="D38" s="68">
        <f t="shared" si="7"/>
        <v>64.963595999999995</v>
      </c>
      <c r="E38" s="68">
        <f t="shared" si="8"/>
        <v>12.86458</v>
      </c>
      <c r="F38" s="68">
        <f t="shared" si="9"/>
        <v>17.588063999999999</v>
      </c>
      <c r="G38" s="68">
        <f t="shared" si="5"/>
        <v>4.2091999999999997E-2</v>
      </c>
      <c r="H38" s="68">
        <f t="shared" si="5"/>
        <v>0.18224000000000001</v>
      </c>
      <c r="I38" s="68">
        <f t="shared" si="5"/>
        <v>3.4000000000000002E-2</v>
      </c>
      <c r="J38" s="68">
        <f t="shared" si="5"/>
        <v>6.8000000000000005E-4</v>
      </c>
      <c r="K38" s="68">
        <f t="shared" si="5"/>
        <v>3.4000000000000002E-3</v>
      </c>
      <c r="L38" s="68">
        <f t="shared" si="5"/>
        <v>1.3600000000000001E-2</v>
      </c>
      <c r="M38" s="68">
        <f t="shared" si="5"/>
        <v>2.5704000000000001E-2</v>
      </c>
      <c r="N38" s="68">
        <f t="shared" si="5"/>
        <v>0</v>
      </c>
      <c r="O38" s="68">
        <f t="shared" si="5"/>
        <v>0</v>
      </c>
      <c r="P38" s="68">
        <f t="shared" si="5"/>
        <v>16.864000000000001</v>
      </c>
      <c r="Q38" s="68">
        <f t="shared" si="10"/>
        <v>29.92</v>
      </c>
      <c r="R38" s="68">
        <f t="shared" si="11"/>
        <v>0</v>
      </c>
      <c r="S38" s="68">
        <f t="shared" si="11"/>
        <v>0</v>
      </c>
      <c r="T38" s="68">
        <f t="shared" si="11"/>
        <v>0</v>
      </c>
      <c r="U38" s="68">
        <f t="shared" si="11"/>
        <v>0</v>
      </c>
    </row>
    <row r="39" spans="1:21" s="51" customFormat="1" ht="13" x14ac:dyDescent="0.35">
      <c r="A39" s="10" t="str">
        <f>K8</f>
        <v>DJ3</v>
      </c>
      <c r="B39" s="12">
        <v>68</v>
      </c>
      <c r="C39" s="68">
        <f t="shared" si="6"/>
        <v>88.4</v>
      </c>
      <c r="D39" s="68">
        <f t="shared" si="7"/>
        <v>64.963595999999995</v>
      </c>
      <c r="E39" s="68">
        <f t="shared" si="8"/>
        <v>12.86458</v>
      </c>
      <c r="F39" s="68">
        <f t="shared" si="9"/>
        <v>17.588063999999999</v>
      </c>
      <c r="G39" s="68">
        <f t="shared" si="5"/>
        <v>4.2091999999999997E-2</v>
      </c>
      <c r="H39" s="68">
        <f t="shared" si="5"/>
        <v>0.18224000000000001</v>
      </c>
      <c r="I39" s="68">
        <f t="shared" si="5"/>
        <v>3.4000000000000002E-2</v>
      </c>
      <c r="J39" s="68">
        <f t="shared" si="5"/>
        <v>6.8000000000000005E-4</v>
      </c>
      <c r="K39" s="68">
        <f t="shared" si="5"/>
        <v>3.4000000000000002E-3</v>
      </c>
      <c r="L39" s="68">
        <f t="shared" si="5"/>
        <v>1.3600000000000001E-2</v>
      </c>
      <c r="M39" s="68">
        <f t="shared" si="5"/>
        <v>2.5704000000000001E-2</v>
      </c>
      <c r="N39" s="68">
        <f t="shared" si="5"/>
        <v>0</v>
      </c>
      <c r="O39" s="68">
        <f t="shared" si="5"/>
        <v>0</v>
      </c>
      <c r="P39" s="68">
        <f t="shared" si="5"/>
        <v>16.864000000000001</v>
      </c>
      <c r="Q39" s="68">
        <f t="shared" si="10"/>
        <v>29.92</v>
      </c>
      <c r="R39" s="68">
        <f t="shared" si="11"/>
        <v>0</v>
      </c>
      <c r="S39" s="68">
        <f t="shared" si="11"/>
        <v>0</v>
      </c>
      <c r="T39" s="68">
        <f t="shared" si="11"/>
        <v>0</v>
      </c>
      <c r="U39" s="68">
        <f t="shared" si="11"/>
        <v>0</v>
      </c>
    </row>
    <row r="40" spans="1:21" s="51" customFormat="1" ht="13" x14ac:dyDescent="0.35">
      <c r="A40" s="10" t="str">
        <f>L8</f>
        <v>DJ4</v>
      </c>
      <c r="B40" s="12">
        <v>68</v>
      </c>
      <c r="C40" s="68">
        <f t="shared" si="6"/>
        <v>88.4</v>
      </c>
      <c r="D40" s="68">
        <f t="shared" si="7"/>
        <v>64.963595999999995</v>
      </c>
      <c r="E40" s="68">
        <f t="shared" si="8"/>
        <v>12.86458</v>
      </c>
      <c r="F40" s="68">
        <f t="shared" si="9"/>
        <v>17.588063999999999</v>
      </c>
      <c r="G40" s="68">
        <f t="shared" si="5"/>
        <v>4.2091999999999997E-2</v>
      </c>
      <c r="H40" s="68">
        <f t="shared" si="5"/>
        <v>0.18224000000000001</v>
      </c>
      <c r="I40" s="68">
        <f t="shared" si="5"/>
        <v>3.4000000000000002E-2</v>
      </c>
      <c r="J40" s="68">
        <f t="shared" si="5"/>
        <v>6.8000000000000005E-4</v>
      </c>
      <c r="K40" s="68">
        <f t="shared" si="5"/>
        <v>3.4000000000000002E-3</v>
      </c>
      <c r="L40" s="68">
        <f t="shared" si="5"/>
        <v>1.3600000000000001E-2</v>
      </c>
      <c r="M40" s="68">
        <f t="shared" si="5"/>
        <v>2.5704000000000001E-2</v>
      </c>
      <c r="N40" s="68">
        <f t="shared" si="5"/>
        <v>0</v>
      </c>
      <c r="O40" s="68">
        <f t="shared" si="5"/>
        <v>0</v>
      </c>
      <c r="P40" s="68">
        <f t="shared" si="5"/>
        <v>16.864000000000001</v>
      </c>
      <c r="Q40" s="68">
        <f t="shared" si="10"/>
        <v>29.92</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Sandy Loam I Grass</v>
      </c>
      <c r="C58" s="10" t="str">
        <f>D16&amp;" I "&amp;(VLOOKUP(D14,Table245811[],6,FALSE))</f>
        <v>Sandy Loam I Grass</v>
      </c>
      <c r="D58" s="10" t="str">
        <f>E16&amp;" I "&amp;(VLOOKUP(E14,Table245811[],6,FALSE))</f>
        <v>Sandy Loam I Grass</v>
      </c>
      <c r="E58" s="10" t="str">
        <f>F16&amp;" I "&amp;(VLOOKUP(F14,Table245811[],6,FALSE))</f>
        <v>Sandy Loam I Grass</v>
      </c>
      <c r="F58" s="10" t="str">
        <f>G16&amp;" I "&amp;(VLOOKUP(G14,Table245811[],6,FALSE))</f>
        <v>Sandy Loam I Grass</v>
      </c>
      <c r="G58" s="10" t="str">
        <f>H16&amp;" I "&amp;(VLOOKUP(H14,Table245811[],6,FALSE))</f>
        <v>Sandy Loam I Grass</v>
      </c>
      <c r="H58" s="10" t="str">
        <f>I16&amp;" I "&amp;(VLOOKUP(I14,Table245811[],6,FALSE))</f>
        <v>Sandy Loam I Grass</v>
      </c>
      <c r="I58" s="10" t="str">
        <f>J16&amp;" I "&amp;(VLOOKUP(J14,Table245811[],6,FALSE))</f>
        <v>Sandy Loam I Grass</v>
      </c>
      <c r="J58" s="10" t="str">
        <f>K16&amp;" I "&amp;(VLOOKUP(K14,Table245811[],6,FALSE))</f>
        <v>Sandy Loam I Grass</v>
      </c>
      <c r="K58" s="10" t="str">
        <f>L16&amp;" I "&amp;(VLOOKUP(L14,Table245811[],6,FALSE))</f>
        <v>Sandy Loam I Grass</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68</v>
      </c>
      <c r="C62" s="68">
        <f>B32</f>
        <v>68</v>
      </c>
      <c r="D62" s="68">
        <f>B33</f>
        <v>68</v>
      </c>
      <c r="E62" s="68">
        <f>B34</f>
        <v>68</v>
      </c>
      <c r="F62" s="68">
        <f>B35</f>
        <v>68</v>
      </c>
      <c r="G62" s="68">
        <f>B36</f>
        <v>68</v>
      </c>
      <c r="H62" s="68">
        <f>B37</f>
        <v>68</v>
      </c>
      <c r="I62" s="68">
        <f>B38</f>
        <v>68</v>
      </c>
      <c r="J62" s="68">
        <f>B39</f>
        <v>68</v>
      </c>
      <c r="K62" s="68">
        <f>B40</f>
        <v>68</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H10" zoomScale="90" zoomScaleNormal="90" workbookViewId="0">
      <selection activeCell="I28" sqref="I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6.6</v>
      </c>
      <c r="J1" s="114" t="s">
        <v>153</v>
      </c>
      <c r="K1" s="114"/>
      <c r="L1" s="86">
        <v>569</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165</v>
      </c>
      <c r="G2" s="112" t="s">
        <v>110</v>
      </c>
      <c r="H2" s="113"/>
      <c r="I2" s="86">
        <v>1316</v>
      </c>
      <c r="J2" s="114" t="s">
        <v>158</v>
      </c>
      <c r="K2" s="114"/>
      <c r="L2" s="86">
        <v>0.08</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3800</v>
      </c>
      <c r="J3" s="110" t="s">
        <v>154</v>
      </c>
      <c r="K3" s="111"/>
      <c r="L3" s="86">
        <f>(L1/(L2*10000))*100</f>
        <v>71.125</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182</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64.308369999999996</v>
      </c>
      <c r="D18" s="13">
        <f>$D32</f>
        <v>64.308369999999996</v>
      </c>
      <c r="E18" s="13">
        <f>$D33</f>
        <v>64.308369999999996</v>
      </c>
      <c r="F18" s="13">
        <f>$D34</f>
        <v>64.308369999999996</v>
      </c>
      <c r="G18" s="13">
        <f>$D35</f>
        <v>64.308369999999996</v>
      </c>
      <c r="H18" s="13">
        <f>$D36</f>
        <v>64.308369999999996</v>
      </c>
      <c r="I18" s="13">
        <f>$D37</f>
        <v>64.308369999999996</v>
      </c>
      <c r="J18" s="13">
        <f>$D38</f>
        <v>64.308369999999996</v>
      </c>
      <c r="K18" s="13">
        <f>$D39</f>
        <v>64.308369999999996</v>
      </c>
      <c r="L18" s="13">
        <f>$D40</f>
        <v>64.308369999999996</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-0.29162999999999784</v>
      </c>
      <c r="D19" s="13">
        <f t="shared" ref="D19:V19" si="1">D18-D17</f>
        <v>-0.29162999999999784</v>
      </c>
      <c r="E19" s="13">
        <f t="shared" si="1"/>
        <v>-0.29162999999999784</v>
      </c>
      <c r="F19" s="13">
        <f t="shared" si="1"/>
        <v>-0.29162999999999784</v>
      </c>
      <c r="G19" s="13">
        <f t="shared" si="1"/>
        <v>-0.29162999999999784</v>
      </c>
      <c r="H19" s="13">
        <f t="shared" si="1"/>
        <v>-0.29162999999999784</v>
      </c>
      <c r="I19" s="13">
        <f t="shared" si="1"/>
        <v>-0.29162999999999784</v>
      </c>
      <c r="J19" s="13">
        <f t="shared" si="1"/>
        <v>-0.29162999999999784</v>
      </c>
      <c r="K19" s="13">
        <f t="shared" si="1"/>
        <v>-0.29162999999999784</v>
      </c>
      <c r="L19" s="13">
        <f t="shared" si="1"/>
        <v>-0.29162999999999784</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14.086450000000003</v>
      </c>
      <c r="D22" s="13">
        <f>$E32</f>
        <v>14.086450000000003</v>
      </c>
      <c r="E22" s="13">
        <f>$E33</f>
        <v>14.086450000000003</v>
      </c>
      <c r="F22" s="13">
        <f>$E34</f>
        <v>14.086450000000003</v>
      </c>
      <c r="G22" s="13">
        <f>$E35</f>
        <v>14.086450000000003</v>
      </c>
      <c r="H22" s="13">
        <f>$E36</f>
        <v>14.086450000000003</v>
      </c>
      <c r="I22" s="13">
        <f>$E37</f>
        <v>14.086450000000003</v>
      </c>
      <c r="J22" s="13">
        <f>$E38</f>
        <v>14.086450000000003</v>
      </c>
      <c r="K22" s="13">
        <f>$E39</f>
        <v>14.086450000000003</v>
      </c>
      <c r="L22" s="13">
        <f>$E40</f>
        <v>14.086450000000003</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-213.91354999999999</v>
      </c>
      <c r="D23" s="13">
        <f t="shared" ref="D23:V23" si="3">D22-D21</f>
        <v>-213.91354999999999</v>
      </c>
      <c r="E23" s="13">
        <f t="shared" si="3"/>
        <v>-213.91354999999999</v>
      </c>
      <c r="F23" s="13">
        <f t="shared" si="3"/>
        <v>-213.91354999999999</v>
      </c>
      <c r="G23" s="13">
        <f t="shared" si="3"/>
        <v>-213.91354999999999</v>
      </c>
      <c r="H23" s="13">
        <f t="shared" si="3"/>
        <v>-213.91354999999999</v>
      </c>
      <c r="I23" s="13">
        <f t="shared" si="3"/>
        <v>-213.91354999999999</v>
      </c>
      <c r="J23" s="13">
        <f t="shared" si="3"/>
        <v>-213.91354999999999</v>
      </c>
      <c r="K23" s="13">
        <f t="shared" si="3"/>
        <v>-213.91354999999999</v>
      </c>
      <c r="L23" s="13">
        <f t="shared" si="3"/>
        <v>-213.91354999999999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3.59</v>
      </c>
      <c r="C28" s="12">
        <v>0.08</v>
      </c>
      <c r="D28" s="12">
        <v>401</v>
      </c>
      <c r="E28" s="12">
        <v>167</v>
      </c>
      <c r="F28" s="12">
        <v>108</v>
      </c>
      <c r="G28" s="12">
        <v>2.2599999999999998</v>
      </c>
      <c r="H28" s="12">
        <v>9.98</v>
      </c>
      <c r="I28" s="12">
        <v>0.5</v>
      </c>
      <c r="J28" s="12">
        <v>0.01</v>
      </c>
      <c r="K28" s="16">
        <v>0.05</v>
      </c>
      <c r="L28" s="12">
        <v>1.05</v>
      </c>
      <c r="M28" s="12">
        <v>0.90400000000000003</v>
      </c>
      <c r="N28" s="12"/>
      <c r="O28" s="12"/>
      <c r="P28" s="12">
        <v>629</v>
      </c>
      <c r="Q28" s="12">
        <v>368</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70</v>
      </c>
      <c r="C31" s="68">
        <f>IF(C$27="%w/w SAR",((C$28*10)*$B31),IF(C$27="%w/w DM",(((C$28*10)*($B$28/100))*$B31),IF(C$27="kg/t SAR",(C$28*$B31),IF(C$27="kg/t DM",((C$28*($B$28/100))*$B31),IF(C$27="mg/kg SAR",((C$28*0.001)*$B31),IF(C$27="mg/kg DM",(((C$28*0.001)*($B$28/100))*$B31),0))))))</f>
        <v>56</v>
      </c>
      <c r="D31" s="68">
        <f>(IF(D$27="%w/w SAR",((D$28*10)*$B31),IF(D$27="%w/w DM",(((D$28*10)*($B$28/100))*$B31),IF(D$27="kg/t SAR",(D$28*$B31),IF(D$27="kg/t DM",((D$28*($B$28/100))*$B31),IF(D$27="mg/kg SAR",((D$28*0.001)*$B31),IF(D$27="mg/kg DM",(((D$28*0.001)*($B$28/100))*$B31),"0")))))))*2.291</f>
        <v>64.308369999999996</v>
      </c>
      <c r="E31" s="68">
        <f>(IF(E$27="%w/w SAR",((E$28*10)*$B31),IF(E$27="%w/w DM",(((E$28*10)*($B$28/100))*$B31),IF(E$27="kg/t SAR",(E$28*$B31),IF(E$27="kg/t DM",((E$28*($B$28/100))*$B31),IF(E$27="mg/kg SAR",((E$28*0.001)*$B31),IF(E$27="mg/kg DM",(((E$28*0.001)*($B$28/100))*$B31),"0")))))))*1.205</f>
        <v>14.086450000000003</v>
      </c>
      <c r="F31" s="68">
        <f>(IF(F$27="%w/w SAR",((F$28*10)*$B31),IF(F$27="%w/w DM",(((F$28*10)*($B$28/100))*$B31),IF(F$27="kg/t SAR",(F$28*$B31),IF(F$27="kg/t DM",((F$28*($B$28/100))*$B31),IF(F$27="mg/kg SAR",((F$28*0.001)*$B31),IF(F$27="mg/kg DM",(((F$28*0.001)*($B$28/100))*$B31),"0")))))))*1.658</f>
        <v>12.534479999999999</v>
      </c>
      <c r="G31" s="68">
        <f t="shared" ref="G31:P46" si="5">IF(G$27="%w/w SAR",((G$28*10)*$B31),IF(G$27="%w/w DM",(((G$28*10)*($B$28/100))*$B31),IF(G$27="kg/t SAR",(G$28*$B31),IF(G$27="kg/t DM",((G$28*($B$28/100))*$B31),IF(G$27="mg/kg SAR",((G$28*0.001)*$B31),IF(G$27="mg/kg DM",(((G$28*0.001)*($B$28/100))*$B31),0))))))</f>
        <v>0.15819999999999998</v>
      </c>
      <c r="H31" s="68">
        <f t="shared" si="5"/>
        <v>0.69860000000000011</v>
      </c>
      <c r="I31" s="68">
        <f t="shared" si="5"/>
        <v>3.5000000000000003E-2</v>
      </c>
      <c r="J31" s="68">
        <f t="shared" si="5"/>
        <v>7.000000000000001E-4</v>
      </c>
      <c r="K31" s="68">
        <f t="shared" si="5"/>
        <v>3.5000000000000001E-3</v>
      </c>
      <c r="L31" s="68">
        <f t="shared" si="5"/>
        <v>7.350000000000001E-2</v>
      </c>
      <c r="M31" s="68">
        <f t="shared" si="5"/>
        <v>6.3280000000000003E-2</v>
      </c>
      <c r="N31" s="68">
        <f t="shared" si="5"/>
        <v>0</v>
      </c>
      <c r="O31" s="68">
        <f t="shared" si="5"/>
        <v>0</v>
      </c>
      <c r="P31" s="68">
        <f t="shared" si="5"/>
        <v>44.03</v>
      </c>
      <c r="Q31" s="68">
        <f>(IF(Q$27="%w/w SAR",((Q$28*10)*$B31),IF(Q$27="%w/w DM",(((Q$28*10)*($B$28/100))*$B31),IF(Q$27="kg/t SAR",(Q$28*$B31),IF(Q$27="kg/t DM",((Q$28*($B$28/100))*$B31),IF(Q$27="mg/kg SAR",((Q$28*0.001)*$B31),IF(Q$27="mg/kg DM",(((Q$28*0.001)*($B$28/100))*$B31),0)))))))*2.5</f>
        <v>64.399999999999991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70</v>
      </c>
      <c r="C32" s="68">
        <f t="shared" ref="C32:C50" si="6">IF(C$27="%w/w SAR",((C$28*10)*$B32),IF(C$27="%w/w DM",(((C$28*10)*($B$28/100))*$B32),IF(C$27="kg/t SAR",(C$28*$B32),IF(C$27="kg/t DM",((C$28*($B$28/100))*$B32),IF(C$27="mg/kg SAR",((C$28*0.001)*$B32),IF(C$27="mg/kg DM",(((C$28*0.001)*($B$28/100))*$B32),0))))))</f>
        <v>56</v>
      </c>
      <c r="D32" s="68">
        <f t="shared" ref="D32:D50" si="7">(IF(D$27="%w/w SAR",((D$28*10)*$B32),IF(D$27="%w/w DM",(((D$28*10)*($B$28/100))*$B32),IF(D$27="kg/t SAR",(D$28*$B32),IF(D$27="kg/t DM",((D$28*($B$28/100))*$B32),IF(D$27="mg/kg SAR",((D$28*0.001)*$B32),IF(D$27="mg/kg DM",(((D$28*0.001)*($B$28/100))*$B32),"0")))))))*2.291</f>
        <v>64.308369999999996</v>
      </c>
      <c r="E32" s="68">
        <f t="shared" ref="E32:E50" si="8">(IF(E$27="%w/w SAR",((E$28*10)*$B32),IF(E$27="%w/w DM",(((E$28*10)*($B$28/100))*$B32),IF(E$27="kg/t SAR",(E$28*$B32),IF(E$27="kg/t DM",((E$28*($B$28/100))*$B32),IF(E$27="mg/kg SAR",((E$28*0.001)*$B32),IF(E$27="mg/kg DM",(((E$28*0.001)*($B$28/100))*$B32),"0")))))))*1.205</f>
        <v>14.086450000000003</v>
      </c>
      <c r="F32" s="68">
        <f t="shared" ref="F32:F50" si="9">(IF(F$27="%w/w SAR",((F$28*10)*$B32),IF(F$27="%w/w DM",(((F$28*10)*($B$28/100))*$B32),IF(F$27="kg/t SAR",(F$28*$B32),IF(F$27="kg/t DM",((F$28*($B$28/100))*$B32),IF(F$27="mg/kg SAR",((F$28*0.001)*$B32),IF(F$27="mg/kg DM",(((F$28*0.001)*($B$28/100))*$B32),"0")))))))*1.658</f>
        <v>12.534479999999999</v>
      </c>
      <c r="G32" s="68">
        <f t="shared" si="5"/>
        <v>0.15819999999999998</v>
      </c>
      <c r="H32" s="68">
        <f t="shared" si="5"/>
        <v>0.69860000000000011</v>
      </c>
      <c r="I32" s="68">
        <f t="shared" si="5"/>
        <v>3.5000000000000003E-2</v>
      </c>
      <c r="J32" s="68">
        <f t="shared" si="5"/>
        <v>7.000000000000001E-4</v>
      </c>
      <c r="K32" s="68">
        <f t="shared" si="5"/>
        <v>3.5000000000000001E-3</v>
      </c>
      <c r="L32" s="68">
        <f t="shared" si="5"/>
        <v>7.350000000000001E-2</v>
      </c>
      <c r="M32" s="68">
        <f t="shared" si="5"/>
        <v>6.3280000000000003E-2</v>
      </c>
      <c r="N32" s="68">
        <f t="shared" si="5"/>
        <v>0</v>
      </c>
      <c r="O32" s="68">
        <f t="shared" si="5"/>
        <v>0</v>
      </c>
      <c r="P32" s="68">
        <f t="shared" si="5"/>
        <v>44.03</v>
      </c>
      <c r="Q32" s="68">
        <f t="shared" ref="Q32:Q50" si="10">(IF(Q$27="%w/w SAR",((Q$28*10)*$B32),IF(Q$27="%w/w DM",(((Q$28*10)*($B$28/100))*$B32),IF(Q$27="kg/t SAR",(Q$28*$B32),IF(Q$27="kg/t DM",((Q$28*($B$28/100))*$B32),IF(Q$27="mg/kg SAR",((Q$28*0.001)*$B32),IF(Q$27="mg/kg DM",(((Q$28*0.001)*($B$28/100))*$B32),0)))))))*2.5</f>
        <v>64.399999999999991</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70</v>
      </c>
      <c r="C33" s="68">
        <f t="shared" si="6"/>
        <v>56</v>
      </c>
      <c r="D33" s="68">
        <f t="shared" si="7"/>
        <v>64.308369999999996</v>
      </c>
      <c r="E33" s="68">
        <f t="shared" si="8"/>
        <v>14.086450000000003</v>
      </c>
      <c r="F33" s="68">
        <f t="shared" si="9"/>
        <v>12.534479999999999</v>
      </c>
      <c r="G33" s="68">
        <f t="shared" si="5"/>
        <v>0.15819999999999998</v>
      </c>
      <c r="H33" s="68">
        <f t="shared" si="5"/>
        <v>0.69860000000000011</v>
      </c>
      <c r="I33" s="68">
        <f t="shared" si="5"/>
        <v>3.5000000000000003E-2</v>
      </c>
      <c r="J33" s="68">
        <f t="shared" si="5"/>
        <v>7.000000000000001E-4</v>
      </c>
      <c r="K33" s="68">
        <f t="shared" si="5"/>
        <v>3.5000000000000001E-3</v>
      </c>
      <c r="L33" s="68">
        <f t="shared" si="5"/>
        <v>7.350000000000001E-2</v>
      </c>
      <c r="M33" s="68">
        <f t="shared" si="5"/>
        <v>6.3280000000000003E-2</v>
      </c>
      <c r="N33" s="68">
        <f t="shared" si="5"/>
        <v>0</v>
      </c>
      <c r="O33" s="68">
        <f t="shared" si="5"/>
        <v>0</v>
      </c>
      <c r="P33" s="68">
        <f t="shared" si="5"/>
        <v>44.03</v>
      </c>
      <c r="Q33" s="68">
        <f t="shared" si="10"/>
        <v>64.399999999999991</v>
      </c>
      <c r="R33" s="68">
        <f t="shared" si="11"/>
        <v>0</v>
      </c>
      <c r="S33" s="68">
        <f t="shared" si="11"/>
        <v>0</v>
      </c>
      <c r="T33" s="68">
        <f t="shared" si="11"/>
        <v>0</v>
      </c>
      <c r="U33" s="68">
        <f t="shared" si="11"/>
        <v>0</v>
      </c>
    </row>
    <row r="34" spans="1:21" s="51" customFormat="1" ht="13" x14ac:dyDescent="0.35">
      <c r="A34" s="10" t="str">
        <f>F8</f>
        <v>BW4</v>
      </c>
      <c r="B34" s="12">
        <v>70</v>
      </c>
      <c r="C34" s="68">
        <f t="shared" si="6"/>
        <v>56</v>
      </c>
      <c r="D34" s="68">
        <f t="shared" si="7"/>
        <v>64.308369999999996</v>
      </c>
      <c r="E34" s="68">
        <f t="shared" si="8"/>
        <v>14.086450000000003</v>
      </c>
      <c r="F34" s="68">
        <f t="shared" si="9"/>
        <v>12.534479999999999</v>
      </c>
      <c r="G34" s="68">
        <f t="shared" si="5"/>
        <v>0.15819999999999998</v>
      </c>
      <c r="H34" s="68">
        <f t="shared" si="5"/>
        <v>0.69860000000000011</v>
      </c>
      <c r="I34" s="68">
        <f t="shared" si="5"/>
        <v>3.5000000000000003E-2</v>
      </c>
      <c r="J34" s="68">
        <f t="shared" si="5"/>
        <v>7.000000000000001E-4</v>
      </c>
      <c r="K34" s="68">
        <f t="shared" si="5"/>
        <v>3.5000000000000001E-3</v>
      </c>
      <c r="L34" s="68">
        <f t="shared" si="5"/>
        <v>7.350000000000001E-2</v>
      </c>
      <c r="M34" s="68">
        <f t="shared" si="5"/>
        <v>6.3280000000000003E-2</v>
      </c>
      <c r="N34" s="68">
        <f t="shared" si="5"/>
        <v>0</v>
      </c>
      <c r="O34" s="68">
        <f t="shared" si="5"/>
        <v>0</v>
      </c>
      <c r="P34" s="68">
        <f t="shared" si="5"/>
        <v>44.03</v>
      </c>
      <c r="Q34" s="68">
        <f t="shared" si="10"/>
        <v>64.399999999999991</v>
      </c>
      <c r="R34" s="68">
        <f t="shared" si="11"/>
        <v>0</v>
      </c>
      <c r="S34" s="68">
        <f t="shared" si="11"/>
        <v>0</v>
      </c>
      <c r="T34" s="68">
        <f t="shared" si="11"/>
        <v>0</v>
      </c>
      <c r="U34" s="68">
        <f t="shared" si="11"/>
        <v>0</v>
      </c>
    </row>
    <row r="35" spans="1:21" s="51" customFormat="1" ht="13" x14ac:dyDescent="0.35">
      <c r="A35" s="10" t="str">
        <f>G8</f>
        <v>BW6</v>
      </c>
      <c r="B35" s="12">
        <v>70</v>
      </c>
      <c r="C35" s="68">
        <f t="shared" si="6"/>
        <v>56</v>
      </c>
      <c r="D35" s="68">
        <f t="shared" si="7"/>
        <v>64.308369999999996</v>
      </c>
      <c r="E35" s="68">
        <f t="shared" si="8"/>
        <v>14.086450000000003</v>
      </c>
      <c r="F35" s="68">
        <f t="shared" si="9"/>
        <v>12.534479999999999</v>
      </c>
      <c r="G35" s="68">
        <f t="shared" si="5"/>
        <v>0.15819999999999998</v>
      </c>
      <c r="H35" s="68">
        <f t="shared" si="5"/>
        <v>0.69860000000000011</v>
      </c>
      <c r="I35" s="68">
        <f t="shared" si="5"/>
        <v>3.5000000000000003E-2</v>
      </c>
      <c r="J35" s="68">
        <f t="shared" si="5"/>
        <v>7.000000000000001E-4</v>
      </c>
      <c r="K35" s="68">
        <f t="shared" si="5"/>
        <v>3.5000000000000001E-3</v>
      </c>
      <c r="L35" s="68">
        <f t="shared" si="5"/>
        <v>7.350000000000001E-2</v>
      </c>
      <c r="M35" s="68">
        <f t="shared" si="5"/>
        <v>6.3280000000000003E-2</v>
      </c>
      <c r="N35" s="68">
        <f t="shared" si="5"/>
        <v>0</v>
      </c>
      <c r="O35" s="68">
        <f t="shared" si="5"/>
        <v>0</v>
      </c>
      <c r="P35" s="68">
        <f t="shared" si="5"/>
        <v>44.03</v>
      </c>
      <c r="Q35" s="68">
        <f t="shared" si="10"/>
        <v>64.399999999999991</v>
      </c>
      <c r="R35" s="68">
        <f t="shared" si="11"/>
        <v>0</v>
      </c>
      <c r="S35" s="68">
        <f t="shared" si="11"/>
        <v>0</v>
      </c>
      <c r="T35" s="68">
        <f t="shared" si="11"/>
        <v>0</v>
      </c>
      <c r="U35" s="68">
        <f t="shared" si="11"/>
        <v>0</v>
      </c>
    </row>
    <row r="36" spans="1:21" s="51" customFormat="1" ht="13" x14ac:dyDescent="0.35">
      <c r="A36" s="10" t="str">
        <f>H8</f>
        <v>BW7</v>
      </c>
      <c r="B36" s="12">
        <v>70</v>
      </c>
      <c r="C36" s="68">
        <f t="shared" si="6"/>
        <v>56</v>
      </c>
      <c r="D36" s="68">
        <f t="shared" si="7"/>
        <v>64.308369999999996</v>
      </c>
      <c r="E36" s="68">
        <f t="shared" si="8"/>
        <v>14.086450000000003</v>
      </c>
      <c r="F36" s="68">
        <f t="shared" si="9"/>
        <v>12.534479999999999</v>
      </c>
      <c r="G36" s="68">
        <f t="shared" si="5"/>
        <v>0.15819999999999998</v>
      </c>
      <c r="H36" s="68">
        <f t="shared" si="5"/>
        <v>0.69860000000000011</v>
      </c>
      <c r="I36" s="68">
        <f t="shared" si="5"/>
        <v>3.5000000000000003E-2</v>
      </c>
      <c r="J36" s="68">
        <f t="shared" si="5"/>
        <v>7.000000000000001E-4</v>
      </c>
      <c r="K36" s="68">
        <f t="shared" si="5"/>
        <v>3.5000000000000001E-3</v>
      </c>
      <c r="L36" s="68">
        <f t="shared" si="5"/>
        <v>7.350000000000001E-2</v>
      </c>
      <c r="M36" s="68">
        <f t="shared" si="5"/>
        <v>6.3280000000000003E-2</v>
      </c>
      <c r="N36" s="68">
        <f t="shared" si="5"/>
        <v>0</v>
      </c>
      <c r="O36" s="68">
        <f t="shared" si="5"/>
        <v>0</v>
      </c>
      <c r="P36" s="68">
        <f t="shared" si="5"/>
        <v>44.03</v>
      </c>
      <c r="Q36" s="68">
        <f t="shared" si="10"/>
        <v>64.399999999999991</v>
      </c>
      <c r="R36" s="68">
        <f t="shared" si="11"/>
        <v>0</v>
      </c>
      <c r="S36" s="68">
        <f t="shared" si="11"/>
        <v>0</v>
      </c>
      <c r="T36" s="68">
        <f t="shared" si="11"/>
        <v>0</v>
      </c>
      <c r="U36" s="68">
        <f t="shared" si="11"/>
        <v>0</v>
      </c>
    </row>
    <row r="37" spans="1:21" s="51" customFormat="1" ht="13" x14ac:dyDescent="0.35">
      <c r="A37" s="10" t="str">
        <f>I8</f>
        <v>DJ1</v>
      </c>
      <c r="B37" s="12">
        <v>70</v>
      </c>
      <c r="C37" s="68">
        <f t="shared" si="6"/>
        <v>56</v>
      </c>
      <c r="D37" s="68">
        <f t="shared" si="7"/>
        <v>64.308369999999996</v>
      </c>
      <c r="E37" s="68">
        <f t="shared" si="8"/>
        <v>14.086450000000003</v>
      </c>
      <c r="F37" s="68">
        <f t="shared" si="9"/>
        <v>12.534479999999999</v>
      </c>
      <c r="G37" s="68">
        <f t="shared" si="5"/>
        <v>0.15819999999999998</v>
      </c>
      <c r="H37" s="68">
        <f t="shared" si="5"/>
        <v>0.69860000000000011</v>
      </c>
      <c r="I37" s="68">
        <f t="shared" si="5"/>
        <v>3.5000000000000003E-2</v>
      </c>
      <c r="J37" s="68">
        <f t="shared" si="5"/>
        <v>7.000000000000001E-4</v>
      </c>
      <c r="K37" s="68">
        <f t="shared" si="5"/>
        <v>3.5000000000000001E-3</v>
      </c>
      <c r="L37" s="68">
        <f t="shared" si="5"/>
        <v>7.350000000000001E-2</v>
      </c>
      <c r="M37" s="68">
        <f t="shared" si="5"/>
        <v>6.3280000000000003E-2</v>
      </c>
      <c r="N37" s="68">
        <f t="shared" si="5"/>
        <v>0</v>
      </c>
      <c r="O37" s="68">
        <f t="shared" si="5"/>
        <v>0</v>
      </c>
      <c r="P37" s="68">
        <f t="shared" si="5"/>
        <v>44.03</v>
      </c>
      <c r="Q37" s="68">
        <f t="shared" si="10"/>
        <v>64.399999999999991</v>
      </c>
      <c r="R37" s="68">
        <f t="shared" si="11"/>
        <v>0</v>
      </c>
      <c r="S37" s="68">
        <f t="shared" si="11"/>
        <v>0</v>
      </c>
      <c r="T37" s="68">
        <f t="shared" si="11"/>
        <v>0</v>
      </c>
      <c r="U37" s="68">
        <f t="shared" si="11"/>
        <v>0</v>
      </c>
    </row>
    <row r="38" spans="1:21" s="51" customFormat="1" ht="13" x14ac:dyDescent="0.35">
      <c r="A38" s="10" t="str">
        <f>J8</f>
        <v>DJ2</v>
      </c>
      <c r="B38" s="12">
        <v>70</v>
      </c>
      <c r="C38" s="68">
        <f t="shared" si="6"/>
        <v>56</v>
      </c>
      <c r="D38" s="68">
        <f t="shared" si="7"/>
        <v>64.308369999999996</v>
      </c>
      <c r="E38" s="68">
        <f t="shared" si="8"/>
        <v>14.086450000000003</v>
      </c>
      <c r="F38" s="68">
        <f t="shared" si="9"/>
        <v>12.534479999999999</v>
      </c>
      <c r="G38" s="68">
        <f t="shared" si="5"/>
        <v>0.15819999999999998</v>
      </c>
      <c r="H38" s="68">
        <f t="shared" si="5"/>
        <v>0.69860000000000011</v>
      </c>
      <c r="I38" s="68">
        <f t="shared" si="5"/>
        <v>3.5000000000000003E-2</v>
      </c>
      <c r="J38" s="68">
        <f t="shared" si="5"/>
        <v>7.000000000000001E-4</v>
      </c>
      <c r="K38" s="68">
        <f t="shared" si="5"/>
        <v>3.5000000000000001E-3</v>
      </c>
      <c r="L38" s="68">
        <f t="shared" si="5"/>
        <v>7.350000000000001E-2</v>
      </c>
      <c r="M38" s="68">
        <f t="shared" si="5"/>
        <v>6.3280000000000003E-2</v>
      </c>
      <c r="N38" s="68">
        <f t="shared" si="5"/>
        <v>0</v>
      </c>
      <c r="O38" s="68">
        <f t="shared" si="5"/>
        <v>0</v>
      </c>
      <c r="P38" s="68">
        <f t="shared" si="5"/>
        <v>44.03</v>
      </c>
      <c r="Q38" s="68">
        <f t="shared" si="10"/>
        <v>64.399999999999991</v>
      </c>
      <c r="R38" s="68">
        <f t="shared" si="11"/>
        <v>0</v>
      </c>
      <c r="S38" s="68">
        <f t="shared" si="11"/>
        <v>0</v>
      </c>
      <c r="T38" s="68">
        <f t="shared" si="11"/>
        <v>0</v>
      </c>
      <c r="U38" s="68">
        <f t="shared" si="11"/>
        <v>0</v>
      </c>
    </row>
    <row r="39" spans="1:21" s="51" customFormat="1" ht="13" x14ac:dyDescent="0.35">
      <c r="A39" s="10" t="str">
        <f>K8</f>
        <v>DJ3</v>
      </c>
      <c r="B39" s="12">
        <v>70</v>
      </c>
      <c r="C39" s="68">
        <f t="shared" si="6"/>
        <v>56</v>
      </c>
      <c r="D39" s="68">
        <f t="shared" si="7"/>
        <v>64.308369999999996</v>
      </c>
      <c r="E39" s="68">
        <f t="shared" si="8"/>
        <v>14.086450000000003</v>
      </c>
      <c r="F39" s="68">
        <f t="shared" si="9"/>
        <v>12.534479999999999</v>
      </c>
      <c r="G39" s="68">
        <f t="shared" si="5"/>
        <v>0.15819999999999998</v>
      </c>
      <c r="H39" s="68">
        <f t="shared" si="5"/>
        <v>0.69860000000000011</v>
      </c>
      <c r="I39" s="68">
        <f t="shared" si="5"/>
        <v>3.5000000000000003E-2</v>
      </c>
      <c r="J39" s="68">
        <f t="shared" si="5"/>
        <v>7.000000000000001E-4</v>
      </c>
      <c r="K39" s="68">
        <f t="shared" si="5"/>
        <v>3.5000000000000001E-3</v>
      </c>
      <c r="L39" s="68">
        <f t="shared" si="5"/>
        <v>7.350000000000001E-2</v>
      </c>
      <c r="M39" s="68">
        <f t="shared" si="5"/>
        <v>6.3280000000000003E-2</v>
      </c>
      <c r="N39" s="68">
        <f t="shared" si="5"/>
        <v>0</v>
      </c>
      <c r="O39" s="68">
        <f t="shared" si="5"/>
        <v>0</v>
      </c>
      <c r="P39" s="68">
        <f t="shared" si="5"/>
        <v>44.03</v>
      </c>
      <c r="Q39" s="68">
        <f t="shared" si="10"/>
        <v>64.399999999999991</v>
      </c>
      <c r="R39" s="68">
        <f t="shared" si="11"/>
        <v>0</v>
      </c>
      <c r="S39" s="68">
        <f t="shared" si="11"/>
        <v>0</v>
      </c>
      <c r="T39" s="68">
        <f t="shared" si="11"/>
        <v>0</v>
      </c>
      <c r="U39" s="68">
        <f t="shared" si="11"/>
        <v>0</v>
      </c>
    </row>
    <row r="40" spans="1:21" s="51" customFormat="1" ht="13" x14ac:dyDescent="0.35">
      <c r="A40" s="10" t="str">
        <f>L8</f>
        <v>DJ4</v>
      </c>
      <c r="B40" s="12">
        <v>70</v>
      </c>
      <c r="C40" s="68">
        <f t="shared" si="6"/>
        <v>56</v>
      </c>
      <c r="D40" s="68">
        <f t="shared" si="7"/>
        <v>64.308369999999996</v>
      </c>
      <c r="E40" s="68">
        <f t="shared" si="8"/>
        <v>14.086450000000003</v>
      </c>
      <c r="F40" s="68">
        <f t="shared" si="9"/>
        <v>12.534479999999999</v>
      </c>
      <c r="G40" s="68">
        <f t="shared" si="5"/>
        <v>0.15819999999999998</v>
      </c>
      <c r="H40" s="68">
        <f t="shared" si="5"/>
        <v>0.69860000000000011</v>
      </c>
      <c r="I40" s="68">
        <f t="shared" si="5"/>
        <v>3.5000000000000003E-2</v>
      </c>
      <c r="J40" s="68">
        <f t="shared" si="5"/>
        <v>7.000000000000001E-4</v>
      </c>
      <c r="K40" s="68">
        <f t="shared" si="5"/>
        <v>3.5000000000000001E-3</v>
      </c>
      <c r="L40" s="68">
        <f t="shared" si="5"/>
        <v>7.350000000000001E-2</v>
      </c>
      <c r="M40" s="68">
        <f t="shared" si="5"/>
        <v>6.3280000000000003E-2</v>
      </c>
      <c r="N40" s="68">
        <f t="shared" si="5"/>
        <v>0</v>
      </c>
      <c r="O40" s="68">
        <f t="shared" si="5"/>
        <v>0</v>
      </c>
      <c r="P40" s="68">
        <f t="shared" si="5"/>
        <v>44.03</v>
      </c>
      <c r="Q40" s="68">
        <f t="shared" si="10"/>
        <v>64.399999999999991</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"&amp;(VLOOKUP(C14,Table24581112[],6,FALSE))</f>
        <v>Sandy Loam I Grass</v>
      </c>
      <c r="C58" s="10" t="str">
        <f>D16&amp;" I "&amp;(VLOOKUP(D14,Table24581112[],6,FALSE))</f>
        <v>Sandy Loam I Grass</v>
      </c>
      <c r="D58" s="10" t="str">
        <f>E16&amp;" I "&amp;(VLOOKUP(E14,Table24581112[],6,FALSE))</f>
        <v>Sandy Loam I Grass</v>
      </c>
      <c r="E58" s="10" t="str">
        <f>F16&amp;" I "&amp;(VLOOKUP(F14,Table24581112[],6,FALSE))</f>
        <v>Sandy Loam I Grass</v>
      </c>
      <c r="F58" s="10" t="str">
        <f>G16&amp;" I "&amp;(VLOOKUP(G14,Table24581112[],6,FALSE))</f>
        <v>Sandy Loam I Grass</v>
      </c>
      <c r="G58" s="10" t="str">
        <f>H16&amp;" I "&amp;(VLOOKUP(H14,Table24581112[],6,FALSE))</f>
        <v>Sandy Loam I Grass</v>
      </c>
      <c r="H58" s="10" t="str">
        <f>I16&amp;" I "&amp;(VLOOKUP(I14,Table24581112[],6,FALSE))</f>
        <v>Sandy Loam I Grass</v>
      </c>
      <c r="I58" s="10" t="str">
        <f>J16&amp;" I "&amp;(VLOOKUP(J14,Table24581112[],6,FALSE))</f>
        <v>Sandy Loam I Grass</v>
      </c>
      <c r="J58" s="10" t="str">
        <f>K16&amp;" I "&amp;(VLOOKUP(K14,Table24581112[],6,FALSE))</f>
        <v>Sandy Loam I Grass</v>
      </c>
      <c r="K58" s="10" t="str">
        <f>L16&amp;" I "&amp;(VLOOKUP(L14,Table24581112[],6,FALSE))</f>
        <v>Sandy Loam I Grass</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100" t="s">
        <v>132</v>
      </c>
      <c r="B59" s="67">
        <f>VLOOKUP(C$14,Table24581112[],5,FALSE)</f>
        <v>6.2</v>
      </c>
      <c r="C59" s="67">
        <f>VLOOKUP(D$14,Table24581112[],5,FALSE)</f>
        <v>6.2</v>
      </c>
      <c r="D59" s="67">
        <f>VLOOKUP(E$14,Table24581112[],5,FALSE)</f>
        <v>6.2</v>
      </c>
      <c r="E59" s="67">
        <f>VLOOKUP(F$14,Table24581112[],5,FALSE)</f>
        <v>6.2</v>
      </c>
      <c r="F59" s="67">
        <f>VLOOKUP(G$14,Table24581112[],5,FALSE)</f>
        <v>6.2</v>
      </c>
      <c r="G59" s="67">
        <f>VLOOKUP(H$14,Table24581112[],5,FALSE)</f>
        <v>6.2</v>
      </c>
      <c r="H59" s="67">
        <f>VLOOKUP(I$14,Table24581112[],5,FALSE)</f>
        <v>6.2</v>
      </c>
      <c r="I59" s="67">
        <f>VLOOKUP(J$14,Table24581112[],5,FALSE)</f>
        <v>6.2</v>
      </c>
      <c r="J59" s="67">
        <f>VLOOKUP(K$14,Table24581112[],5,FALSE)</f>
        <v>6.2</v>
      </c>
      <c r="K59" s="67">
        <f>VLOOKUP(L$14,Table24581112[],5,FALSE)</f>
        <v>6.2</v>
      </c>
      <c r="L59" s="67" t="e">
        <f>VLOOKUP(M$14,Table24581112[],5,FALSE)</f>
        <v>#N/A</v>
      </c>
      <c r="M59" s="67" t="e">
        <f>VLOOKUP(N$14,Table24581112[],5,FALSE)</f>
        <v>#N/A</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70</v>
      </c>
      <c r="C62" s="68">
        <f>B32</f>
        <v>70</v>
      </c>
      <c r="D62" s="68">
        <f>B33</f>
        <v>70</v>
      </c>
      <c r="E62" s="68">
        <f>B34</f>
        <v>70</v>
      </c>
      <c r="F62" s="68">
        <f>B35</f>
        <v>70</v>
      </c>
      <c r="G62" s="68">
        <f>B36</f>
        <v>70</v>
      </c>
      <c r="H62" s="68">
        <f>B37</f>
        <v>70</v>
      </c>
      <c r="I62" s="68">
        <f>B38</f>
        <v>70</v>
      </c>
      <c r="J62" s="68">
        <f>B39</f>
        <v>70</v>
      </c>
      <c r="K62" s="68">
        <f>B40</f>
        <v>70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H13" zoomScale="90" zoomScaleNormal="90" workbookViewId="0">
      <selection activeCell="J29" sqref="J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10.5</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165</v>
      </c>
      <c r="G2" s="112" t="s">
        <v>110</v>
      </c>
      <c r="H2" s="113"/>
      <c r="I2" s="86">
        <v>382</v>
      </c>
      <c r="J2" s="114" t="s">
        <v>158</v>
      </c>
      <c r="K2" s="114"/>
      <c r="L2" s="86">
        <v>0.06</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640</v>
      </c>
      <c r="J3" s="110" t="s">
        <v>154</v>
      </c>
      <c r="K3" s="111"/>
      <c r="L3" s="86">
        <f>(L1/(L2*10000))*100</f>
        <v>4.1666666666666661</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183</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6.4606199999999996</v>
      </c>
      <c r="D18" s="13">
        <f>$D32</f>
        <v>6.4606199999999996</v>
      </c>
      <c r="E18" s="13">
        <f>$D33</f>
        <v>6.4606199999999996</v>
      </c>
      <c r="F18" s="13">
        <f>$D34</f>
        <v>6.4606199999999996</v>
      </c>
      <c r="G18" s="13">
        <f>$D35</f>
        <v>6.4606199999999996</v>
      </c>
      <c r="H18" s="13">
        <f>$D36</f>
        <v>6.4606199999999996</v>
      </c>
      <c r="I18" s="13">
        <f>$D37</f>
        <v>6.4606199999999996</v>
      </c>
      <c r="J18" s="13">
        <f>$D38</f>
        <v>6.4606199999999996</v>
      </c>
      <c r="K18" s="13">
        <f>$D39</f>
        <v>6.4606199999999996</v>
      </c>
      <c r="L18" s="13">
        <f>$D40</f>
        <v>6.4606199999999996</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-58.139379999999996</v>
      </c>
      <c r="D19" s="13">
        <f t="shared" ref="D19:V19" si="1">D18-D17</f>
        <v>-58.139379999999996</v>
      </c>
      <c r="E19" s="13">
        <f t="shared" si="1"/>
        <v>-58.139379999999996</v>
      </c>
      <c r="F19" s="13">
        <f t="shared" si="1"/>
        <v>-58.139379999999996</v>
      </c>
      <c r="G19" s="13">
        <f t="shared" si="1"/>
        <v>-58.139379999999996</v>
      </c>
      <c r="H19" s="13">
        <f t="shared" si="1"/>
        <v>-58.139379999999996</v>
      </c>
      <c r="I19" s="13">
        <f t="shared" si="1"/>
        <v>-58.139379999999996</v>
      </c>
      <c r="J19" s="13">
        <f t="shared" si="1"/>
        <v>-58.139379999999996</v>
      </c>
      <c r="K19" s="13">
        <f t="shared" si="1"/>
        <v>-58.139379999999996</v>
      </c>
      <c r="L19" s="13">
        <f t="shared" si="1"/>
        <v>-58.139379999999996</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3.4462999999999999</v>
      </c>
      <c r="D22" s="13">
        <f>$E32</f>
        <v>3.4462999999999999</v>
      </c>
      <c r="E22" s="13">
        <f>$E33</f>
        <v>3.4462999999999999</v>
      </c>
      <c r="F22" s="13">
        <f>$E34</f>
        <v>3.4462999999999999</v>
      </c>
      <c r="G22" s="13">
        <f>$E35</f>
        <v>3.4462999999999999</v>
      </c>
      <c r="H22" s="13">
        <f>$E36</f>
        <v>3.4462999999999999</v>
      </c>
      <c r="I22" s="13">
        <f>$E37</f>
        <v>3.4462999999999999</v>
      </c>
      <c r="J22" s="13">
        <f>$E38</f>
        <v>3.4462999999999999</v>
      </c>
      <c r="K22" s="13">
        <f>$E39</f>
        <v>3.4462999999999999</v>
      </c>
      <c r="L22" s="13">
        <f>$E40</f>
        <v>3.4462999999999999</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-224.55369999999999</v>
      </c>
      <c r="D23" s="13">
        <f t="shared" ref="D23:V23" si="3">D22-D21</f>
        <v>-224.55369999999999</v>
      </c>
      <c r="E23" s="13">
        <f t="shared" si="3"/>
        <v>-224.55369999999999</v>
      </c>
      <c r="F23" s="13">
        <f t="shared" si="3"/>
        <v>-224.55369999999999</v>
      </c>
      <c r="G23" s="13">
        <f t="shared" si="3"/>
        <v>-224.55369999999999</v>
      </c>
      <c r="H23" s="13">
        <f t="shared" si="3"/>
        <v>-224.55369999999999</v>
      </c>
      <c r="I23" s="13">
        <f t="shared" si="3"/>
        <v>-224.55369999999999</v>
      </c>
      <c r="J23" s="13">
        <f t="shared" si="3"/>
        <v>-224.55369999999999</v>
      </c>
      <c r="K23" s="13">
        <f t="shared" si="3"/>
        <v>-224.55369999999999</v>
      </c>
      <c r="L23" s="13">
        <f t="shared" si="3"/>
        <v>-224.55369999999999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0.91</v>
      </c>
      <c r="C28" s="12">
        <v>0.06</v>
      </c>
      <c r="D28" s="12">
        <v>56.4</v>
      </c>
      <c r="E28" s="12">
        <v>57.2</v>
      </c>
      <c r="F28" s="12">
        <v>10</v>
      </c>
      <c r="G28" s="12">
        <v>0.2</v>
      </c>
      <c r="H28" s="12">
        <v>0.66300000000000003</v>
      </c>
      <c r="I28" s="12">
        <v>0.5</v>
      </c>
      <c r="J28" s="12">
        <v>0.01</v>
      </c>
      <c r="K28" s="16">
        <v>0.05</v>
      </c>
      <c r="L28" s="12">
        <v>0.2</v>
      </c>
      <c r="M28" s="12">
        <v>0.36899999999999999</v>
      </c>
      <c r="N28" s="12"/>
      <c r="O28" s="12"/>
      <c r="P28" s="12">
        <v>527</v>
      </c>
      <c r="Q28" s="12">
        <v>87.4</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50</v>
      </c>
      <c r="C31" s="68">
        <f>IF(C$27="%w/w SAR",((C$28*10)*$B31),IF(C$27="%w/w DM",(((C$28*10)*($B$28/100))*$B31),IF(C$27="kg/t SAR",(C$28*$B31),IF(C$27="kg/t DM",((C$28*($B$28/100))*$B31),IF(C$27="mg/kg SAR",((C$28*0.001)*$B31),IF(C$27="mg/kg DM",(((C$28*0.001)*($B$28/100))*$B31),0))))))</f>
        <v>30</v>
      </c>
      <c r="D31" s="68">
        <f>(IF(D$27="%w/w SAR",((D$28*10)*$B31),IF(D$27="%w/w DM",(((D$28*10)*($B$28/100))*$B31),IF(D$27="kg/t SAR",(D$28*$B31),IF(D$27="kg/t DM",((D$28*($B$28/100))*$B31),IF(D$27="mg/kg SAR",((D$28*0.001)*$B31),IF(D$27="mg/kg DM",(((D$28*0.001)*($B$28/100))*$B31),"0")))))))*2.291</f>
        <v>6.4606199999999996</v>
      </c>
      <c r="E31" s="68">
        <f>(IF(E$27="%w/w SAR",((E$28*10)*$B31),IF(E$27="%w/w DM",(((E$28*10)*($B$28/100))*$B31),IF(E$27="kg/t SAR",(E$28*$B31),IF(E$27="kg/t DM",((E$28*($B$28/100))*$B31),IF(E$27="mg/kg SAR",((E$28*0.001)*$B31),IF(E$27="mg/kg DM",(((E$28*0.001)*($B$28/100))*$B31),"0")))))))*1.205</f>
        <v>3.4462999999999999</v>
      </c>
      <c r="F31" s="68">
        <f>(IF(F$27="%w/w SAR",((F$28*10)*$B31),IF(F$27="%w/w DM",(((F$28*10)*($B$28/100))*$B31),IF(F$27="kg/t SAR",(F$28*$B31),IF(F$27="kg/t DM",((F$28*($B$28/100))*$B31),IF(F$27="mg/kg SAR",((F$28*0.001)*$B31),IF(F$27="mg/kg DM",(((F$28*0.001)*($B$28/100))*$B31),"0")))))))*1.658</f>
        <v>0.82899999999999996</v>
      </c>
      <c r="G31" s="68">
        <f t="shared" ref="G31:P46" si="5">IF(G$27="%w/w SAR",((G$28*10)*$B31),IF(G$27="%w/w DM",(((G$28*10)*($B$28/100))*$B31),IF(G$27="kg/t SAR",(G$28*$B31),IF(G$27="kg/t DM",((G$28*($B$28/100))*$B31),IF(G$27="mg/kg SAR",((G$28*0.001)*$B31),IF(G$27="mg/kg DM",(((G$28*0.001)*($B$28/100))*$B31),0))))))</f>
        <v>0.01</v>
      </c>
      <c r="H31" s="68">
        <f t="shared" si="5"/>
        <v>3.3150000000000006E-2</v>
      </c>
      <c r="I31" s="68">
        <f t="shared" si="5"/>
        <v>2.5000000000000001E-2</v>
      </c>
      <c r="J31" s="68">
        <f t="shared" si="5"/>
        <v>5.0000000000000001E-4</v>
      </c>
      <c r="K31" s="68">
        <f t="shared" si="5"/>
        <v>2.5000000000000001E-3</v>
      </c>
      <c r="L31" s="68">
        <f t="shared" si="5"/>
        <v>0.01</v>
      </c>
      <c r="M31" s="68">
        <f t="shared" si="5"/>
        <v>1.8450000000000001E-2</v>
      </c>
      <c r="N31" s="68">
        <f t="shared" si="5"/>
        <v>0</v>
      </c>
      <c r="O31" s="68">
        <f t="shared" si="5"/>
        <v>0</v>
      </c>
      <c r="P31" s="68">
        <f t="shared" si="5"/>
        <v>26.35</v>
      </c>
      <c r="Q31" s="68">
        <f>(IF(Q$27="%w/w SAR",((Q$28*10)*$B31),IF(Q$27="%w/w DM",(((Q$28*10)*($B$28/100))*$B31),IF(Q$27="kg/t SAR",(Q$28*$B31),IF(Q$27="kg/t DM",((Q$28*($B$28/100))*$B31),IF(Q$27="mg/kg SAR",((Q$28*0.001)*$B31),IF(Q$27="mg/kg DM",(((Q$28*0.001)*($B$28/100))*$B31),0)))))))*2.5</f>
        <v>10.925000000000001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50</v>
      </c>
      <c r="C32" s="68">
        <f t="shared" ref="C32:C50" si="6">IF(C$27="%w/w SAR",((C$28*10)*$B32),IF(C$27="%w/w DM",(((C$28*10)*($B$28/100))*$B32),IF(C$27="kg/t SAR",(C$28*$B32),IF(C$27="kg/t DM",((C$28*($B$28/100))*$B32),IF(C$27="mg/kg SAR",((C$28*0.001)*$B32),IF(C$27="mg/kg DM",(((C$28*0.001)*($B$28/100))*$B32),0))))))</f>
        <v>30</v>
      </c>
      <c r="D32" s="68">
        <f t="shared" ref="D32:D50" si="7">(IF(D$27="%w/w SAR",((D$28*10)*$B32),IF(D$27="%w/w DM",(((D$28*10)*($B$28/100))*$B32),IF(D$27="kg/t SAR",(D$28*$B32),IF(D$27="kg/t DM",((D$28*($B$28/100))*$B32),IF(D$27="mg/kg SAR",((D$28*0.001)*$B32),IF(D$27="mg/kg DM",(((D$28*0.001)*($B$28/100))*$B32),"0")))))))*2.291</f>
        <v>6.4606199999999996</v>
      </c>
      <c r="E32" s="68">
        <f t="shared" ref="E32:E50" si="8">(IF(E$27="%w/w SAR",((E$28*10)*$B32),IF(E$27="%w/w DM",(((E$28*10)*($B$28/100))*$B32),IF(E$27="kg/t SAR",(E$28*$B32),IF(E$27="kg/t DM",((E$28*($B$28/100))*$B32),IF(E$27="mg/kg SAR",((E$28*0.001)*$B32),IF(E$27="mg/kg DM",(((E$28*0.001)*($B$28/100))*$B32),"0")))))))*1.205</f>
        <v>3.4462999999999999</v>
      </c>
      <c r="F32" s="68">
        <f t="shared" ref="F32:F50" si="9">(IF(F$27="%w/w SAR",((F$28*10)*$B32),IF(F$27="%w/w DM",(((F$28*10)*($B$28/100))*$B32),IF(F$27="kg/t SAR",(F$28*$B32),IF(F$27="kg/t DM",((F$28*($B$28/100))*$B32),IF(F$27="mg/kg SAR",((F$28*0.001)*$B32),IF(F$27="mg/kg DM",(((F$28*0.001)*($B$28/100))*$B32),"0")))))))*1.658</f>
        <v>0.82899999999999996</v>
      </c>
      <c r="G32" s="68">
        <f t="shared" si="5"/>
        <v>0.01</v>
      </c>
      <c r="H32" s="68">
        <f t="shared" si="5"/>
        <v>3.3150000000000006E-2</v>
      </c>
      <c r="I32" s="68">
        <f t="shared" si="5"/>
        <v>2.5000000000000001E-2</v>
      </c>
      <c r="J32" s="68">
        <f t="shared" si="5"/>
        <v>5.0000000000000001E-4</v>
      </c>
      <c r="K32" s="68">
        <f t="shared" si="5"/>
        <v>2.5000000000000001E-3</v>
      </c>
      <c r="L32" s="68">
        <f t="shared" si="5"/>
        <v>0.01</v>
      </c>
      <c r="M32" s="68">
        <f t="shared" si="5"/>
        <v>1.8450000000000001E-2</v>
      </c>
      <c r="N32" s="68">
        <f t="shared" si="5"/>
        <v>0</v>
      </c>
      <c r="O32" s="68">
        <f t="shared" si="5"/>
        <v>0</v>
      </c>
      <c r="P32" s="68">
        <f t="shared" si="5"/>
        <v>26.35</v>
      </c>
      <c r="Q32" s="68">
        <f t="shared" ref="Q32:Q50" si="10">(IF(Q$27="%w/w SAR",((Q$28*10)*$B32),IF(Q$27="%w/w DM",(((Q$28*10)*($B$28/100))*$B32),IF(Q$27="kg/t SAR",(Q$28*$B32),IF(Q$27="kg/t DM",((Q$28*($B$28/100))*$B32),IF(Q$27="mg/kg SAR",((Q$28*0.001)*$B32),IF(Q$27="mg/kg DM",(((Q$28*0.001)*($B$28/100))*$B32),0)))))))*2.5</f>
        <v>10.925000000000001</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50</v>
      </c>
      <c r="C33" s="68">
        <f t="shared" si="6"/>
        <v>30</v>
      </c>
      <c r="D33" s="68">
        <f t="shared" si="7"/>
        <v>6.4606199999999996</v>
      </c>
      <c r="E33" s="68">
        <f t="shared" si="8"/>
        <v>3.4462999999999999</v>
      </c>
      <c r="F33" s="68">
        <f t="shared" si="9"/>
        <v>0.82899999999999996</v>
      </c>
      <c r="G33" s="68">
        <f t="shared" si="5"/>
        <v>0.01</v>
      </c>
      <c r="H33" s="68">
        <f t="shared" si="5"/>
        <v>3.3150000000000006E-2</v>
      </c>
      <c r="I33" s="68">
        <f t="shared" si="5"/>
        <v>2.5000000000000001E-2</v>
      </c>
      <c r="J33" s="68">
        <f t="shared" si="5"/>
        <v>5.0000000000000001E-4</v>
      </c>
      <c r="K33" s="68">
        <f t="shared" si="5"/>
        <v>2.5000000000000001E-3</v>
      </c>
      <c r="L33" s="68">
        <f t="shared" si="5"/>
        <v>0.01</v>
      </c>
      <c r="M33" s="68">
        <f t="shared" si="5"/>
        <v>1.8450000000000001E-2</v>
      </c>
      <c r="N33" s="68">
        <f t="shared" si="5"/>
        <v>0</v>
      </c>
      <c r="O33" s="68">
        <f t="shared" si="5"/>
        <v>0</v>
      </c>
      <c r="P33" s="68">
        <f t="shared" si="5"/>
        <v>26.35</v>
      </c>
      <c r="Q33" s="68">
        <f t="shared" si="10"/>
        <v>10.925000000000001</v>
      </c>
      <c r="R33" s="68">
        <f t="shared" si="11"/>
        <v>0</v>
      </c>
      <c r="S33" s="68">
        <f t="shared" si="11"/>
        <v>0</v>
      </c>
      <c r="T33" s="68">
        <f t="shared" si="11"/>
        <v>0</v>
      </c>
      <c r="U33" s="68">
        <f t="shared" si="11"/>
        <v>0</v>
      </c>
    </row>
    <row r="34" spans="1:21" s="51" customFormat="1" ht="13" x14ac:dyDescent="0.35">
      <c r="A34" s="10" t="str">
        <f>F8</f>
        <v>BW4</v>
      </c>
      <c r="B34" s="12">
        <v>50</v>
      </c>
      <c r="C34" s="68">
        <f t="shared" si="6"/>
        <v>30</v>
      </c>
      <c r="D34" s="68">
        <f t="shared" si="7"/>
        <v>6.4606199999999996</v>
      </c>
      <c r="E34" s="68">
        <f t="shared" si="8"/>
        <v>3.4462999999999999</v>
      </c>
      <c r="F34" s="68">
        <f t="shared" si="9"/>
        <v>0.82899999999999996</v>
      </c>
      <c r="G34" s="68">
        <f t="shared" si="5"/>
        <v>0.01</v>
      </c>
      <c r="H34" s="68">
        <f t="shared" si="5"/>
        <v>3.3150000000000006E-2</v>
      </c>
      <c r="I34" s="68">
        <f t="shared" si="5"/>
        <v>2.5000000000000001E-2</v>
      </c>
      <c r="J34" s="68">
        <f t="shared" si="5"/>
        <v>5.0000000000000001E-4</v>
      </c>
      <c r="K34" s="68">
        <f t="shared" si="5"/>
        <v>2.5000000000000001E-3</v>
      </c>
      <c r="L34" s="68">
        <f t="shared" si="5"/>
        <v>0.01</v>
      </c>
      <c r="M34" s="68">
        <f t="shared" si="5"/>
        <v>1.8450000000000001E-2</v>
      </c>
      <c r="N34" s="68">
        <f t="shared" si="5"/>
        <v>0</v>
      </c>
      <c r="O34" s="68">
        <f t="shared" si="5"/>
        <v>0</v>
      </c>
      <c r="P34" s="68">
        <f t="shared" si="5"/>
        <v>26.35</v>
      </c>
      <c r="Q34" s="68">
        <f t="shared" si="10"/>
        <v>10.925000000000001</v>
      </c>
      <c r="R34" s="68">
        <f t="shared" si="11"/>
        <v>0</v>
      </c>
      <c r="S34" s="68">
        <f t="shared" si="11"/>
        <v>0</v>
      </c>
      <c r="T34" s="68">
        <f t="shared" si="11"/>
        <v>0</v>
      </c>
      <c r="U34" s="68">
        <f t="shared" si="11"/>
        <v>0</v>
      </c>
    </row>
    <row r="35" spans="1:21" s="51" customFormat="1" ht="13" x14ac:dyDescent="0.35">
      <c r="A35" s="10" t="str">
        <f>G8</f>
        <v>BW6</v>
      </c>
      <c r="B35" s="12">
        <v>50</v>
      </c>
      <c r="C35" s="68">
        <f t="shared" si="6"/>
        <v>30</v>
      </c>
      <c r="D35" s="68">
        <f t="shared" si="7"/>
        <v>6.4606199999999996</v>
      </c>
      <c r="E35" s="68">
        <f t="shared" si="8"/>
        <v>3.4462999999999999</v>
      </c>
      <c r="F35" s="68">
        <f t="shared" si="9"/>
        <v>0.82899999999999996</v>
      </c>
      <c r="G35" s="68">
        <f t="shared" si="5"/>
        <v>0.01</v>
      </c>
      <c r="H35" s="68">
        <f t="shared" si="5"/>
        <v>3.3150000000000006E-2</v>
      </c>
      <c r="I35" s="68">
        <f t="shared" si="5"/>
        <v>2.5000000000000001E-2</v>
      </c>
      <c r="J35" s="68">
        <f t="shared" si="5"/>
        <v>5.0000000000000001E-4</v>
      </c>
      <c r="K35" s="68">
        <f t="shared" si="5"/>
        <v>2.5000000000000001E-3</v>
      </c>
      <c r="L35" s="68">
        <f t="shared" si="5"/>
        <v>0.01</v>
      </c>
      <c r="M35" s="68">
        <f t="shared" si="5"/>
        <v>1.8450000000000001E-2</v>
      </c>
      <c r="N35" s="68">
        <f t="shared" si="5"/>
        <v>0</v>
      </c>
      <c r="O35" s="68">
        <f t="shared" si="5"/>
        <v>0</v>
      </c>
      <c r="P35" s="68">
        <f t="shared" si="5"/>
        <v>26.35</v>
      </c>
      <c r="Q35" s="68">
        <f t="shared" si="10"/>
        <v>10.925000000000001</v>
      </c>
      <c r="R35" s="68">
        <f t="shared" si="11"/>
        <v>0</v>
      </c>
      <c r="S35" s="68">
        <f t="shared" si="11"/>
        <v>0</v>
      </c>
      <c r="T35" s="68">
        <f t="shared" si="11"/>
        <v>0</v>
      </c>
      <c r="U35" s="68">
        <f t="shared" si="11"/>
        <v>0</v>
      </c>
    </row>
    <row r="36" spans="1:21" s="51" customFormat="1" ht="13" x14ac:dyDescent="0.35">
      <c r="A36" s="10" t="str">
        <f>H8</f>
        <v>BW7</v>
      </c>
      <c r="B36" s="12">
        <v>50</v>
      </c>
      <c r="C36" s="68">
        <f t="shared" si="6"/>
        <v>30</v>
      </c>
      <c r="D36" s="68">
        <f t="shared" si="7"/>
        <v>6.4606199999999996</v>
      </c>
      <c r="E36" s="68">
        <f t="shared" si="8"/>
        <v>3.4462999999999999</v>
      </c>
      <c r="F36" s="68">
        <f t="shared" si="9"/>
        <v>0.82899999999999996</v>
      </c>
      <c r="G36" s="68">
        <f t="shared" si="5"/>
        <v>0.01</v>
      </c>
      <c r="H36" s="68">
        <f t="shared" si="5"/>
        <v>3.3150000000000006E-2</v>
      </c>
      <c r="I36" s="68">
        <f t="shared" si="5"/>
        <v>2.5000000000000001E-2</v>
      </c>
      <c r="J36" s="68">
        <f t="shared" si="5"/>
        <v>5.0000000000000001E-4</v>
      </c>
      <c r="K36" s="68">
        <f t="shared" si="5"/>
        <v>2.5000000000000001E-3</v>
      </c>
      <c r="L36" s="68">
        <f t="shared" si="5"/>
        <v>0.01</v>
      </c>
      <c r="M36" s="68">
        <f t="shared" si="5"/>
        <v>1.8450000000000001E-2</v>
      </c>
      <c r="N36" s="68">
        <f t="shared" si="5"/>
        <v>0</v>
      </c>
      <c r="O36" s="68">
        <f t="shared" si="5"/>
        <v>0</v>
      </c>
      <c r="P36" s="68">
        <f t="shared" si="5"/>
        <v>26.35</v>
      </c>
      <c r="Q36" s="68">
        <f t="shared" si="10"/>
        <v>10.925000000000001</v>
      </c>
      <c r="R36" s="68">
        <f t="shared" si="11"/>
        <v>0</v>
      </c>
      <c r="S36" s="68">
        <f t="shared" si="11"/>
        <v>0</v>
      </c>
      <c r="T36" s="68">
        <f t="shared" si="11"/>
        <v>0</v>
      </c>
      <c r="U36" s="68">
        <f t="shared" si="11"/>
        <v>0</v>
      </c>
    </row>
    <row r="37" spans="1:21" s="51" customFormat="1" ht="13" x14ac:dyDescent="0.35">
      <c r="A37" s="10" t="str">
        <f>I8</f>
        <v>DJ1</v>
      </c>
      <c r="B37" s="12">
        <v>50</v>
      </c>
      <c r="C37" s="68">
        <f t="shared" si="6"/>
        <v>30</v>
      </c>
      <c r="D37" s="68">
        <f t="shared" si="7"/>
        <v>6.4606199999999996</v>
      </c>
      <c r="E37" s="68">
        <f t="shared" si="8"/>
        <v>3.4462999999999999</v>
      </c>
      <c r="F37" s="68">
        <f t="shared" si="9"/>
        <v>0.82899999999999996</v>
      </c>
      <c r="G37" s="68">
        <f t="shared" si="5"/>
        <v>0.01</v>
      </c>
      <c r="H37" s="68">
        <f t="shared" si="5"/>
        <v>3.3150000000000006E-2</v>
      </c>
      <c r="I37" s="68">
        <f t="shared" si="5"/>
        <v>2.5000000000000001E-2</v>
      </c>
      <c r="J37" s="68">
        <f t="shared" si="5"/>
        <v>5.0000000000000001E-4</v>
      </c>
      <c r="K37" s="68">
        <f t="shared" si="5"/>
        <v>2.5000000000000001E-3</v>
      </c>
      <c r="L37" s="68">
        <f t="shared" si="5"/>
        <v>0.01</v>
      </c>
      <c r="M37" s="68">
        <f t="shared" si="5"/>
        <v>1.8450000000000001E-2</v>
      </c>
      <c r="N37" s="68">
        <f t="shared" si="5"/>
        <v>0</v>
      </c>
      <c r="O37" s="68">
        <f t="shared" si="5"/>
        <v>0</v>
      </c>
      <c r="P37" s="68">
        <f t="shared" si="5"/>
        <v>26.35</v>
      </c>
      <c r="Q37" s="68">
        <f t="shared" si="10"/>
        <v>10.925000000000001</v>
      </c>
      <c r="R37" s="68">
        <f t="shared" si="11"/>
        <v>0</v>
      </c>
      <c r="S37" s="68">
        <f t="shared" si="11"/>
        <v>0</v>
      </c>
      <c r="T37" s="68">
        <f t="shared" si="11"/>
        <v>0</v>
      </c>
      <c r="U37" s="68">
        <f t="shared" si="11"/>
        <v>0</v>
      </c>
    </row>
    <row r="38" spans="1:21" s="51" customFormat="1" ht="13" x14ac:dyDescent="0.35">
      <c r="A38" s="10" t="str">
        <f>J8</f>
        <v>DJ2</v>
      </c>
      <c r="B38" s="12">
        <v>50</v>
      </c>
      <c r="C38" s="68">
        <f t="shared" si="6"/>
        <v>30</v>
      </c>
      <c r="D38" s="68">
        <f t="shared" si="7"/>
        <v>6.4606199999999996</v>
      </c>
      <c r="E38" s="68">
        <f t="shared" si="8"/>
        <v>3.4462999999999999</v>
      </c>
      <c r="F38" s="68">
        <f t="shared" si="9"/>
        <v>0.82899999999999996</v>
      </c>
      <c r="G38" s="68">
        <f t="shared" si="5"/>
        <v>0.01</v>
      </c>
      <c r="H38" s="68">
        <f t="shared" si="5"/>
        <v>3.3150000000000006E-2</v>
      </c>
      <c r="I38" s="68">
        <f t="shared" si="5"/>
        <v>2.5000000000000001E-2</v>
      </c>
      <c r="J38" s="68">
        <f t="shared" si="5"/>
        <v>5.0000000000000001E-4</v>
      </c>
      <c r="K38" s="68">
        <f t="shared" si="5"/>
        <v>2.5000000000000001E-3</v>
      </c>
      <c r="L38" s="68">
        <f t="shared" si="5"/>
        <v>0.01</v>
      </c>
      <c r="M38" s="68">
        <f t="shared" si="5"/>
        <v>1.8450000000000001E-2</v>
      </c>
      <c r="N38" s="68">
        <f t="shared" si="5"/>
        <v>0</v>
      </c>
      <c r="O38" s="68">
        <f t="shared" si="5"/>
        <v>0</v>
      </c>
      <c r="P38" s="68">
        <f t="shared" si="5"/>
        <v>26.35</v>
      </c>
      <c r="Q38" s="68">
        <f t="shared" si="10"/>
        <v>10.925000000000001</v>
      </c>
      <c r="R38" s="68">
        <f t="shared" si="11"/>
        <v>0</v>
      </c>
      <c r="S38" s="68">
        <f t="shared" si="11"/>
        <v>0</v>
      </c>
      <c r="T38" s="68">
        <f t="shared" si="11"/>
        <v>0</v>
      </c>
      <c r="U38" s="68">
        <f t="shared" si="11"/>
        <v>0</v>
      </c>
    </row>
    <row r="39" spans="1:21" s="51" customFormat="1" ht="13" x14ac:dyDescent="0.35">
      <c r="A39" s="10" t="str">
        <f>K8</f>
        <v>DJ3</v>
      </c>
      <c r="B39" s="12">
        <v>50</v>
      </c>
      <c r="C39" s="68">
        <f t="shared" si="6"/>
        <v>30</v>
      </c>
      <c r="D39" s="68">
        <f t="shared" si="7"/>
        <v>6.4606199999999996</v>
      </c>
      <c r="E39" s="68">
        <f t="shared" si="8"/>
        <v>3.4462999999999999</v>
      </c>
      <c r="F39" s="68">
        <f t="shared" si="9"/>
        <v>0.82899999999999996</v>
      </c>
      <c r="G39" s="68">
        <f t="shared" si="5"/>
        <v>0.01</v>
      </c>
      <c r="H39" s="68">
        <f t="shared" si="5"/>
        <v>3.3150000000000006E-2</v>
      </c>
      <c r="I39" s="68">
        <f t="shared" si="5"/>
        <v>2.5000000000000001E-2</v>
      </c>
      <c r="J39" s="68">
        <f t="shared" si="5"/>
        <v>5.0000000000000001E-4</v>
      </c>
      <c r="K39" s="68">
        <f t="shared" si="5"/>
        <v>2.5000000000000001E-3</v>
      </c>
      <c r="L39" s="68">
        <f t="shared" si="5"/>
        <v>0.01</v>
      </c>
      <c r="M39" s="68">
        <f t="shared" si="5"/>
        <v>1.8450000000000001E-2</v>
      </c>
      <c r="N39" s="68">
        <f t="shared" si="5"/>
        <v>0</v>
      </c>
      <c r="O39" s="68">
        <f t="shared" si="5"/>
        <v>0</v>
      </c>
      <c r="P39" s="68">
        <f t="shared" si="5"/>
        <v>26.35</v>
      </c>
      <c r="Q39" s="68">
        <f t="shared" si="10"/>
        <v>10.925000000000001</v>
      </c>
      <c r="R39" s="68">
        <f t="shared" si="11"/>
        <v>0</v>
      </c>
      <c r="S39" s="68">
        <f t="shared" si="11"/>
        <v>0</v>
      </c>
      <c r="T39" s="68">
        <f t="shared" si="11"/>
        <v>0</v>
      </c>
      <c r="U39" s="68">
        <f t="shared" si="11"/>
        <v>0</v>
      </c>
    </row>
    <row r="40" spans="1:21" s="51" customFormat="1" ht="13" x14ac:dyDescent="0.35">
      <c r="A40" s="10" t="str">
        <f>L8</f>
        <v>DJ4</v>
      </c>
      <c r="B40" s="12">
        <v>50</v>
      </c>
      <c r="C40" s="68">
        <f t="shared" si="6"/>
        <v>30</v>
      </c>
      <c r="D40" s="68">
        <f t="shared" si="7"/>
        <v>6.4606199999999996</v>
      </c>
      <c r="E40" s="68">
        <f t="shared" si="8"/>
        <v>3.4462999999999999</v>
      </c>
      <c r="F40" s="68">
        <f t="shared" si="9"/>
        <v>0.82899999999999996</v>
      </c>
      <c r="G40" s="68">
        <f t="shared" si="5"/>
        <v>0.01</v>
      </c>
      <c r="H40" s="68">
        <f t="shared" si="5"/>
        <v>3.3150000000000006E-2</v>
      </c>
      <c r="I40" s="68">
        <f t="shared" si="5"/>
        <v>2.5000000000000001E-2</v>
      </c>
      <c r="J40" s="68">
        <f t="shared" si="5"/>
        <v>5.0000000000000001E-4</v>
      </c>
      <c r="K40" s="68">
        <f t="shared" si="5"/>
        <v>2.5000000000000001E-3</v>
      </c>
      <c r="L40" s="68">
        <f t="shared" si="5"/>
        <v>0.01</v>
      </c>
      <c r="M40" s="68">
        <f t="shared" si="5"/>
        <v>1.8450000000000001E-2</v>
      </c>
      <c r="N40" s="68">
        <f t="shared" si="5"/>
        <v>0</v>
      </c>
      <c r="O40" s="68">
        <f t="shared" si="5"/>
        <v>0</v>
      </c>
      <c r="P40" s="68">
        <f t="shared" si="5"/>
        <v>26.35</v>
      </c>
      <c r="Q40" s="68">
        <f t="shared" si="10"/>
        <v>10.925000000000001</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"&amp;(VLOOKUP(C14,Table24581114[],6,FALSE))</f>
        <v>Sandy Loam I Grass</v>
      </c>
      <c r="C58" s="10" t="str">
        <f>D16&amp;" I "&amp;(VLOOKUP(D14,Table24581114[],6,FALSE))</f>
        <v>Sandy Loam I Grass</v>
      </c>
      <c r="D58" s="10" t="str">
        <f>E16&amp;" I "&amp;(VLOOKUP(E14,Table24581114[],6,FALSE))</f>
        <v>Sandy Loam I Grass</v>
      </c>
      <c r="E58" s="10" t="str">
        <f>F16&amp;" I "&amp;(VLOOKUP(F14,Table24581114[],6,FALSE))</f>
        <v>Sandy Loam I Grass</v>
      </c>
      <c r="F58" s="10" t="str">
        <f>G16&amp;" I "&amp;(VLOOKUP(G14,Table24581114[],6,FALSE))</f>
        <v>Sandy Loam I Grass</v>
      </c>
      <c r="G58" s="10" t="str">
        <f>H16&amp;" I "&amp;(VLOOKUP(H14,Table24581114[],6,FALSE))</f>
        <v>Sandy Loam I Grass</v>
      </c>
      <c r="H58" s="10" t="str">
        <f>I16&amp;" I "&amp;(VLOOKUP(I14,Table24581114[],6,FALSE))</f>
        <v>Sandy Loam I Grass</v>
      </c>
      <c r="I58" s="10" t="str">
        <f>J16&amp;" I "&amp;(VLOOKUP(J14,Table24581114[],6,FALSE))</f>
        <v>Sandy Loam I Grass</v>
      </c>
      <c r="J58" s="10" t="str">
        <f>K16&amp;" I "&amp;(VLOOKUP(K14,Table24581114[],6,FALSE))</f>
        <v>Sandy Loam I Grass</v>
      </c>
      <c r="K58" s="10" t="str">
        <f>L16&amp;" I "&amp;(VLOOKUP(L14,Table24581114[],6,FALSE))</f>
        <v>Sandy Loam I Grass</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100" t="s">
        <v>132</v>
      </c>
      <c r="B59" s="67">
        <f>VLOOKUP(C$14,Table24581114[],5,FALSE)</f>
        <v>6.2</v>
      </c>
      <c r="C59" s="67">
        <f>VLOOKUP(D$14,Table24581114[],5,FALSE)</f>
        <v>6.2</v>
      </c>
      <c r="D59" s="67">
        <f>VLOOKUP(E$14,Table24581114[],5,FALSE)</f>
        <v>6.2</v>
      </c>
      <c r="E59" s="67">
        <f>VLOOKUP(F$14,Table24581114[],5,FALSE)</f>
        <v>6.2</v>
      </c>
      <c r="F59" s="67">
        <f>VLOOKUP(G$14,Table24581114[],5,FALSE)</f>
        <v>6.2</v>
      </c>
      <c r="G59" s="67">
        <f>VLOOKUP(H$14,Table24581114[],5,FALSE)</f>
        <v>6.2</v>
      </c>
      <c r="H59" s="67">
        <f>VLOOKUP(I$14,Table24581114[],5,FALSE)</f>
        <v>6.2</v>
      </c>
      <c r="I59" s="67">
        <f>VLOOKUP(J$14,Table24581114[],5,FALSE)</f>
        <v>6.2</v>
      </c>
      <c r="J59" s="67">
        <f>VLOOKUP(K$14,Table24581114[],5,FALSE)</f>
        <v>6.2</v>
      </c>
      <c r="K59" s="67">
        <f>VLOOKUP(L$14,Table24581114[],5,FALSE)</f>
        <v>6.2</v>
      </c>
      <c r="L59" s="67" t="e">
        <f>VLOOKUP(M$14,Table24581114[],5,FALSE)</f>
        <v>#N/A</v>
      </c>
      <c r="M59" s="67" t="e">
        <f>VLOOKUP(N$14,Table24581114[],5,FALSE)</f>
        <v>#N/A</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50</v>
      </c>
      <c r="C62" s="68">
        <f>B32</f>
        <v>50</v>
      </c>
      <c r="D62" s="68">
        <f>B33</f>
        <v>50</v>
      </c>
      <c r="E62" s="68">
        <f>B34</f>
        <v>50</v>
      </c>
      <c r="F62" s="68">
        <f>B35</f>
        <v>50</v>
      </c>
      <c r="G62" s="68">
        <f>B36</f>
        <v>50</v>
      </c>
      <c r="H62" s="68">
        <f>B37</f>
        <v>50</v>
      </c>
      <c r="I62" s="68">
        <f>B38</f>
        <v>50</v>
      </c>
      <c r="J62" s="68">
        <f>B39</f>
        <v>50</v>
      </c>
      <c r="K62" s="68">
        <f>B40</f>
        <v>50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16" zoomScale="90" zoomScaleNormal="90" workbookViewId="0">
      <selection activeCell="I28" sqref="I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5.83</v>
      </c>
      <c r="J1" s="114" t="s">
        <v>153</v>
      </c>
      <c r="K1" s="114"/>
      <c r="L1" s="86">
        <v>424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184</v>
      </c>
      <c r="G2" s="112" t="s">
        <v>110</v>
      </c>
      <c r="H2" s="113"/>
      <c r="I2" s="86">
        <v>2201</v>
      </c>
      <c r="J2" s="114" t="s">
        <v>158</v>
      </c>
      <c r="K2" s="114"/>
      <c r="L2" s="86">
        <v>7.0000000000000007E-2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460</v>
      </c>
      <c r="J3" s="110" t="s">
        <v>154</v>
      </c>
      <c r="K3" s="111"/>
      <c r="L3" s="86">
        <f>(L1/(L2*10000))*100</f>
        <v>60.571428571428562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185</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43.643549999999998</v>
      </c>
      <c r="D18" s="13">
        <f>$D32</f>
        <v>43.643549999999998</v>
      </c>
      <c r="E18" s="13">
        <f>$D33</f>
        <v>43.643549999999998</v>
      </c>
      <c r="F18" s="13">
        <f>$D34</f>
        <v>43.643549999999998</v>
      </c>
      <c r="G18" s="13">
        <f>$D35</f>
        <v>43.643549999999998</v>
      </c>
      <c r="H18" s="13">
        <f>$D36</f>
        <v>43.643549999999998</v>
      </c>
      <c r="I18" s="13">
        <f>$D37</f>
        <v>43.643549999999998</v>
      </c>
      <c r="J18" s="13">
        <f>$D38</f>
        <v>43.643549999999998</v>
      </c>
      <c r="K18" s="13">
        <f>$D39</f>
        <v>43.643549999999998</v>
      </c>
      <c r="L18" s="13">
        <f>$D40</f>
        <v>43.643549999999998</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-20.956449999999997</v>
      </c>
      <c r="D19" s="13">
        <f t="shared" ref="D19:V19" si="1">D18-D17</f>
        <v>-20.956449999999997</v>
      </c>
      <c r="E19" s="13">
        <f t="shared" si="1"/>
        <v>-20.956449999999997</v>
      </c>
      <c r="F19" s="13">
        <f t="shared" si="1"/>
        <v>-20.956449999999997</v>
      </c>
      <c r="G19" s="13">
        <f t="shared" si="1"/>
        <v>-20.956449999999997</v>
      </c>
      <c r="H19" s="13">
        <f t="shared" si="1"/>
        <v>-20.956449999999997</v>
      </c>
      <c r="I19" s="13">
        <f t="shared" si="1"/>
        <v>-20.956449999999997</v>
      </c>
      <c r="J19" s="13">
        <f t="shared" si="1"/>
        <v>-20.956449999999997</v>
      </c>
      <c r="K19" s="13">
        <f t="shared" si="1"/>
        <v>-20.956449999999997</v>
      </c>
      <c r="L19" s="13">
        <f t="shared" si="1"/>
        <v>-20.956449999999997</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20.605500000000003</v>
      </c>
      <c r="D22" s="13">
        <f>$E32</f>
        <v>20.605500000000003</v>
      </c>
      <c r="E22" s="13">
        <f>$E33</f>
        <v>20.605500000000003</v>
      </c>
      <c r="F22" s="13">
        <f>$E34</f>
        <v>20.605500000000003</v>
      </c>
      <c r="G22" s="13">
        <f>$E35</f>
        <v>20.605500000000003</v>
      </c>
      <c r="H22" s="13">
        <f>$E36</f>
        <v>20.605500000000003</v>
      </c>
      <c r="I22" s="13">
        <f>$E37</f>
        <v>20.605500000000003</v>
      </c>
      <c r="J22" s="13">
        <f>$E38</f>
        <v>20.605500000000003</v>
      </c>
      <c r="K22" s="13">
        <f>$E39</f>
        <v>20.605500000000003</v>
      </c>
      <c r="L22" s="13">
        <f>$E40</f>
        <v>20.605500000000003</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-207.39449999999999</v>
      </c>
      <c r="D23" s="13">
        <f t="shared" ref="D23:V23" si="3">D22-D21</f>
        <v>-207.39449999999999</v>
      </c>
      <c r="E23" s="13">
        <f t="shared" si="3"/>
        <v>-207.39449999999999</v>
      </c>
      <c r="F23" s="13">
        <f t="shared" si="3"/>
        <v>-207.39449999999999</v>
      </c>
      <c r="G23" s="13">
        <f t="shared" si="3"/>
        <v>-207.39449999999999</v>
      </c>
      <c r="H23" s="13">
        <f t="shared" si="3"/>
        <v>-207.39449999999999</v>
      </c>
      <c r="I23" s="13">
        <f t="shared" si="3"/>
        <v>-207.39449999999999</v>
      </c>
      <c r="J23" s="13">
        <f t="shared" si="3"/>
        <v>-207.39449999999999</v>
      </c>
      <c r="K23" s="13">
        <f t="shared" si="3"/>
        <v>-207.39449999999999</v>
      </c>
      <c r="L23" s="13">
        <f t="shared" si="3"/>
        <v>-207.39449999999999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2.16</v>
      </c>
      <c r="C28" s="12">
        <v>7.0000000000000007E-2</v>
      </c>
      <c r="D28" s="12">
        <v>127</v>
      </c>
      <c r="E28" s="12">
        <v>114</v>
      </c>
      <c r="F28" s="12">
        <v>88.8</v>
      </c>
      <c r="G28" s="12">
        <v>1.37</v>
      </c>
      <c r="H28" s="12">
        <v>34.299999999999997</v>
      </c>
      <c r="I28" s="12">
        <v>0.5</v>
      </c>
      <c r="J28" s="12">
        <v>3.2000000000000001E-2</v>
      </c>
      <c r="K28" s="16">
        <v>0.05</v>
      </c>
      <c r="L28" s="12">
        <v>0.69299999999999995</v>
      </c>
      <c r="M28" s="12">
        <v>0.59</v>
      </c>
      <c r="N28" s="12"/>
      <c r="O28" s="12"/>
      <c r="P28" s="12">
        <v>367</v>
      </c>
      <c r="Q28" s="12">
        <v>103</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150</v>
      </c>
      <c r="C31" s="68">
        <f>IF(C$27="%w/w SAR",((C$28*10)*$B31),IF(C$27="%w/w DM",(((C$28*10)*($B$28/100))*$B31),IF(C$27="kg/t SAR",(C$28*$B31),IF(C$27="kg/t DM",((C$28*($B$28/100))*$B31),IF(C$27="mg/kg SAR",((C$28*0.001)*$B31),IF(C$27="mg/kg DM",(((C$28*0.001)*($B$28/100))*$B31),0))))))</f>
        <v>105.00000000000001</v>
      </c>
      <c r="D31" s="68">
        <f>(IF(D$27="%w/w SAR",((D$28*10)*$B31),IF(D$27="%w/w DM",(((D$28*10)*($B$28/100))*$B31),IF(D$27="kg/t SAR",(D$28*$B31),IF(D$27="kg/t DM",((D$28*($B$28/100))*$B31),IF(D$27="mg/kg SAR",((D$28*0.001)*$B31),IF(D$27="mg/kg DM",(((D$28*0.001)*($B$28/100))*$B31),"0")))))))*2.291</f>
        <v>43.643549999999998</v>
      </c>
      <c r="E31" s="68">
        <f>(IF(E$27="%w/w SAR",((E$28*10)*$B31),IF(E$27="%w/w DM",(((E$28*10)*($B$28/100))*$B31),IF(E$27="kg/t SAR",(E$28*$B31),IF(E$27="kg/t DM",((E$28*($B$28/100))*$B31),IF(E$27="mg/kg SAR",((E$28*0.001)*$B31),IF(E$27="mg/kg DM",(((E$28*0.001)*($B$28/100))*$B31),"0")))))))*1.205</f>
        <v>20.605500000000003</v>
      </c>
      <c r="F31" s="68">
        <f>(IF(F$27="%w/w SAR",((F$28*10)*$B31),IF(F$27="%w/w DM",(((F$28*10)*($B$28/100))*$B31),IF(F$27="kg/t SAR",(F$28*$B31),IF(F$27="kg/t DM",((F$28*($B$28/100))*$B31),IF(F$27="mg/kg SAR",((F$28*0.001)*$B31),IF(F$27="mg/kg DM",(((F$28*0.001)*($B$28/100))*$B31),"0")))))))*1.658</f>
        <v>22.08456</v>
      </c>
      <c r="G31" s="68">
        <f t="shared" ref="G31:P46" si="5">IF(G$27="%w/w SAR",((G$28*10)*$B31),IF(G$27="%w/w DM",(((G$28*10)*($B$28/100))*$B31),IF(G$27="kg/t SAR",(G$28*$B31),IF(G$27="kg/t DM",((G$28*($B$28/100))*$B31),IF(G$27="mg/kg SAR",((G$28*0.001)*$B31),IF(G$27="mg/kg DM",(((G$28*0.001)*($B$28/100))*$B31),0))))))</f>
        <v>0.20550000000000002</v>
      </c>
      <c r="H31" s="68">
        <f t="shared" si="5"/>
        <v>5.1449999999999996</v>
      </c>
      <c r="I31" s="68">
        <f t="shared" si="5"/>
        <v>7.4999999999999997E-2</v>
      </c>
      <c r="J31" s="68">
        <f t="shared" si="5"/>
        <v>4.7999999999999996E-3</v>
      </c>
      <c r="K31" s="68">
        <f t="shared" si="5"/>
        <v>7.5000000000000006E-3</v>
      </c>
      <c r="L31" s="68">
        <f t="shared" si="5"/>
        <v>0.10394999999999999</v>
      </c>
      <c r="M31" s="68">
        <f t="shared" si="5"/>
        <v>8.8500000000000009E-2</v>
      </c>
      <c r="N31" s="68">
        <f t="shared" si="5"/>
        <v>0</v>
      </c>
      <c r="O31" s="68">
        <f t="shared" si="5"/>
        <v>0</v>
      </c>
      <c r="P31" s="68">
        <f t="shared" si="5"/>
        <v>55.05</v>
      </c>
      <c r="Q31" s="68">
        <f>(IF(Q$27="%w/w SAR",((Q$28*10)*$B31),IF(Q$27="%w/w DM",(((Q$28*10)*($B$28/100))*$B31),IF(Q$27="kg/t SAR",(Q$28*$B31),IF(Q$27="kg/t DM",((Q$28*($B$28/100))*$B31),IF(Q$27="mg/kg SAR",((Q$28*0.001)*$B31),IF(Q$27="mg/kg DM",(((Q$28*0.001)*($B$28/100))*$B31),0)))))))*2.5</f>
        <v>38.625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150</v>
      </c>
      <c r="C32" s="68">
        <f t="shared" ref="C32:C50" si="6">IF(C$27="%w/w SAR",((C$28*10)*$B32),IF(C$27="%w/w DM",(((C$28*10)*($B$28/100))*$B32),IF(C$27="kg/t SAR",(C$28*$B32),IF(C$27="kg/t DM",((C$28*($B$28/100))*$B32),IF(C$27="mg/kg SAR",((C$28*0.001)*$B32),IF(C$27="mg/kg DM",(((C$28*0.001)*($B$28/100))*$B32),0))))))</f>
        <v>105.00000000000001</v>
      </c>
      <c r="D32" s="68">
        <f t="shared" ref="D32:D50" si="7">(IF(D$27="%w/w SAR",((D$28*10)*$B32),IF(D$27="%w/w DM",(((D$28*10)*($B$28/100))*$B32),IF(D$27="kg/t SAR",(D$28*$B32),IF(D$27="kg/t DM",((D$28*($B$28/100))*$B32),IF(D$27="mg/kg SAR",((D$28*0.001)*$B32),IF(D$27="mg/kg DM",(((D$28*0.001)*($B$28/100))*$B32),"0")))))))*2.291</f>
        <v>43.643549999999998</v>
      </c>
      <c r="E32" s="68">
        <f t="shared" ref="E32:E50" si="8">(IF(E$27="%w/w SAR",((E$28*10)*$B32),IF(E$27="%w/w DM",(((E$28*10)*($B$28/100))*$B32),IF(E$27="kg/t SAR",(E$28*$B32),IF(E$27="kg/t DM",((E$28*($B$28/100))*$B32),IF(E$27="mg/kg SAR",((E$28*0.001)*$B32),IF(E$27="mg/kg DM",(((E$28*0.001)*($B$28/100))*$B32),"0")))))))*1.205</f>
        <v>20.605500000000003</v>
      </c>
      <c r="F32" s="68">
        <f t="shared" ref="F32:F50" si="9">(IF(F$27="%w/w SAR",((F$28*10)*$B32),IF(F$27="%w/w DM",(((F$28*10)*($B$28/100))*$B32),IF(F$27="kg/t SAR",(F$28*$B32),IF(F$27="kg/t DM",((F$28*($B$28/100))*$B32),IF(F$27="mg/kg SAR",((F$28*0.001)*$B32),IF(F$27="mg/kg DM",(((F$28*0.001)*($B$28/100))*$B32),"0")))))))*1.658</f>
        <v>22.08456</v>
      </c>
      <c r="G32" s="68">
        <f t="shared" si="5"/>
        <v>0.20550000000000002</v>
      </c>
      <c r="H32" s="68">
        <f t="shared" si="5"/>
        <v>5.1449999999999996</v>
      </c>
      <c r="I32" s="68">
        <f t="shared" si="5"/>
        <v>7.4999999999999997E-2</v>
      </c>
      <c r="J32" s="68">
        <f t="shared" si="5"/>
        <v>4.7999999999999996E-3</v>
      </c>
      <c r="K32" s="68">
        <f t="shared" si="5"/>
        <v>7.5000000000000006E-3</v>
      </c>
      <c r="L32" s="68">
        <f t="shared" si="5"/>
        <v>0.10394999999999999</v>
      </c>
      <c r="M32" s="68">
        <f t="shared" si="5"/>
        <v>8.8500000000000009E-2</v>
      </c>
      <c r="N32" s="68">
        <f t="shared" si="5"/>
        <v>0</v>
      </c>
      <c r="O32" s="68">
        <f t="shared" si="5"/>
        <v>0</v>
      </c>
      <c r="P32" s="68">
        <f t="shared" si="5"/>
        <v>55.05</v>
      </c>
      <c r="Q32" s="68">
        <f t="shared" ref="Q32:Q50" si="10">(IF(Q$27="%w/w SAR",((Q$28*10)*$B32),IF(Q$27="%w/w DM",(((Q$28*10)*($B$28/100))*$B32),IF(Q$27="kg/t SAR",(Q$28*$B32),IF(Q$27="kg/t DM",((Q$28*($B$28/100))*$B32),IF(Q$27="mg/kg SAR",((Q$28*0.001)*$B32),IF(Q$27="mg/kg DM",(((Q$28*0.001)*($B$28/100))*$B32),0)))))))*2.5</f>
        <v>38.625</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150</v>
      </c>
      <c r="C33" s="68">
        <f t="shared" si="6"/>
        <v>105.00000000000001</v>
      </c>
      <c r="D33" s="68">
        <f t="shared" si="7"/>
        <v>43.643549999999998</v>
      </c>
      <c r="E33" s="68">
        <f t="shared" si="8"/>
        <v>20.605500000000003</v>
      </c>
      <c r="F33" s="68">
        <f t="shared" si="9"/>
        <v>22.08456</v>
      </c>
      <c r="G33" s="68">
        <f t="shared" si="5"/>
        <v>0.20550000000000002</v>
      </c>
      <c r="H33" s="68">
        <f t="shared" si="5"/>
        <v>5.1449999999999996</v>
      </c>
      <c r="I33" s="68">
        <f t="shared" si="5"/>
        <v>7.4999999999999997E-2</v>
      </c>
      <c r="J33" s="68">
        <f t="shared" si="5"/>
        <v>4.7999999999999996E-3</v>
      </c>
      <c r="K33" s="68">
        <f t="shared" si="5"/>
        <v>7.5000000000000006E-3</v>
      </c>
      <c r="L33" s="68">
        <f t="shared" si="5"/>
        <v>0.10394999999999999</v>
      </c>
      <c r="M33" s="68">
        <f t="shared" si="5"/>
        <v>8.8500000000000009E-2</v>
      </c>
      <c r="N33" s="68">
        <f t="shared" si="5"/>
        <v>0</v>
      </c>
      <c r="O33" s="68">
        <f t="shared" si="5"/>
        <v>0</v>
      </c>
      <c r="P33" s="68">
        <f t="shared" si="5"/>
        <v>55.05</v>
      </c>
      <c r="Q33" s="68">
        <f t="shared" si="10"/>
        <v>38.625</v>
      </c>
      <c r="R33" s="68">
        <f t="shared" si="11"/>
        <v>0</v>
      </c>
      <c r="S33" s="68">
        <f t="shared" si="11"/>
        <v>0</v>
      </c>
      <c r="T33" s="68">
        <f t="shared" si="11"/>
        <v>0</v>
      </c>
      <c r="U33" s="68">
        <f t="shared" si="11"/>
        <v>0</v>
      </c>
    </row>
    <row r="34" spans="1:21" s="51" customFormat="1" ht="13" x14ac:dyDescent="0.35">
      <c r="A34" s="10" t="str">
        <f>F8</f>
        <v>BW4</v>
      </c>
      <c r="B34" s="12">
        <v>150</v>
      </c>
      <c r="C34" s="68">
        <f t="shared" si="6"/>
        <v>105.00000000000001</v>
      </c>
      <c r="D34" s="68">
        <f t="shared" si="7"/>
        <v>43.643549999999998</v>
      </c>
      <c r="E34" s="68">
        <f t="shared" si="8"/>
        <v>20.605500000000003</v>
      </c>
      <c r="F34" s="68">
        <f t="shared" si="9"/>
        <v>22.08456</v>
      </c>
      <c r="G34" s="68">
        <f t="shared" si="5"/>
        <v>0.20550000000000002</v>
      </c>
      <c r="H34" s="68">
        <f t="shared" si="5"/>
        <v>5.1449999999999996</v>
      </c>
      <c r="I34" s="68">
        <f t="shared" si="5"/>
        <v>7.4999999999999997E-2</v>
      </c>
      <c r="J34" s="68">
        <f t="shared" si="5"/>
        <v>4.7999999999999996E-3</v>
      </c>
      <c r="K34" s="68">
        <f t="shared" si="5"/>
        <v>7.5000000000000006E-3</v>
      </c>
      <c r="L34" s="68">
        <f t="shared" si="5"/>
        <v>0.10394999999999999</v>
      </c>
      <c r="M34" s="68">
        <f t="shared" si="5"/>
        <v>8.8500000000000009E-2</v>
      </c>
      <c r="N34" s="68">
        <f t="shared" si="5"/>
        <v>0</v>
      </c>
      <c r="O34" s="68">
        <f t="shared" si="5"/>
        <v>0</v>
      </c>
      <c r="P34" s="68">
        <f t="shared" si="5"/>
        <v>55.05</v>
      </c>
      <c r="Q34" s="68">
        <f t="shared" si="10"/>
        <v>38.625</v>
      </c>
      <c r="R34" s="68">
        <f t="shared" si="11"/>
        <v>0</v>
      </c>
      <c r="S34" s="68">
        <f t="shared" si="11"/>
        <v>0</v>
      </c>
      <c r="T34" s="68">
        <f t="shared" si="11"/>
        <v>0</v>
      </c>
      <c r="U34" s="68">
        <f t="shared" si="11"/>
        <v>0</v>
      </c>
    </row>
    <row r="35" spans="1:21" s="51" customFormat="1" ht="13" x14ac:dyDescent="0.35">
      <c r="A35" s="10" t="str">
        <f>G8</f>
        <v>BW6</v>
      </c>
      <c r="B35" s="12">
        <v>150</v>
      </c>
      <c r="C35" s="68">
        <f t="shared" si="6"/>
        <v>105.00000000000001</v>
      </c>
      <c r="D35" s="68">
        <f t="shared" si="7"/>
        <v>43.643549999999998</v>
      </c>
      <c r="E35" s="68">
        <f t="shared" si="8"/>
        <v>20.605500000000003</v>
      </c>
      <c r="F35" s="68">
        <f t="shared" si="9"/>
        <v>22.08456</v>
      </c>
      <c r="G35" s="68">
        <f t="shared" si="5"/>
        <v>0.20550000000000002</v>
      </c>
      <c r="H35" s="68">
        <f t="shared" si="5"/>
        <v>5.1449999999999996</v>
      </c>
      <c r="I35" s="68">
        <f t="shared" si="5"/>
        <v>7.4999999999999997E-2</v>
      </c>
      <c r="J35" s="68">
        <f t="shared" si="5"/>
        <v>4.7999999999999996E-3</v>
      </c>
      <c r="K35" s="68">
        <f t="shared" si="5"/>
        <v>7.5000000000000006E-3</v>
      </c>
      <c r="L35" s="68">
        <f t="shared" si="5"/>
        <v>0.10394999999999999</v>
      </c>
      <c r="M35" s="68">
        <f t="shared" si="5"/>
        <v>8.8500000000000009E-2</v>
      </c>
      <c r="N35" s="68">
        <f t="shared" si="5"/>
        <v>0</v>
      </c>
      <c r="O35" s="68">
        <f t="shared" si="5"/>
        <v>0</v>
      </c>
      <c r="P35" s="68">
        <f t="shared" si="5"/>
        <v>55.05</v>
      </c>
      <c r="Q35" s="68">
        <f t="shared" si="10"/>
        <v>38.625</v>
      </c>
      <c r="R35" s="68">
        <f t="shared" si="11"/>
        <v>0</v>
      </c>
      <c r="S35" s="68">
        <f t="shared" si="11"/>
        <v>0</v>
      </c>
      <c r="T35" s="68">
        <f t="shared" si="11"/>
        <v>0</v>
      </c>
      <c r="U35" s="68">
        <f t="shared" si="11"/>
        <v>0</v>
      </c>
    </row>
    <row r="36" spans="1:21" s="51" customFormat="1" ht="13" x14ac:dyDescent="0.35">
      <c r="A36" s="10" t="str">
        <f>H8</f>
        <v>BW7</v>
      </c>
      <c r="B36" s="12">
        <v>150</v>
      </c>
      <c r="C36" s="68">
        <f t="shared" si="6"/>
        <v>105.00000000000001</v>
      </c>
      <c r="D36" s="68">
        <f t="shared" si="7"/>
        <v>43.643549999999998</v>
      </c>
      <c r="E36" s="68">
        <f t="shared" si="8"/>
        <v>20.605500000000003</v>
      </c>
      <c r="F36" s="68">
        <f t="shared" si="9"/>
        <v>22.08456</v>
      </c>
      <c r="G36" s="68">
        <f t="shared" si="5"/>
        <v>0.20550000000000002</v>
      </c>
      <c r="H36" s="68">
        <f t="shared" si="5"/>
        <v>5.1449999999999996</v>
      </c>
      <c r="I36" s="68">
        <f t="shared" si="5"/>
        <v>7.4999999999999997E-2</v>
      </c>
      <c r="J36" s="68">
        <f t="shared" si="5"/>
        <v>4.7999999999999996E-3</v>
      </c>
      <c r="K36" s="68">
        <f t="shared" si="5"/>
        <v>7.5000000000000006E-3</v>
      </c>
      <c r="L36" s="68">
        <f t="shared" si="5"/>
        <v>0.10394999999999999</v>
      </c>
      <c r="M36" s="68">
        <f t="shared" si="5"/>
        <v>8.8500000000000009E-2</v>
      </c>
      <c r="N36" s="68">
        <f t="shared" si="5"/>
        <v>0</v>
      </c>
      <c r="O36" s="68">
        <f t="shared" si="5"/>
        <v>0</v>
      </c>
      <c r="P36" s="68">
        <f t="shared" si="5"/>
        <v>55.05</v>
      </c>
      <c r="Q36" s="68">
        <f t="shared" si="10"/>
        <v>38.625</v>
      </c>
      <c r="R36" s="68">
        <f t="shared" si="11"/>
        <v>0</v>
      </c>
      <c r="S36" s="68">
        <f t="shared" si="11"/>
        <v>0</v>
      </c>
      <c r="T36" s="68">
        <f t="shared" si="11"/>
        <v>0</v>
      </c>
      <c r="U36" s="68">
        <f t="shared" si="11"/>
        <v>0</v>
      </c>
    </row>
    <row r="37" spans="1:21" s="51" customFormat="1" ht="13" x14ac:dyDescent="0.35">
      <c r="A37" s="10" t="str">
        <f>I8</f>
        <v>DJ1</v>
      </c>
      <c r="B37" s="12">
        <v>150</v>
      </c>
      <c r="C37" s="68">
        <f t="shared" si="6"/>
        <v>105.00000000000001</v>
      </c>
      <c r="D37" s="68">
        <f t="shared" si="7"/>
        <v>43.643549999999998</v>
      </c>
      <c r="E37" s="68">
        <f t="shared" si="8"/>
        <v>20.605500000000003</v>
      </c>
      <c r="F37" s="68">
        <f t="shared" si="9"/>
        <v>22.08456</v>
      </c>
      <c r="G37" s="68">
        <f t="shared" si="5"/>
        <v>0.20550000000000002</v>
      </c>
      <c r="H37" s="68">
        <f t="shared" si="5"/>
        <v>5.1449999999999996</v>
      </c>
      <c r="I37" s="68">
        <f t="shared" si="5"/>
        <v>7.4999999999999997E-2</v>
      </c>
      <c r="J37" s="68">
        <f t="shared" si="5"/>
        <v>4.7999999999999996E-3</v>
      </c>
      <c r="K37" s="68">
        <f t="shared" si="5"/>
        <v>7.5000000000000006E-3</v>
      </c>
      <c r="L37" s="68">
        <f t="shared" si="5"/>
        <v>0.10394999999999999</v>
      </c>
      <c r="M37" s="68">
        <f t="shared" si="5"/>
        <v>8.8500000000000009E-2</v>
      </c>
      <c r="N37" s="68">
        <f t="shared" si="5"/>
        <v>0</v>
      </c>
      <c r="O37" s="68">
        <f t="shared" si="5"/>
        <v>0</v>
      </c>
      <c r="P37" s="68">
        <f t="shared" si="5"/>
        <v>55.05</v>
      </c>
      <c r="Q37" s="68">
        <f t="shared" si="10"/>
        <v>38.625</v>
      </c>
      <c r="R37" s="68">
        <f t="shared" si="11"/>
        <v>0</v>
      </c>
      <c r="S37" s="68">
        <f t="shared" si="11"/>
        <v>0</v>
      </c>
      <c r="T37" s="68">
        <f t="shared" si="11"/>
        <v>0</v>
      </c>
      <c r="U37" s="68">
        <f t="shared" si="11"/>
        <v>0</v>
      </c>
    </row>
    <row r="38" spans="1:21" s="51" customFormat="1" ht="13" x14ac:dyDescent="0.35">
      <c r="A38" s="10" t="str">
        <f>J8</f>
        <v>DJ2</v>
      </c>
      <c r="B38" s="12">
        <v>150</v>
      </c>
      <c r="C38" s="68">
        <f t="shared" si="6"/>
        <v>105.00000000000001</v>
      </c>
      <c r="D38" s="68">
        <f t="shared" si="7"/>
        <v>43.643549999999998</v>
      </c>
      <c r="E38" s="68">
        <f t="shared" si="8"/>
        <v>20.605500000000003</v>
      </c>
      <c r="F38" s="68">
        <f t="shared" si="9"/>
        <v>22.08456</v>
      </c>
      <c r="G38" s="68">
        <f t="shared" si="5"/>
        <v>0.20550000000000002</v>
      </c>
      <c r="H38" s="68">
        <f t="shared" si="5"/>
        <v>5.1449999999999996</v>
      </c>
      <c r="I38" s="68">
        <f t="shared" si="5"/>
        <v>7.4999999999999997E-2</v>
      </c>
      <c r="J38" s="68">
        <f t="shared" si="5"/>
        <v>4.7999999999999996E-3</v>
      </c>
      <c r="K38" s="68">
        <f t="shared" si="5"/>
        <v>7.5000000000000006E-3</v>
      </c>
      <c r="L38" s="68">
        <f t="shared" si="5"/>
        <v>0.10394999999999999</v>
      </c>
      <c r="M38" s="68">
        <f t="shared" si="5"/>
        <v>8.8500000000000009E-2</v>
      </c>
      <c r="N38" s="68">
        <f t="shared" si="5"/>
        <v>0</v>
      </c>
      <c r="O38" s="68">
        <f t="shared" si="5"/>
        <v>0</v>
      </c>
      <c r="P38" s="68">
        <f t="shared" si="5"/>
        <v>55.05</v>
      </c>
      <c r="Q38" s="68">
        <f t="shared" si="10"/>
        <v>38.625</v>
      </c>
      <c r="R38" s="68">
        <f t="shared" si="11"/>
        <v>0</v>
      </c>
      <c r="S38" s="68">
        <f t="shared" si="11"/>
        <v>0</v>
      </c>
      <c r="T38" s="68">
        <f t="shared" si="11"/>
        <v>0</v>
      </c>
      <c r="U38" s="68">
        <f t="shared" si="11"/>
        <v>0</v>
      </c>
    </row>
    <row r="39" spans="1:21" s="51" customFormat="1" ht="13" x14ac:dyDescent="0.35">
      <c r="A39" s="10" t="str">
        <f>K8</f>
        <v>DJ3</v>
      </c>
      <c r="B39" s="12">
        <v>150</v>
      </c>
      <c r="C39" s="68">
        <f t="shared" si="6"/>
        <v>105.00000000000001</v>
      </c>
      <c r="D39" s="68">
        <f t="shared" si="7"/>
        <v>43.643549999999998</v>
      </c>
      <c r="E39" s="68">
        <f t="shared" si="8"/>
        <v>20.605500000000003</v>
      </c>
      <c r="F39" s="68">
        <f t="shared" si="9"/>
        <v>22.08456</v>
      </c>
      <c r="G39" s="68">
        <f t="shared" si="5"/>
        <v>0.20550000000000002</v>
      </c>
      <c r="H39" s="68">
        <f t="shared" si="5"/>
        <v>5.1449999999999996</v>
      </c>
      <c r="I39" s="68">
        <f t="shared" si="5"/>
        <v>7.4999999999999997E-2</v>
      </c>
      <c r="J39" s="68">
        <f t="shared" si="5"/>
        <v>4.7999999999999996E-3</v>
      </c>
      <c r="K39" s="68">
        <f t="shared" si="5"/>
        <v>7.5000000000000006E-3</v>
      </c>
      <c r="L39" s="68">
        <f t="shared" si="5"/>
        <v>0.10394999999999999</v>
      </c>
      <c r="M39" s="68">
        <f t="shared" si="5"/>
        <v>8.8500000000000009E-2</v>
      </c>
      <c r="N39" s="68">
        <f t="shared" si="5"/>
        <v>0</v>
      </c>
      <c r="O39" s="68">
        <f t="shared" si="5"/>
        <v>0</v>
      </c>
      <c r="P39" s="68">
        <f t="shared" si="5"/>
        <v>55.05</v>
      </c>
      <c r="Q39" s="68">
        <f t="shared" si="10"/>
        <v>38.625</v>
      </c>
      <c r="R39" s="68">
        <f t="shared" si="11"/>
        <v>0</v>
      </c>
      <c r="S39" s="68">
        <f t="shared" si="11"/>
        <v>0</v>
      </c>
      <c r="T39" s="68">
        <f t="shared" si="11"/>
        <v>0</v>
      </c>
      <c r="U39" s="68">
        <f t="shared" si="11"/>
        <v>0</v>
      </c>
    </row>
    <row r="40" spans="1:21" s="51" customFormat="1" ht="13" x14ac:dyDescent="0.35">
      <c r="A40" s="10" t="str">
        <f>L8</f>
        <v>DJ4</v>
      </c>
      <c r="B40" s="12">
        <v>150</v>
      </c>
      <c r="C40" s="68">
        <f t="shared" si="6"/>
        <v>105.00000000000001</v>
      </c>
      <c r="D40" s="68">
        <f t="shared" si="7"/>
        <v>43.643549999999998</v>
      </c>
      <c r="E40" s="68">
        <f t="shared" si="8"/>
        <v>20.605500000000003</v>
      </c>
      <c r="F40" s="68">
        <f t="shared" si="9"/>
        <v>22.08456</v>
      </c>
      <c r="G40" s="68">
        <f t="shared" si="5"/>
        <v>0.20550000000000002</v>
      </c>
      <c r="H40" s="68">
        <f t="shared" si="5"/>
        <v>5.1449999999999996</v>
      </c>
      <c r="I40" s="68">
        <f t="shared" si="5"/>
        <v>7.4999999999999997E-2</v>
      </c>
      <c r="J40" s="68">
        <f t="shared" si="5"/>
        <v>4.7999999999999996E-3</v>
      </c>
      <c r="K40" s="68">
        <f t="shared" si="5"/>
        <v>7.5000000000000006E-3</v>
      </c>
      <c r="L40" s="68">
        <f t="shared" si="5"/>
        <v>0.10394999999999999</v>
      </c>
      <c r="M40" s="68">
        <f t="shared" si="5"/>
        <v>8.8500000000000009E-2</v>
      </c>
      <c r="N40" s="68">
        <f t="shared" si="5"/>
        <v>0</v>
      </c>
      <c r="O40" s="68">
        <f t="shared" si="5"/>
        <v>0</v>
      </c>
      <c r="P40" s="68">
        <f t="shared" si="5"/>
        <v>55.05</v>
      </c>
      <c r="Q40" s="68">
        <f t="shared" si="10"/>
        <v>38.625</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"&amp;(VLOOKUP(C14,Table245810[],6,FALSE))</f>
        <v>Sandy Loam I Grass</v>
      </c>
      <c r="C58" s="10" t="str">
        <f>D16&amp;" I "&amp;(VLOOKUP(D14,Table245810[],6,FALSE))</f>
        <v>Sandy Loam I Grass</v>
      </c>
      <c r="D58" s="10" t="str">
        <f>E16&amp;" I "&amp;(VLOOKUP(E14,Table245810[],6,FALSE))</f>
        <v>Sandy Loam I Grass</v>
      </c>
      <c r="E58" s="10" t="str">
        <f>F16&amp;" I "&amp;(VLOOKUP(F14,Table245810[],6,FALSE))</f>
        <v>Sandy Loam I Grass</v>
      </c>
      <c r="F58" s="10" t="str">
        <f>G16&amp;" I "&amp;(VLOOKUP(G14,Table245810[],6,FALSE))</f>
        <v>Sandy Loam I Grass</v>
      </c>
      <c r="G58" s="10" t="str">
        <f>H16&amp;" I "&amp;(VLOOKUP(H14,Table245810[],6,FALSE))</f>
        <v>Sandy Loam I Grass</v>
      </c>
      <c r="H58" s="10" t="str">
        <f>I16&amp;" I "&amp;(VLOOKUP(I14,Table245810[],6,FALSE))</f>
        <v>Sandy Loam I Grass</v>
      </c>
      <c r="I58" s="10" t="str">
        <f>J16&amp;" I "&amp;(VLOOKUP(J14,Table245810[],6,FALSE))</f>
        <v>Sandy Loam I Grass</v>
      </c>
      <c r="J58" s="10" t="str">
        <f>K16&amp;" I "&amp;(VLOOKUP(K14,Table245810[],6,FALSE))</f>
        <v>Sandy Loam I Grass</v>
      </c>
      <c r="K58" s="10" t="str">
        <f>L16&amp;" I "&amp;(VLOOKUP(L14,Table245810[],6,FALSE))</f>
        <v>Sandy Loam I Grass</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100" t="s">
        <v>132</v>
      </c>
      <c r="B59" s="67">
        <f>VLOOKUP(C$14,Table245810[],5,FALSE)</f>
        <v>6.2</v>
      </c>
      <c r="C59" s="67">
        <f>VLOOKUP(D$14,Table245810[],5,FALSE)</f>
        <v>6.2</v>
      </c>
      <c r="D59" s="67">
        <f>VLOOKUP(E$14,Table245810[],5,FALSE)</f>
        <v>6.2</v>
      </c>
      <c r="E59" s="67">
        <f>VLOOKUP(F$14,Table245810[],5,FALSE)</f>
        <v>6.2</v>
      </c>
      <c r="F59" s="67">
        <f>VLOOKUP(G$14,Table245810[],5,FALSE)</f>
        <v>6.2</v>
      </c>
      <c r="G59" s="67">
        <f>VLOOKUP(H$14,Table245810[],5,FALSE)</f>
        <v>6.2</v>
      </c>
      <c r="H59" s="67">
        <f>VLOOKUP(I$14,Table245810[],5,FALSE)</f>
        <v>6.2</v>
      </c>
      <c r="I59" s="67">
        <f>VLOOKUP(J$14,Table245810[],5,FALSE)</f>
        <v>6.2</v>
      </c>
      <c r="J59" s="67">
        <f>VLOOKUP(K$14,Table245810[],5,FALSE)</f>
        <v>6.2</v>
      </c>
      <c r="K59" s="67">
        <f>VLOOKUP(L$14,Table245810[],5,FALSE)</f>
        <v>6.2</v>
      </c>
      <c r="L59" s="67" t="e">
        <f>VLOOKUP(M$14,Table245810[],5,FALSE)</f>
        <v>#N/A</v>
      </c>
      <c r="M59" s="67" t="e">
        <f>VLOOKUP(N$14,Table245810[],5,FALSE)</f>
        <v>#N/A</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150</v>
      </c>
      <c r="C62" s="68">
        <f>B32</f>
        <v>150</v>
      </c>
      <c r="D62" s="68">
        <f>B33</f>
        <v>150</v>
      </c>
      <c r="E62" s="68">
        <f>B34</f>
        <v>150</v>
      </c>
      <c r="F62" s="68">
        <f>B35</f>
        <v>150</v>
      </c>
      <c r="G62" s="68">
        <f>B36</f>
        <v>150</v>
      </c>
      <c r="H62" s="68">
        <f>B37</f>
        <v>150</v>
      </c>
      <c r="I62" s="68">
        <f>B38</f>
        <v>150</v>
      </c>
      <c r="J62" s="68">
        <f>B39</f>
        <v>150</v>
      </c>
      <c r="K62" s="68">
        <f>B40</f>
        <v>150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10" zoomScale="90" zoomScaleNormal="90" workbookViewId="0">
      <selection activeCell="I33" sqref="I3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6.05</v>
      </c>
      <c r="J1" s="114" t="s">
        <v>153</v>
      </c>
      <c r="K1" s="114"/>
      <c r="L1" s="86">
        <v>2248</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165</v>
      </c>
      <c r="G2" s="112" t="s">
        <v>110</v>
      </c>
      <c r="H2" s="113"/>
      <c r="I2" s="86">
        <v>2689</v>
      </c>
      <c r="J2" s="114" t="s">
        <v>158</v>
      </c>
      <c r="K2" s="114"/>
      <c r="L2" s="86">
        <v>0.42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9460</v>
      </c>
      <c r="J3" s="110" t="s">
        <v>154</v>
      </c>
      <c r="K3" s="111"/>
      <c r="L3" s="86">
        <f>(L1/(L2*10000))*100</f>
        <v>53.523809523809533</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186</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55.327650000000006</v>
      </c>
      <c r="D18" s="13">
        <f>$D32</f>
        <v>55.327650000000006</v>
      </c>
      <c r="E18" s="13">
        <f>$D33</f>
        <v>55.327650000000006</v>
      </c>
      <c r="F18" s="13">
        <f>$D34</f>
        <v>55.327650000000006</v>
      </c>
      <c r="G18" s="13">
        <f>$D35</f>
        <v>55.327650000000006</v>
      </c>
      <c r="H18" s="13">
        <f>$D36</f>
        <v>55.327650000000006</v>
      </c>
      <c r="I18" s="13">
        <f>$D37</f>
        <v>55.327650000000006</v>
      </c>
      <c r="J18" s="13">
        <f>$D38</f>
        <v>55.327650000000006</v>
      </c>
      <c r="K18" s="13">
        <f>$D39</f>
        <v>55.327650000000006</v>
      </c>
      <c r="L18" s="13">
        <f>$D40</f>
        <v>55.327650000000006</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-9.2723499999999888</v>
      </c>
      <c r="D19" s="13">
        <f t="shared" ref="D19:V19" si="1">D18-D17</f>
        <v>-9.2723499999999888</v>
      </c>
      <c r="E19" s="13">
        <f t="shared" si="1"/>
        <v>-9.2723499999999888</v>
      </c>
      <c r="F19" s="13">
        <f t="shared" si="1"/>
        <v>-9.2723499999999888</v>
      </c>
      <c r="G19" s="13">
        <f t="shared" si="1"/>
        <v>-9.2723499999999888</v>
      </c>
      <c r="H19" s="13">
        <f t="shared" si="1"/>
        <v>-9.2723499999999888</v>
      </c>
      <c r="I19" s="13">
        <f t="shared" si="1"/>
        <v>-9.2723499999999888</v>
      </c>
      <c r="J19" s="13">
        <f t="shared" si="1"/>
        <v>-9.2723499999999888</v>
      </c>
      <c r="K19" s="13">
        <f t="shared" si="1"/>
        <v>-9.2723499999999888</v>
      </c>
      <c r="L19" s="13">
        <f t="shared" si="1"/>
        <v>-9.2723499999999888</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5.8201500000000008</v>
      </c>
      <c r="D22" s="13">
        <f>$E32</f>
        <v>5.8201500000000008</v>
      </c>
      <c r="E22" s="13">
        <f>$E33</f>
        <v>5.8201500000000008</v>
      </c>
      <c r="F22" s="13">
        <f>$E34</f>
        <v>5.8201500000000008</v>
      </c>
      <c r="G22" s="13">
        <f>$E35</f>
        <v>5.8201500000000008</v>
      </c>
      <c r="H22" s="13">
        <f>$E36</f>
        <v>5.8201500000000008</v>
      </c>
      <c r="I22" s="13">
        <f>$E37</f>
        <v>5.8201500000000008</v>
      </c>
      <c r="J22" s="13">
        <f>$E38</f>
        <v>5.8201500000000008</v>
      </c>
      <c r="K22" s="13">
        <f>$E39</f>
        <v>5.8201500000000008</v>
      </c>
      <c r="L22" s="13">
        <f>$E40</f>
        <v>5.8201500000000008</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-222.17984999999999</v>
      </c>
      <c r="D23" s="13">
        <f t="shared" ref="D23:V23" si="3">D22-D21</f>
        <v>-222.17984999999999</v>
      </c>
      <c r="E23" s="13">
        <f t="shared" si="3"/>
        <v>-222.17984999999999</v>
      </c>
      <c r="F23" s="13">
        <f t="shared" si="3"/>
        <v>-222.17984999999999</v>
      </c>
      <c r="G23" s="13">
        <f t="shared" si="3"/>
        <v>-222.17984999999999</v>
      </c>
      <c r="H23" s="13">
        <f t="shared" si="3"/>
        <v>-222.17984999999999</v>
      </c>
      <c r="I23" s="13">
        <f t="shared" si="3"/>
        <v>-222.17984999999999</v>
      </c>
      <c r="J23" s="13">
        <f t="shared" si="3"/>
        <v>-222.17984999999999</v>
      </c>
      <c r="K23" s="13">
        <f t="shared" si="3"/>
        <v>-222.17984999999999</v>
      </c>
      <c r="L23" s="13">
        <f t="shared" si="3"/>
        <v>-222.17984999999999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t="s">
        <v>54</v>
      </c>
      <c r="S27" s="96"/>
      <c r="T27" s="96"/>
      <c r="U27" s="96"/>
    </row>
    <row r="28" spans="1:40" x14ac:dyDescent="0.35">
      <c r="A28" s="97"/>
      <c r="B28" s="17">
        <v>7.78</v>
      </c>
      <c r="C28" s="12">
        <v>0.42</v>
      </c>
      <c r="D28" s="12">
        <v>690</v>
      </c>
      <c r="E28" s="12">
        <v>138</v>
      </c>
      <c r="F28" s="12">
        <v>74</v>
      </c>
      <c r="G28" s="12">
        <v>1.73</v>
      </c>
      <c r="H28" s="12">
        <v>15.7</v>
      </c>
      <c r="I28" s="12">
        <v>0.5</v>
      </c>
      <c r="J28" s="12">
        <v>0.01</v>
      </c>
      <c r="K28" s="16">
        <v>0.05</v>
      </c>
      <c r="L28" s="12">
        <v>0.39400000000000002</v>
      </c>
      <c r="M28" s="12">
        <v>0.73799999999999999</v>
      </c>
      <c r="N28" s="12"/>
      <c r="O28" s="12"/>
      <c r="P28" s="12">
        <v>414</v>
      </c>
      <c r="Q28" s="12">
        <v>290</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35</v>
      </c>
      <c r="C31" s="68">
        <f>IF(C$27="%w/w SAR",((C$28*10)*$B31),IF(C$27="%w/w DM",(((C$28*10)*($B$28/100))*$B31),IF(C$27="kg/t SAR",(C$28*$B31),IF(C$27="kg/t DM",((C$28*($B$28/100))*$B31),IF(C$27="mg/kg SAR",((C$28*0.001)*$B31),IF(C$27="mg/kg DM",(((C$28*0.001)*($B$28/100))*$B31),0))))))</f>
        <v>147</v>
      </c>
      <c r="D31" s="68">
        <f>(IF(D$27="%w/w SAR",((D$28*10)*$B31),IF(D$27="%w/w DM",(((D$28*10)*($B$28/100))*$B31),IF(D$27="kg/t SAR",(D$28*$B31),IF(D$27="kg/t DM",((D$28*($B$28/100))*$B31),IF(D$27="mg/kg SAR",((D$28*0.001)*$B31),IF(D$27="mg/kg DM",(((D$28*0.001)*($B$28/100))*$B31),"0")))))))*2.291</f>
        <v>55.327650000000006</v>
      </c>
      <c r="E31" s="68">
        <f>(IF(E$27="%w/w SAR",((E$28*10)*$B31),IF(E$27="%w/w DM",(((E$28*10)*($B$28/100))*$B31),IF(E$27="kg/t SAR",(E$28*$B31),IF(E$27="kg/t DM",((E$28*($B$28/100))*$B31),IF(E$27="mg/kg SAR",((E$28*0.001)*$B31),IF(E$27="mg/kg DM",(((E$28*0.001)*($B$28/100))*$B31),"0")))))))*1.205</f>
        <v>5.8201500000000008</v>
      </c>
      <c r="F31" s="68">
        <f>(IF(F$27="%w/w SAR",((F$28*10)*$B31),IF(F$27="%w/w DM",(((F$28*10)*($B$28/100))*$B31),IF(F$27="kg/t SAR",(F$28*$B31),IF(F$27="kg/t DM",((F$28*($B$28/100))*$B31),IF(F$27="mg/kg SAR",((F$28*0.001)*$B31),IF(F$27="mg/kg DM",(((F$28*0.001)*($B$28/100))*$B31),"0")))))))*1.658</f>
        <v>4.2942199999999993</v>
      </c>
      <c r="G31" s="68">
        <f t="shared" ref="G31:P46" si="5">IF(G$27="%w/w SAR",((G$28*10)*$B31),IF(G$27="%w/w DM",(((G$28*10)*($B$28/100))*$B31),IF(G$27="kg/t SAR",(G$28*$B31),IF(G$27="kg/t DM",((G$28*($B$28/100))*$B31),IF(G$27="mg/kg SAR",((G$28*0.001)*$B31),IF(G$27="mg/kg DM",(((G$28*0.001)*($B$28/100))*$B31),0))))))</f>
        <v>6.055E-2</v>
      </c>
      <c r="H31" s="68">
        <f t="shared" si="5"/>
        <v>0.54949999999999999</v>
      </c>
      <c r="I31" s="68">
        <f t="shared" si="5"/>
        <v>1.7500000000000002E-2</v>
      </c>
      <c r="J31" s="68">
        <f t="shared" si="5"/>
        <v>3.5000000000000005E-4</v>
      </c>
      <c r="K31" s="68">
        <f t="shared" si="5"/>
        <v>1.75E-3</v>
      </c>
      <c r="L31" s="68">
        <f t="shared" si="5"/>
        <v>1.3790000000000002E-2</v>
      </c>
      <c r="M31" s="68">
        <f t="shared" si="5"/>
        <v>2.5830000000000002E-2</v>
      </c>
      <c r="N31" s="68">
        <f t="shared" si="5"/>
        <v>0</v>
      </c>
      <c r="O31" s="68">
        <f t="shared" si="5"/>
        <v>0</v>
      </c>
      <c r="P31" s="68">
        <f t="shared" si="5"/>
        <v>14.490000000000002</v>
      </c>
      <c r="Q31" s="68">
        <f>(IF(Q$27="%w/w SAR",((Q$28*10)*$B31),IF(Q$27="%w/w DM",(((Q$28*10)*($B$28/100))*$B31),IF(Q$27="kg/t SAR",(Q$28*$B31),IF(Q$27="kg/t DM",((Q$28*($B$28/100))*$B31),IF(Q$27="mg/kg SAR",((Q$28*0.001)*$B31),IF(Q$27="mg/kg DM",(((Q$28*0.001)*($B$28/100))*$B31),0)))))))*2.5</f>
        <v>25.374999999999996</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35</v>
      </c>
      <c r="C32" s="68">
        <f t="shared" ref="C32:C50" si="6">IF(C$27="%w/w SAR",((C$28*10)*$B32),IF(C$27="%w/w DM",(((C$28*10)*($B$28/100))*$B32),IF(C$27="kg/t SAR",(C$28*$B32),IF(C$27="kg/t DM",((C$28*($B$28/100))*$B32),IF(C$27="mg/kg SAR",((C$28*0.001)*$B32),IF(C$27="mg/kg DM",(((C$28*0.001)*($B$28/100))*$B32),0))))))</f>
        <v>147</v>
      </c>
      <c r="D32" s="68">
        <f t="shared" ref="D32:D50" si="7">(IF(D$27="%w/w SAR",((D$28*10)*$B32),IF(D$27="%w/w DM",(((D$28*10)*($B$28/100))*$B32),IF(D$27="kg/t SAR",(D$28*$B32),IF(D$27="kg/t DM",((D$28*($B$28/100))*$B32),IF(D$27="mg/kg SAR",((D$28*0.001)*$B32),IF(D$27="mg/kg DM",(((D$28*0.001)*($B$28/100))*$B32),"0")))))))*2.291</f>
        <v>55.327650000000006</v>
      </c>
      <c r="E32" s="68">
        <f t="shared" ref="E32:E50" si="8">(IF(E$27="%w/w SAR",((E$28*10)*$B32),IF(E$27="%w/w DM",(((E$28*10)*($B$28/100))*$B32),IF(E$27="kg/t SAR",(E$28*$B32),IF(E$27="kg/t DM",((E$28*($B$28/100))*$B32),IF(E$27="mg/kg SAR",((E$28*0.001)*$B32),IF(E$27="mg/kg DM",(((E$28*0.001)*($B$28/100))*$B32),"0")))))))*1.205</f>
        <v>5.8201500000000008</v>
      </c>
      <c r="F32" s="68">
        <f t="shared" ref="F32:F50" si="9">(IF(F$27="%w/w SAR",((F$28*10)*$B32),IF(F$27="%w/w DM",(((F$28*10)*($B$28/100))*$B32),IF(F$27="kg/t SAR",(F$28*$B32),IF(F$27="kg/t DM",((F$28*($B$28/100))*$B32),IF(F$27="mg/kg SAR",((F$28*0.001)*$B32),IF(F$27="mg/kg DM",(((F$28*0.001)*($B$28/100))*$B32),"0")))))))*1.658</f>
        <v>4.2942199999999993</v>
      </c>
      <c r="G32" s="68">
        <f t="shared" si="5"/>
        <v>6.055E-2</v>
      </c>
      <c r="H32" s="68">
        <f t="shared" si="5"/>
        <v>0.54949999999999999</v>
      </c>
      <c r="I32" s="68">
        <f t="shared" si="5"/>
        <v>1.7500000000000002E-2</v>
      </c>
      <c r="J32" s="68">
        <f t="shared" si="5"/>
        <v>3.5000000000000005E-4</v>
      </c>
      <c r="K32" s="68">
        <f t="shared" si="5"/>
        <v>1.75E-3</v>
      </c>
      <c r="L32" s="68">
        <f t="shared" si="5"/>
        <v>1.3790000000000002E-2</v>
      </c>
      <c r="M32" s="68">
        <f t="shared" si="5"/>
        <v>2.5830000000000002E-2</v>
      </c>
      <c r="N32" s="68">
        <f t="shared" si="5"/>
        <v>0</v>
      </c>
      <c r="O32" s="68">
        <f t="shared" si="5"/>
        <v>0</v>
      </c>
      <c r="P32" s="68">
        <f t="shared" si="5"/>
        <v>14.490000000000002</v>
      </c>
      <c r="Q32" s="68">
        <f t="shared" ref="Q32:Q50" si="10">(IF(Q$27="%w/w SAR",((Q$28*10)*$B32),IF(Q$27="%w/w DM",(((Q$28*10)*($B$28/100))*$B32),IF(Q$27="kg/t SAR",(Q$28*$B32),IF(Q$27="kg/t DM",((Q$28*($B$28/100))*$B32),IF(Q$27="mg/kg SAR",((Q$28*0.001)*$B32),IF(Q$27="mg/kg DM",(((Q$28*0.001)*($B$28/100))*$B32),0)))))))*2.5</f>
        <v>25.374999999999996</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35</v>
      </c>
      <c r="C33" s="68">
        <f t="shared" si="6"/>
        <v>147</v>
      </c>
      <c r="D33" s="68">
        <f t="shared" si="7"/>
        <v>55.327650000000006</v>
      </c>
      <c r="E33" s="68">
        <f t="shared" si="8"/>
        <v>5.8201500000000008</v>
      </c>
      <c r="F33" s="68">
        <f t="shared" si="9"/>
        <v>4.2942199999999993</v>
      </c>
      <c r="G33" s="68">
        <f t="shared" si="5"/>
        <v>6.055E-2</v>
      </c>
      <c r="H33" s="68">
        <f t="shared" si="5"/>
        <v>0.54949999999999999</v>
      </c>
      <c r="I33" s="68">
        <f t="shared" si="5"/>
        <v>1.7500000000000002E-2</v>
      </c>
      <c r="J33" s="68">
        <f t="shared" si="5"/>
        <v>3.5000000000000005E-4</v>
      </c>
      <c r="K33" s="68">
        <f t="shared" si="5"/>
        <v>1.75E-3</v>
      </c>
      <c r="L33" s="68">
        <f t="shared" si="5"/>
        <v>1.3790000000000002E-2</v>
      </c>
      <c r="M33" s="68">
        <f t="shared" si="5"/>
        <v>2.5830000000000002E-2</v>
      </c>
      <c r="N33" s="68">
        <f t="shared" si="5"/>
        <v>0</v>
      </c>
      <c r="O33" s="68">
        <f t="shared" si="5"/>
        <v>0</v>
      </c>
      <c r="P33" s="68">
        <f t="shared" si="5"/>
        <v>14.490000000000002</v>
      </c>
      <c r="Q33" s="68">
        <f t="shared" si="10"/>
        <v>25.374999999999996</v>
      </c>
      <c r="R33" s="68">
        <f t="shared" si="11"/>
        <v>0</v>
      </c>
      <c r="S33" s="68">
        <f t="shared" si="11"/>
        <v>0</v>
      </c>
      <c r="T33" s="68">
        <f t="shared" si="11"/>
        <v>0</v>
      </c>
      <c r="U33" s="68">
        <f t="shared" si="11"/>
        <v>0</v>
      </c>
    </row>
    <row r="34" spans="1:21" s="51" customFormat="1" ht="13" x14ac:dyDescent="0.35">
      <c r="A34" s="10" t="str">
        <f>F8</f>
        <v>BW4</v>
      </c>
      <c r="B34" s="12">
        <v>35</v>
      </c>
      <c r="C34" s="68">
        <f t="shared" si="6"/>
        <v>147</v>
      </c>
      <c r="D34" s="68">
        <f t="shared" si="7"/>
        <v>55.327650000000006</v>
      </c>
      <c r="E34" s="68">
        <f t="shared" si="8"/>
        <v>5.8201500000000008</v>
      </c>
      <c r="F34" s="68">
        <f t="shared" si="9"/>
        <v>4.2942199999999993</v>
      </c>
      <c r="G34" s="68">
        <f t="shared" si="5"/>
        <v>6.055E-2</v>
      </c>
      <c r="H34" s="68">
        <f t="shared" si="5"/>
        <v>0.54949999999999999</v>
      </c>
      <c r="I34" s="68">
        <f t="shared" si="5"/>
        <v>1.7500000000000002E-2</v>
      </c>
      <c r="J34" s="68">
        <f t="shared" si="5"/>
        <v>3.5000000000000005E-4</v>
      </c>
      <c r="K34" s="68">
        <f t="shared" si="5"/>
        <v>1.75E-3</v>
      </c>
      <c r="L34" s="68">
        <f t="shared" si="5"/>
        <v>1.3790000000000002E-2</v>
      </c>
      <c r="M34" s="68">
        <f t="shared" si="5"/>
        <v>2.5830000000000002E-2</v>
      </c>
      <c r="N34" s="68">
        <f t="shared" si="5"/>
        <v>0</v>
      </c>
      <c r="O34" s="68">
        <f t="shared" si="5"/>
        <v>0</v>
      </c>
      <c r="P34" s="68">
        <f t="shared" si="5"/>
        <v>14.490000000000002</v>
      </c>
      <c r="Q34" s="68">
        <f t="shared" si="10"/>
        <v>25.374999999999996</v>
      </c>
      <c r="R34" s="68">
        <f t="shared" si="11"/>
        <v>0</v>
      </c>
      <c r="S34" s="68">
        <f t="shared" si="11"/>
        <v>0</v>
      </c>
      <c r="T34" s="68">
        <f t="shared" si="11"/>
        <v>0</v>
      </c>
      <c r="U34" s="68">
        <f t="shared" si="11"/>
        <v>0</v>
      </c>
    </row>
    <row r="35" spans="1:21" s="51" customFormat="1" ht="13" x14ac:dyDescent="0.35">
      <c r="A35" s="10" t="str">
        <f>G8</f>
        <v>BW6</v>
      </c>
      <c r="B35" s="12">
        <v>35</v>
      </c>
      <c r="C35" s="68">
        <f t="shared" si="6"/>
        <v>147</v>
      </c>
      <c r="D35" s="68">
        <f t="shared" si="7"/>
        <v>55.327650000000006</v>
      </c>
      <c r="E35" s="68">
        <f t="shared" si="8"/>
        <v>5.8201500000000008</v>
      </c>
      <c r="F35" s="68">
        <f t="shared" si="9"/>
        <v>4.2942199999999993</v>
      </c>
      <c r="G35" s="68">
        <f t="shared" si="5"/>
        <v>6.055E-2</v>
      </c>
      <c r="H35" s="68">
        <f t="shared" si="5"/>
        <v>0.54949999999999999</v>
      </c>
      <c r="I35" s="68">
        <f t="shared" si="5"/>
        <v>1.7500000000000002E-2</v>
      </c>
      <c r="J35" s="68">
        <f t="shared" si="5"/>
        <v>3.5000000000000005E-4</v>
      </c>
      <c r="K35" s="68">
        <f t="shared" si="5"/>
        <v>1.75E-3</v>
      </c>
      <c r="L35" s="68">
        <f t="shared" si="5"/>
        <v>1.3790000000000002E-2</v>
      </c>
      <c r="M35" s="68">
        <f t="shared" si="5"/>
        <v>2.5830000000000002E-2</v>
      </c>
      <c r="N35" s="68">
        <f t="shared" si="5"/>
        <v>0</v>
      </c>
      <c r="O35" s="68">
        <f t="shared" si="5"/>
        <v>0</v>
      </c>
      <c r="P35" s="68">
        <f t="shared" si="5"/>
        <v>14.490000000000002</v>
      </c>
      <c r="Q35" s="68">
        <f t="shared" si="10"/>
        <v>25.374999999999996</v>
      </c>
      <c r="R35" s="68">
        <f t="shared" si="11"/>
        <v>0</v>
      </c>
      <c r="S35" s="68">
        <f t="shared" si="11"/>
        <v>0</v>
      </c>
      <c r="T35" s="68">
        <f t="shared" si="11"/>
        <v>0</v>
      </c>
      <c r="U35" s="68">
        <f t="shared" si="11"/>
        <v>0</v>
      </c>
    </row>
    <row r="36" spans="1:21" s="51" customFormat="1" ht="13" x14ac:dyDescent="0.35">
      <c r="A36" s="10" t="str">
        <f>H8</f>
        <v>BW7</v>
      </c>
      <c r="B36" s="12">
        <v>35</v>
      </c>
      <c r="C36" s="68">
        <f t="shared" si="6"/>
        <v>147</v>
      </c>
      <c r="D36" s="68">
        <f t="shared" si="7"/>
        <v>55.327650000000006</v>
      </c>
      <c r="E36" s="68">
        <f t="shared" si="8"/>
        <v>5.8201500000000008</v>
      </c>
      <c r="F36" s="68">
        <f t="shared" si="9"/>
        <v>4.2942199999999993</v>
      </c>
      <c r="G36" s="68">
        <f t="shared" si="5"/>
        <v>6.055E-2</v>
      </c>
      <c r="H36" s="68">
        <f t="shared" si="5"/>
        <v>0.54949999999999999</v>
      </c>
      <c r="I36" s="68">
        <f t="shared" si="5"/>
        <v>1.7500000000000002E-2</v>
      </c>
      <c r="J36" s="68">
        <f t="shared" si="5"/>
        <v>3.5000000000000005E-4</v>
      </c>
      <c r="K36" s="68">
        <f t="shared" si="5"/>
        <v>1.75E-3</v>
      </c>
      <c r="L36" s="68">
        <f t="shared" si="5"/>
        <v>1.3790000000000002E-2</v>
      </c>
      <c r="M36" s="68">
        <f t="shared" si="5"/>
        <v>2.5830000000000002E-2</v>
      </c>
      <c r="N36" s="68">
        <f t="shared" si="5"/>
        <v>0</v>
      </c>
      <c r="O36" s="68">
        <f t="shared" si="5"/>
        <v>0</v>
      </c>
      <c r="P36" s="68">
        <f t="shared" si="5"/>
        <v>14.490000000000002</v>
      </c>
      <c r="Q36" s="68">
        <f t="shared" si="10"/>
        <v>25.374999999999996</v>
      </c>
      <c r="R36" s="68">
        <f t="shared" si="11"/>
        <v>0</v>
      </c>
      <c r="S36" s="68">
        <f t="shared" si="11"/>
        <v>0</v>
      </c>
      <c r="T36" s="68">
        <f t="shared" si="11"/>
        <v>0</v>
      </c>
      <c r="U36" s="68">
        <f t="shared" si="11"/>
        <v>0</v>
      </c>
    </row>
    <row r="37" spans="1:21" s="51" customFormat="1" ht="13" x14ac:dyDescent="0.35">
      <c r="A37" s="10" t="str">
        <f>I8</f>
        <v>DJ1</v>
      </c>
      <c r="B37" s="12">
        <v>35</v>
      </c>
      <c r="C37" s="68">
        <f t="shared" si="6"/>
        <v>147</v>
      </c>
      <c r="D37" s="68">
        <f t="shared" si="7"/>
        <v>55.327650000000006</v>
      </c>
      <c r="E37" s="68">
        <f t="shared" si="8"/>
        <v>5.8201500000000008</v>
      </c>
      <c r="F37" s="68">
        <f t="shared" si="9"/>
        <v>4.2942199999999993</v>
      </c>
      <c r="G37" s="68">
        <f t="shared" si="5"/>
        <v>6.055E-2</v>
      </c>
      <c r="H37" s="68">
        <f t="shared" si="5"/>
        <v>0.54949999999999999</v>
      </c>
      <c r="I37" s="68">
        <f t="shared" si="5"/>
        <v>1.7500000000000002E-2</v>
      </c>
      <c r="J37" s="68">
        <f t="shared" si="5"/>
        <v>3.5000000000000005E-4</v>
      </c>
      <c r="K37" s="68">
        <f t="shared" si="5"/>
        <v>1.75E-3</v>
      </c>
      <c r="L37" s="68">
        <f t="shared" si="5"/>
        <v>1.3790000000000002E-2</v>
      </c>
      <c r="M37" s="68">
        <f t="shared" si="5"/>
        <v>2.5830000000000002E-2</v>
      </c>
      <c r="N37" s="68">
        <f t="shared" si="5"/>
        <v>0</v>
      </c>
      <c r="O37" s="68">
        <f t="shared" si="5"/>
        <v>0</v>
      </c>
      <c r="P37" s="68">
        <f t="shared" si="5"/>
        <v>14.490000000000002</v>
      </c>
      <c r="Q37" s="68">
        <f t="shared" si="10"/>
        <v>25.374999999999996</v>
      </c>
      <c r="R37" s="68">
        <f t="shared" si="11"/>
        <v>0</v>
      </c>
      <c r="S37" s="68">
        <f t="shared" si="11"/>
        <v>0</v>
      </c>
      <c r="T37" s="68">
        <f t="shared" si="11"/>
        <v>0</v>
      </c>
      <c r="U37" s="68">
        <f t="shared" si="11"/>
        <v>0</v>
      </c>
    </row>
    <row r="38" spans="1:21" s="51" customFormat="1" ht="13" x14ac:dyDescent="0.35">
      <c r="A38" s="10" t="str">
        <f>J8</f>
        <v>DJ2</v>
      </c>
      <c r="B38" s="12">
        <v>35</v>
      </c>
      <c r="C38" s="68">
        <f t="shared" si="6"/>
        <v>147</v>
      </c>
      <c r="D38" s="68">
        <f t="shared" si="7"/>
        <v>55.327650000000006</v>
      </c>
      <c r="E38" s="68">
        <f t="shared" si="8"/>
        <v>5.8201500000000008</v>
      </c>
      <c r="F38" s="68">
        <f t="shared" si="9"/>
        <v>4.2942199999999993</v>
      </c>
      <c r="G38" s="68">
        <f t="shared" si="5"/>
        <v>6.055E-2</v>
      </c>
      <c r="H38" s="68">
        <f t="shared" si="5"/>
        <v>0.54949999999999999</v>
      </c>
      <c r="I38" s="68">
        <f t="shared" si="5"/>
        <v>1.7500000000000002E-2</v>
      </c>
      <c r="J38" s="68">
        <f t="shared" si="5"/>
        <v>3.5000000000000005E-4</v>
      </c>
      <c r="K38" s="68">
        <f t="shared" si="5"/>
        <v>1.75E-3</v>
      </c>
      <c r="L38" s="68">
        <f t="shared" si="5"/>
        <v>1.3790000000000002E-2</v>
      </c>
      <c r="M38" s="68">
        <f t="shared" si="5"/>
        <v>2.5830000000000002E-2</v>
      </c>
      <c r="N38" s="68">
        <f t="shared" si="5"/>
        <v>0</v>
      </c>
      <c r="O38" s="68">
        <f t="shared" si="5"/>
        <v>0</v>
      </c>
      <c r="P38" s="68">
        <f t="shared" si="5"/>
        <v>14.490000000000002</v>
      </c>
      <c r="Q38" s="68">
        <f t="shared" si="10"/>
        <v>25.374999999999996</v>
      </c>
      <c r="R38" s="68">
        <f t="shared" si="11"/>
        <v>0</v>
      </c>
      <c r="S38" s="68">
        <f t="shared" si="11"/>
        <v>0</v>
      </c>
      <c r="T38" s="68">
        <f t="shared" si="11"/>
        <v>0</v>
      </c>
      <c r="U38" s="68">
        <f t="shared" si="11"/>
        <v>0</v>
      </c>
    </row>
    <row r="39" spans="1:21" s="51" customFormat="1" ht="13" x14ac:dyDescent="0.35">
      <c r="A39" s="10" t="str">
        <f>K8</f>
        <v>DJ3</v>
      </c>
      <c r="B39" s="12">
        <v>35</v>
      </c>
      <c r="C39" s="68">
        <f t="shared" si="6"/>
        <v>147</v>
      </c>
      <c r="D39" s="68">
        <f t="shared" si="7"/>
        <v>55.327650000000006</v>
      </c>
      <c r="E39" s="68">
        <f t="shared" si="8"/>
        <v>5.8201500000000008</v>
      </c>
      <c r="F39" s="68">
        <f t="shared" si="9"/>
        <v>4.2942199999999993</v>
      </c>
      <c r="G39" s="68">
        <f t="shared" si="5"/>
        <v>6.055E-2</v>
      </c>
      <c r="H39" s="68">
        <f t="shared" si="5"/>
        <v>0.54949999999999999</v>
      </c>
      <c r="I39" s="68">
        <f t="shared" si="5"/>
        <v>1.7500000000000002E-2</v>
      </c>
      <c r="J39" s="68">
        <f t="shared" si="5"/>
        <v>3.5000000000000005E-4</v>
      </c>
      <c r="K39" s="68">
        <f t="shared" si="5"/>
        <v>1.75E-3</v>
      </c>
      <c r="L39" s="68">
        <f t="shared" si="5"/>
        <v>1.3790000000000002E-2</v>
      </c>
      <c r="M39" s="68">
        <f t="shared" si="5"/>
        <v>2.5830000000000002E-2</v>
      </c>
      <c r="N39" s="68">
        <f t="shared" si="5"/>
        <v>0</v>
      </c>
      <c r="O39" s="68">
        <f t="shared" si="5"/>
        <v>0</v>
      </c>
      <c r="P39" s="68">
        <f t="shared" si="5"/>
        <v>14.490000000000002</v>
      </c>
      <c r="Q39" s="68">
        <f t="shared" si="10"/>
        <v>25.374999999999996</v>
      </c>
      <c r="R39" s="68">
        <f t="shared" si="11"/>
        <v>0</v>
      </c>
      <c r="S39" s="68">
        <f t="shared" si="11"/>
        <v>0</v>
      </c>
      <c r="T39" s="68">
        <f t="shared" si="11"/>
        <v>0</v>
      </c>
      <c r="U39" s="68">
        <f t="shared" si="11"/>
        <v>0</v>
      </c>
    </row>
    <row r="40" spans="1:21" s="51" customFormat="1" ht="13" x14ac:dyDescent="0.35">
      <c r="A40" s="10" t="str">
        <f>L8</f>
        <v>DJ4</v>
      </c>
      <c r="B40" s="12">
        <v>35</v>
      </c>
      <c r="C40" s="68">
        <f t="shared" si="6"/>
        <v>147</v>
      </c>
      <c r="D40" s="68">
        <f t="shared" si="7"/>
        <v>55.327650000000006</v>
      </c>
      <c r="E40" s="68">
        <f t="shared" si="8"/>
        <v>5.8201500000000008</v>
      </c>
      <c r="F40" s="68">
        <f t="shared" si="9"/>
        <v>4.2942199999999993</v>
      </c>
      <c r="G40" s="68">
        <f t="shared" si="5"/>
        <v>6.055E-2</v>
      </c>
      <c r="H40" s="68">
        <f t="shared" si="5"/>
        <v>0.54949999999999999</v>
      </c>
      <c r="I40" s="68">
        <f t="shared" si="5"/>
        <v>1.7500000000000002E-2</v>
      </c>
      <c r="J40" s="68">
        <f t="shared" si="5"/>
        <v>3.5000000000000005E-4</v>
      </c>
      <c r="K40" s="68">
        <f t="shared" si="5"/>
        <v>1.75E-3</v>
      </c>
      <c r="L40" s="68">
        <f t="shared" si="5"/>
        <v>1.3790000000000002E-2</v>
      </c>
      <c r="M40" s="68">
        <f t="shared" si="5"/>
        <v>2.5830000000000002E-2</v>
      </c>
      <c r="N40" s="68">
        <f t="shared" si="5"/>
        <v>0</v>
      </c>
      <c r="O40" s="68">
        <f t="shared" si="5"/>
        <v>0</v>
      </c>
      <c r="P40" s="68">
        <f t="shared" si="5"/>
        <v>14.490000000000002</v>
      </c>
      <c r="Q40" s="68">
        <f t="shared" si="10"/>
        <v>25.374999999999996</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"&amp;(VLOOKUP(C14,Table2458[],6,FALSE))</f>
        <v>Sandy Loam I Grass</v>
      </c>
      <c r="C58" s="10" t="str">
        <f>D16&amp;" I "&amp;(VLOOKUP(D14,Table2458[],6,FALSE))</f>
        <v>Sandy Loam I Grass</v>
      </c>
      <c r="D58" s="10" t="str">
        <f>E16&amp;" I "&amp;(VLOOKUP(E14,Table2458[],6,FALSE))</f>
        <v>Sandy Loam I Grass</v>
      </c>
      <c r="E58" s="10" t="str">
        <f>F16&amp;" I "&amp;(VLOOKUP(F14,Table2458[],6,FALSE))</f>
        <v>Sandy Loam I Grass</v>
      </c>
      <c r="F58" s="10" t="str">
        <f>G16&amp;" I "&amp;(VLOOKUP(G14,Table2458[],6,FALSE))</f>
        <v>Sandy Loam I Grass</v>
      </c>
      <c r="G58" s="10" t="str">
        <f>H16&amp;" I "&amp;(VLOOKUP(H14,Table2458[],6,FALSE))</f>
        <v>Sandy Loam I Grass</v>
      </c>
      <c r="H58" s="10" t="str">
        <f>I16&amp;" I "&amp;(VLOOKUP(I14,Table2458[],6,FALSE))</f>
        <v>Sandy Loam I Grass</v>
      </c>
      <c r="I58" s="10" t="str">
        <f>J16&amp;" I "&amp;(VLOOKUP(J14,Table2458[],6,FALSE))</f>
        <v>Sandy Loam I Grass</v>
      </c>
      <c r="J58" s="10" t="str">
        <f>K16&amp;" I "&amp;(VLOOKUP(K14,Table2458[],6,FALSE))</f>
        <v>Sandy Loam I Grass</v>
      </c>
      <c r="K58" s="10" t="str">
        <f>L16&amp;" I "&amp;(VLOOKUP(L14,Table2458[],6,FALSE))</f>
        <v>Sandy Loam I Grass</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100" t="s">
        <v>132</v>
      </c>
      <c r="B59" s="67">
        <f>VLOOKUP(C$14,Table2458[],5,FALSE)</f>
        <v>6.2</v>
      </c>
      <c r="C59" s="67">
        <f>VLOOKUP(D$14,Table2458[],5,FALSE)</f>
        <v>6.2</v>
      </c>
      <c r="D59" s="67">
        <f>VLOOKUP(E$14,Table2458[],5,FALSE)</f>
        <v>6.2</v>
      </c>
      <c r="E59" s="67">
        <f>VLOOKUP(F$14,Table2458[],5,FALSE)</f>
        <v>6.2</v>
      </c>
      <c r="F59" s="67">
        <f>VLOOKUP(G$14,Table2458[],5,FALSE)</f>
        <v>6.2</v>
      </c>
      <c r="G59" s="67">
        <f>VLOOKUP(H$14,Table2458[],5,FALSE)</f>
        <v>6.2</v>
      </c>
      <c r="H59" s="67">
        <f>VLOOKUP(I$14,Table2458[],5,FALSE)</f>
        <v>6.2</v>
      </c>
      <c r="I59" s="67">
        <f>VLOOKUP(J$14,Table2458[],5,FALSE)</f>
        <v>6.2</v>
      </c>
      <c r="J59" s="67">
        <f>VLOOKUP(K$14,Table2458[],5,FALSE)</f>
        <v>6.2</v>
      </c>
      <c r="K59" s="67">
        <f>VLOOKUP(L$14,Table2458[],5,FALSE)</f>
        <v>6.2</v>
      </c>
      <c r="L59" s="67" t="e">
        <f>VLOOKUP(M$14,Table2458[],5,FALSE)</f>
        <v>#N/A</v>
      </c>
      <c r="M59" s="67" t="e">
        <f>VLOOKUP(N$14,Table2458[],5,FALSE)</f>
        <v>#N/A</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35</v>
      </c>
      <c r="C62" s="68">
        <f>B32</f>
        <v>35</v>
      </c>
      <c r="D62" s="68">
        <f>B33</f>
        <v>35</v>
      </c>
      <c r="E62" s="68">
        <f>B34</f>
        <v>35</v>
      </c>
      <c r="F62" s="68">
        <f>B35</f>
        <v>35</v>
      </c>
      <c r="G62" s="68">
        <f>B36</f>
        <v>35</v>
      </c>
      <c r="H62" s="68">
        <f>B37</f>
        <v>35</v>
      </c>
      <c r="I62" s="68">
        <f>B38</f>
        <v>35</v>
      </c>
      <c r="J62" s="68">
        <f>B39</f>
        <v>35</v>
      </c>
      <c r="K62" s="68">
        <f>B40</f>
        <v>35</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H16" zoomScale="90" zoomScaleNormal="90" workbookViewId="0">
      <selection activeCell="H32" sqref="H3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5.03</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187</v>
      </c>
      <c r="G2" s="112" t="s">
        <v>110</v>
      </c>
      <c r="H2" s="113"/>
      <c r="I2" s="86">
        <v>413</v>
      </c>
      <c r="J2" s="114" t="s">
        <v>158</v>
      </c>
      <c r="K2" s="114"/>
      <c r="L2" s="86">
        <v>0.12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15600</v>
      </c>
      <c r="J3" s="110" t="s">
        <v>154</v>
      </c>
      <c r="K3" s="111"/>
      <c r="L3" s="86">
        <f>(L1/(L2*10000))*100</f>
        <v>2.083333333333333</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190</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58.283039999999993</v>
      </c>
      <c r="D18" s="13">
        <f>$D32</f>
        <v>58.283039999999993</v>
      </c>
      <c r="E18" s="13">
        <f>$D33</f>
        <v>58.283039999999993</v>
      </c>
      <c r="F18" s="13">
        <f>$D34</f>
        <v>58.283039999999993</v>
      </c>
      <c r="G18" s="13">
        <f>$D35</f>
        <v>58.283039999999993</v>
      </c>
      <c r="H18" s="13">
        <f>$D36</f>
        <v>58.283039999999993</v>
      </c>
      <c r="I18" s="13">
        <f>$D37</f>
        <v>58.283039999999993</v>
      </c>
      <c r="J18" s="13">
        <f>$D38</f>
        <v>58.283039999999993</v>
      </c>
      <c r="K18" s="13">
        <f>$D39</f>
        <v>58.283039999999993</v>
      </c>
      <c r="L18" s="13">
        <f>$D40</f>
        <v>58.283039999999993</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-6.3169600000000017</v>
      </c>
      <c r="D19" s="13">
        <f t="shared" ref="D19:V19" si="1">D18-D17</f>
        <v>-6.3169600000000017</v>
      </c>
      <c r="E19" s="13">
        <f t="shared" si="1"/>
        <v>-6.3169600000000017</v>
      </c>
      <c r="F19" s="13">
        <f t="shared" si="1"/>
        <v>-6.3169600000000017</v>
      </c>
      <c r="G19" s="13">
        <f t="shared" si="1"/>
        <v>-6.3169600000000017</v>
      </c>
      <c r="H19" s="13">
        <f t="shared" si="1"/>
        <v>-6.3169600000000017</v>
      </c>
      <c r="I19" s="13">
        <f t="shared" si="1"/>
        <v>-6.3169600000000017</v>
      </c>
      <c r="J19" s="13">
        <f t="shared" si="1"/>
        <v>-6.3169600000000017</v>
      </c>
      <c r="K19" s="13">
        <f t="shared" si="1"/>
        <v>-6.3169600000000017</v>
      </c>
      <c r="L19" s="13">
        <f t="shared" si="1"/>
        <v>-6.3169600000000017</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4.6995000000000005</v>
      </c>
      <c r="D22" s="13">
        <f>$E32</f>
        <v>4.6995000000000005</v>
      </c>
      <c r="E22" s="13">
        <f>$E33</f>
        <v>4.6995000000000005</v>
      </c>
      <c r="F22" s="13">
        <f>$E34</f>
        <v>4.6995000000000005</v>
      </c>
      <c r="G22" s="13">
        <f>$E35</f>
        <v>4.6995000000000005</v>
      </c>
      <c r="H22" s="13">
        <f>$E36</f>
        <v>4.6995000000000005</v>
      </c>
      <c r="I22" s="13">
        <f>$E37</f>
        <v>4.6995000000000005</v>
      </c>
      <c r="J22" s="13">
        <f>$E38</f>
        <v>4.6995000000000005</v>
      </c>
      <c r="K22" s="13">
        <f>$E39</f>
        <v>4.6995000000000005</v>
      </c>
      <c r="L22" s="13">
        <f>$E40</f>
        <v>4.6995000000000005</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-223.3005</v>
      </c>
      <c r="D23" s="13">
        <f t="shared" ref="D23:V23" si="3">D22-D21</f>
        <v>-223.3005</v>
      </c>
      <c r="E23" s="13">
        <f t="shared" si="3"/>
        <v>-223.3005</v>
      </c>
      <c r="F23" s="13">
        <f t="shared" si="3"/>
        <v>-223.3005</v>
      </c>
      <c r="G23" s="13">
        <f t="shared" si="3"/>
        <v>-223.3005</v>
      </c>
      <c r="H23" s="13">
        <f t="shared" si="3"/>
        <v>-223.3005</v>
      </c>
      <c r="I23" s="13">
        <f t="shared" si="3"/>
        <v>-223.3005</v>
      </c>
      <c r="J23" s="13">
        <f t="shared" si="3"/>
        <v>-223.3005</v>
      </c>
      <c r="K23" s="13">
        <f t="shared" si="3"/>
        <v>-223.3005</v>
      </c>
      <c r="L23" s="13">
        <f t="shared" si="3"/>
        <v>-223.3005</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5.91</v>
      </c>
      <c r="C28" s="12">
        <v>0.12</v>
      </c>
      <c r="D28" s="12">
        <v>212</v>
      </c>
      <c r="E28" s="12">
        <v>32.5</v>
      </c>
      <c r="F28" s="12">
        <v>29.7</v>
      </c>
      <c r="G28" s="12">
        <v>0.82599999999999996</v>
      </c>
      <c r="H28" s="12">
        <v>1.57</v>
      </c>
      <c r="I28" s="12">
        <v>0.5</v>
      </c>
      <c r="J28" s="12">
        <v>0.01</v>
      </c>
      <c r="K28" s="16">
        <v>0.05</v>
      </c>
      <c r="L28" s="12">
        <v>0.2</v>
      </c>
      <c r="M28" s="12">
        <v>0.371</v>
      </c>
      <c r="N28" s="12"/>
      <c r="O28" s="12"/>
      <c r="P28" s="12">
        <v>427</v>
      </c>
      <c r="Q28" s="12">
        <v>323</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120</v>
      </c>
      <c r="C31" s="68">
        <f>IF(C$27="%w/w SAR",((C$28*10)*$B31),IF(C$27="%w/w DM",(((C$28*10)*($B$28/100))*$B31),IF(C$27="kg/t SAR",(C$28*$B31),IF(C$27="kg/t DM",((C$28*($B$28/100))*$B31),IF(C$27="mg/kg SAR",((C$28*0.001)*$B31),IF(C$27="mg/kg DM",(((C$28*0.001)*($B$28/100))*$B31),0))))))</f>
        <v>144</v>
      </c>
      <c r="D31" s="68">
        <f>(IF(D$27="%w/w SAR",((D$28*10)*$B31),IF(D$27="%w/w DM",(((D$28*10)*($B$28/100))*$B31),IF(D$27="kg/t SAR",(D$28*$B31),IF(D$27="kg/t DM",((D$28*($B$28/100))*$B31),IF(D$27="mg/kg SAR",((D$28*0.001)*$B31),IF(D$27="mg/kg DM",(((D$28*0.001)*($B$28/100))*$B31),"0")))))))*2.291</f>
        <v>58.283039999999993</v>
      </c>
      <c r="E31" s="68">
        <f>(IF(E$27="%w/w SAR",((E$28*10)*$B31),IF(E$27="%w/w DM",(((E$28*10)*($B$28/100))*$B31),IF(E$27="kg/t SAR",(E$28*$B31),IF(E$27="kg/t DM",((E$28*($B$28/100))*$B31),IF(E$27="mg/kg SAR",((E$28*0.001)*$B31),IF(E$27="mg/kg DM",(((E$28*0.001)*($B$28/100))*$B31),"0")))))))*1.205</f>
        <v>4.6995000000000005</v>
      </c>
      <c r="F31" s="68">
        <f>(IF(F$27="%w/w SAR",((F$28*10)*$B31),IF(F$27="%w/w DM",(((F$28*10)*($B$28/100))*$B31),IF(F$27="kg/t SAR",(F$28*$B31),IF(F$27="kg/t DM",((F$28*($B$28/100))*$B31),IF(F$27="mg/kg SAR",((F$28*0.001)*$B31),IF(F$27="mg/kg DM",(((F$28*0.001)*($B$28/100))*$B31),"0")))))))*1.658</f>
        <v>5.9091119999999995</v>
      </c>
      <c r="G31" s="68">
        <f t="shared" ref="G31:P46" si="5">IF(G$27="%w/w SAR",((G$28*10)*$B31),IF(G$27="%w/w DM",(((G$28*10)*($B$28/100))*$B31),IF(G$27="kg/t SAR",(G$28*$B31),IF(G$27="kg/t DM",((G$28*($B$28/100))*$B31),IF(G$27="mg/kg SAR",((G$28*0.001)*$B31),IF(G$27="mg/kg DM",(((G$28*0.001)*($B$28/100))*$B31),0))))))</f>
        <v>9.912E-2</v>
      </c>
      <c r="H31" s="68">
        <f t="shared" si="5"/>
        <v>0.18840000000000001</v>
      </c>
      <c r="I31" s="68">
        <f t="shared" si="5"/>
        <v>0.06</v>
      </c>
      <c r="J31" s="68">
        <f t="shared" si="5"/>
        <v>1.2000000000000001E-3</v>
      </c>
      <c r="K31" s="68">
        <f t="shared" si="5"/>
        <v>6.0000000000000001E-3</v>
      </c>
      <c r="L31" s="68">
        <f t="shared" si="5"/>
        <v>2.4E-2</v>
      </c>
      <c r="M31" s="68">
        <f t="shared" si="5"/>
        <v>4.4520000000000004E-2</v>
      </c>
      <c r="N31" s="68">
        <f t="shared" si="5"/>
        <v>0</v>
      </c>
      <c r="O31" s="68">
        <f t="shared" si="5"/>
        <v>0</v>
      </c>
      <c r="P31" s="68">
        <f t="shared" si="5"/>
        <v>51.24</v>
      </c>
      <c r="Q31" s="68">
        <f>(IF(Q$27="%w/w SAR",((Q$28*10)*$B31),IF(Q$27="%w/w DM",(((Q$28*10)*($B$28/100))*$B31),IF(Q$27="kg/t SAR",(Q$28*$B31),IF(Q$27="kg/t DM",((Q$28*($B$28/100))*$B31),IF(Q$27="mg/kg SAR",((Q$28*0.001)*$B31),IF(Q$27="mg/kg DM",(((Q$28*0.001)*($B$28/100))*$B31),0)))))))*2.5</f>
        <v>96.899999999999991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120</v>
      </c>
      <c r="C32" s="68">
        <f t="shared" ref="C32:C50" si="6">IF(C$27="%w/w SAR",((C$28*10)*$B32),IF(C$27="%w/w DM",(((C$28*10)*($B$28/100))*$B32),IF(C$27="kg/t SAR",(C$28*$B32),IF(C$27="kg/t DM",((C$28*($B$28/100))*$B32),IF(C$27="mg/kg SAR",((C$28*0.001)*$B32),IF(C$27="mg/kg DM",(((C$28*0.001)*($B$28/100))*$B32),0))))))</f>
        <v>144</v>
      </c>
      <c r="D32" s="68">
        <f t="shared" ref="D32:D50" si="7">(IF(D$27="%w/w SAR",((D$28*10)*$B32),IF(D$27="%w/w DM",(((D$28*10)*($B$28/100))*$B32),IF(D$27="kg/t SAR",(D$28*$B32),IF(D$27="kg/t DM",((D$28*($B$28/100))*$B32),IF(D$27="mg/kg SAR",((D$28*0.001)*$B32),IF(D$27="mg/kg DM",(((D$28*0.001)*($B$28/100))*$B32),"0")))))))*2.291</f>
        <v>58.283039999999993</v>
      </c>
      <c r="E32" s="68">
        <f t="shared" ref="E32:E50" si="8">(IF(E$27="%w/w SAR",((E$28*10)*$B32),IF(E$27="%w/w DM",(((E$28*10)*($B$28/100))*$B32),IF(E$27="kg/t SAR",(E$28*$B32),IF(E$27="kg/t DM",((E$28*($B$28/100))*$B32),IF(E$27="mg/kg SAR",((E$28*0.001)*$B32),IF(E$27="mg/kg DM",(((E$28*0.001)*($B$28/100))*$B32),"0")))))))*1.205</f>
        <v>4.6995000000000005</v>
      </c>
      <c r="F32" s="68">
        <f t="shared" ref="F32:F50" si="9">(IF(F$27="%w/w SAR",((F$28*10)*$B32),IF(F$27="%w/w DM",(((F$28*10)*($B$28/100))*$B32),IF(F$27="kg/t SAR",(F$28*$B32),IF(F$27="kg/t DM",((F$28*($B$28/100))*$B32),IF(F$27="mg/kg SAR",((F$28*0.001)*$B32),IF(F$27="mg/kg DM",(((F$28*0.001)*($B$28/100))*$B32),"0")))))))*1.658</f>
        <v>5.9091119999999995</v>
      </c>
      <c r="G32" s="68">
        <f t="shared" si="5"/>
        <v>9.912E-2</v>
      </c>
      <c r="H32" s="68">
        <f t="shared" si="5"/>
        <v>0.18840000000000001</v>
      </c>
      <c r="I32" s="68">
        <f t="shared" si="5"/>
        <v>0.06</v>
      </c>
      <c r="J32" s="68">
        <f t="shared" si="5"/>
        <v>1.2000000000000001E-3</v>
      </c>
      <c r="K32" s="68">
        <f t="shared" si="5"/>
        <v>6.0000000000000001E-3</v>
      </c>
      <c r="L32" s="68">
        <f t="shared" si="5"/>
        <v>2.4E-2</v>
      </c>
      <c r="M32" s="68">
        <f t="shared" si="5"/>
        <v>4.4520000000000004E-2</v>
      </c>
      <c r="N32" s="68">
        <f t="shared" si="5"/>
        <v>0</v>
      </c>
      <c r="O32" s="68">
        <f t="shared" si="5"/>
        <v>0</v>
      </c>
      <c r="P32" s="68">
        <f t="shared" si="5"/>
        <v>51.24</v>
      </c>
      <c r="Q32" s="68">
        <f t="shared" ref="Q32:Q50" si="10">(IF(Q$27="%w/w SAR",((Q$28*10)*$B32),IF(Q$27="%w/w DM",(((Q$28*10)*($B$28/100))*$B32),IF(Q$27="kg/t SAR",(Q$28*$B32),IF(Q$27="kg/t DM",((Q$28*($B$28/100))*$B32),IF(Q$27="mg/kg SAR",((Q$28*0.001)*$B32),IF(Q$27="mg/kg DM",(((Q$28*0.001)*($B$28/100))*$B32),0)))))))*2.5</f>
        <v>96.899999999999991</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120</v>
      </c>
      <c r="C33" s="68">
        <f t="shared" si="6"/>
        <v>144</v>
      </c>
      <c r="D33" s="68">
        <f t="shared" si="7"/>
        <v>58.283039999999993</v>
      </c>
      <c r="E33" s="68">
        <f t="shared" si="8"/>
        <v>4.6995000000000005</v>
      </c>
      <c r="F33" s="68">
        <f t="shared" si="9"/>
        <v>5.9091119999999995</v>
      </c>
      <c r="G33" s="68">
        <f t="shared" si="5"/>
        <v>9.912E-2</v>
      </c>
      <c r="H33" s="68">
        <f t="shared" si="5"/>
        <v>0.18840000000000001</v>
      </c>
      <c r="I33" s="68">
        <f t="shared" si="5"/>
        <v>0.06</v>
      </c>
      <c r="J33" s="68">
        <f t="shared" si="5"/>
        <v>1.2000000000000001E-3</v>
      </c>
      <c r="K33" s="68">
        <f t="shared" si="5"/>
        <v>6.0000000000000001E-3</v>
      </c>
      <c r="L33" s="68">
        <f t="shared" si="5"/>
        <v>2.4E-2</v>
      </c>
      <c r="M33" s="68">
        <f t="shared" si="5"/>
        <v>4.4520000000000004E-2</v>
      </c>
      <c r="N33" s="68">
        <f t="shared" si="5"/>
        <v>0</v>
      </c>
      <c r="O33" s="68">
        <f t="shared" si="5"/>
        <v>0</v>
      </c>
      <c r="P33" s="68">
        <f t="shared" si="5"/>
        <v>51.24</v>
      </c>
      <c r="Q33" s="68">
        <f t="shared" si="10"/>
        <v>96.899999999999991</v>
      </c>
      <c r="R33" s="68">
        <f t="shared" si="11"/>
        <v>0</v>
      </c>
      <c r="S33" s="68">
        <f t="shared" si="11"/>
        <v>0</v>
      </c>
      <c r="T33" s="68">
        <f t="shared" si="11"/>
        <v>0</v>
      </c>
      <c r="U33" s="68">
        <f t="shared" si="11"/>
        <v>0</v>
      </c>
    </row>
    <row r="34" spans="1:21" s="51" customFormat="1" ht="13" x14ac:dyDescent="0.35">
      <c r="A34" s="10" t="str">
        <f>F8</f>
        <v>BW4</v>
      </c>
      <c r="B34" s="12">
        <v>120</v>
      </c>
      <c r="C34" s="68">
        <f t="shared" si="6"/>
        <v>144</v>
      </c>
      <c r="D34" s="68">
        <f t="shared" si="7"/>
        <v>58.283039999999993</v>
      </c>
      <c r="E34" s="68">
        <f t="shared" si="8"/>
        <v>4.6995000000000005</v>
      </c>
      <c r="F34" s="68">
        <f t="shared" si="9"/>
        <v>5.9091119999999995</v>
      </c>
      <c r="G34" s="68">
        <f t="shared" si="5"/>
        <v>9.912E-2</v>
      </c>
      <c r="H34" s="68">
        <f t="shared" si="5"/>
        <v>0.18840000000000001</v>
      </c>
      <c r="I34" s="68">
        <f t="shared" si="5"/>
        <v>0.06</v>
      </c>
      <c r="J34" s="68">
        <f t="shared" si="5"/>
        <v>1.2000000000000001E-3</v>
      </c>
      <c r="K34" s="68">
        <f t="shared" si="5"/>
        <v>6.0000000000000001E-3</v>
      </c>
      <c r="L34" s="68">
        <f t="shared" si="5"/>
        <v>2.4E-2</v>
      </c>
      <c r="M34" s="68">
        <f t="shared" si="5"/>
        <v>4.4520000000000004E-2</v>
      </c>
      <c r="N34" s="68">
        <f t="shared" si="5"/>
        <v>0</v>
      </c>
      <c r="O34" s="68">
        <f t="shared" si="5"/>
        <v>0</v>
      </c>
      <c r="P34" s="68">
        <f t="shared" si="5"/>
        <v>51.24</v>
      </c>
      <c r="Q34" s="68">
        <f t="shared" si="10"/>
        <v>96.899999999999991</v>
      </c>
      <c r="R34" s="68">
        <f t="shared" si="11"/>
        <v>0</v>
      </c>
      <c r="S34" s="68">
        <f t="shared" si="11"/>
        <v>0</v>
      </c>
      <c r="T34" s="68">
        <f t="shared" si="11"/>
        <v>0</v>
      </c>
      <c r="U34" s="68">
        <f t="shared" si="11"/>
        <v>0</v>
      </c>
    </row>
    <row r="35" spans="1:21" s="51" customFormat="1" ht="13" x14ac:dyDescent="0.35">
      <c r="A35" s="10" t="str">
        <f>G8</f>
        <v>BW6</v>
      </c>
      <c r="B35" s="12">
        <v>120</v>
      </c>
      <c r="C35" s="68">
        <f t="shared" si="6"/>
        <v>144</v>
      </c>
      <c r="D35" s="68">
        <f t="shared" si="7"/>
        <v>58.283039999999993</v>
      </c>
      <c r="E35" s="68">
        <f t="shared" si="8"/>
        <v>4.6995000000000005</v>
      </c>
      <c r="F35" s="68">
        <f t="shared" si="9"/>
        <v>5.9091119999999995</v>
      </c>
      <c r="G35" s="68">
        <f t="shared" si="5"/>
        <v>9.912E-2</v>
      </c>
      <c r="H35" s="68">
        <f t="shared" si="5"/>
        <v>0.18840000000000001</v>
      </c>
      <c r="I35" s="68">
        <f t="shared" si="5"/>
        <v>0.06</v>
      </c>
      <c r="J35" s="68">
        <f t="shared" si="5"/>
        <v>1.2000000000000001E-3</v>
      </c>
      <c r="K35" s="68">
        <f t="shared" si="5"/>
        <v>6.0000000000000001E-3</v>
      </c>
      <c r="L35" s="68">
        <f t="shared" si="5"/>
        <v>2.4E-2</v>
      </c>
      <c r="M35" s="68">
        <f t="shared" si="5"/>
        <v>4.4520000000000004E-2</v>
      </c>
      <c r="N35" s="68">
        <f t="shared" si="5"/>
        <v>0</v>
      </c>
      <c r="O35" s="68">
        <f t="shared" si="5"/>
        <v>0</v>
      </c>
      <c r="P35" s="68">
        <f t="shared" si="5"/>
        <v>51.24</v>
      </c>
      <c r="Q35" s="68">
        <f t="shared" si="10"/>
        <v>96.899999999999991</v>
      </c>
      <c r="R35" s="68">
        <f t="shared" si="11"/>
        <v>0</v>
      </c>
      <c r="S35" s="68">
        <f t="shared" si="11"/>
        <v>0</v>
      </c>
      <c r="T35" s="68">
        <f t="shared" si="11"/>
        <v>0</v>
      </c>
      <c r="U35" s="68">
        <f t="shared" si="11"/>
        <v>0</v>
      </c>
    </row>
    <row r="36" spans="1:21" s="51" customFormat="1" ht="13" x14ac:dyDescent="0.35">
      <c r="A36" s="10" t="str">
        <f>H8</f>
        <v>BW7</v>
      </c>
      <c r="B36" s="12">
        <v>120</v>
      </c>
      <c r="C36" s="68">
        <f t="shared" si="6"/>
        <v>144</v>
      </c>
      <c r="D36" s="68">
        <f t="shared" si="7"/>
        <v>58.283039999999993</v>
      </c>
      <c r="E36" s="68">
        <f t="shared" si="8"/>
        <v>4.6995000000000005</v>
      </c>
      <c r="F36" s="68">
        <f t="shared" si="9"/>
        <v>5.9091119999999995</v>
      </c>
      <c r="G36" s="68">
        <f t="shared" si="5"/>
        <v>9.912E-2</v>
      </c>
      <c r="H36" s="68">
        <f t="shared" si="5"/>
        <v>0.18840000000000001</v>
      </c>
      <c r="I36" s="68">
        <f t="shared" si="5"/>
        <v>0.06</v>
      </c>
      <c r="J36" s="68">
        <f t="shared" si="5"/>
        <v>1.2000000000000001E-3</v>
      </c>
      <c r="K36" s="68">
        <f t="shared" si="5"/>
        <v>6.0000000000000001E-3</v>
      </c>
      <c r="L36" s="68">
        <f t="shared" si="5"/>
        <v>2.4E-2</v>
      </c>
      <c r="M36" s="68">
        <f t="shared" si="5"/>
        <v>4.4520000000000004E-2</v>
      </c>
      <c r="N36" s="68">
        <f t="shared" si="5"/>
        <v>0</v>
      </c>
      <c r="O36" s="68">
        <f t="shared" si="5"/>
        <v>0</v>
      </c>
      <c r="P36" s="68">
        <f t="shared" si="5"/>
        <v>51.24</v>
      </c>
      <c r="Q36" s="68">
        <f t="shared" si="10"/>
        <v>96.899999999999991</v>
      </c>
      <c r="R36" s="68">
        <f t="shared" si="11"/>
        <v>0</v>
      </c>
      <c r="S36" s="68">
        <f t="shared" si="11"/>
        <v>0</v>
      </c>
      <c r="T36" s="68">
        <f t="shared" si="11"/>
        <v>0</v>
      </c>
      <c r="U36" s="68">
        <f t="shared" si="11"/>
        <v>0</v>
      </c>
    </row>
    <row r="37" spans="1:21" s="51" customFormat="1" ht="13" x14ac:dyDescent="0.35">
      <c r="A37" s="10" t="str">
        <f>I8</f>
        <v>DJ1</v>
      </c>
      <c r="B37" s="12">
        <v>120</v>
      </c>
      <c r="C37" s="68">
        <f t="shared" si="6"/>
        <v>144</v>
      </c>
      <c r="D37" s="68">
        <f t="shared" si="7"/>
        <v>58.283039999999993</v>
      </c>
      <c r="E37" s="68">
        <f t="shared" si="8"/>
        <v>4.6995000000000005</v>
      </c>
      <c r="F37" s="68">
        <f t="shared" si="9"/>
        <v>5.9091119999999995</v>
      </c>
      <c r="G37" s="68">
        <f t="shared" si="5"/>
        <v>9.912E-2</v>
      </c>
      <c r="H37" s="68">
        <f t="shared" si="5"/>
        <v>0.18840000000000001</v>
      </c>
      <c r="I37" s="68">
        <f t="shared" si="5"/>
        <v>0.06</v>
      </c>
      <c r="J37" s="68">
        <f t="shared" si="5"/>
        <v>1.2000000000000001E-3</v>
      </c>
      <c r="K37" s="68">
        <f t="shared" si="5"/>
        <v>6.0000000000000001E-3</v>
      </c>
      <c r="L37" s="68">
        <f t="shared" si="5"/>
        <v>2.4E-2</v>
      </c>
      <c r="M37" s="68">
        <f t="shared" si="5"/>
        <v>4.4520000000000004E-2</v>
      </c>
      <c r="N37" s="68">
        <f t="shared" si="5"/>
        <v>0</v>
      </c>
      <c r="O37" s="68">
        <f t="shared" si="5"/>
        <v>0</v>
      </c>
      <c r="P37" s="68">
        <f t="shared" si="5"/>
        <v>51.24</v>
      </c>
      <c r="Q37" s="68">
        <f t="shared" si="10"/>
        <v>96.899999999999991</v>
      </c>
      <c r="R37" s="68">
        <f t="shared" si="11"/>
        <v>0</v>
      </c>
      <c r="S37" s="68">
        <f t="shared" si="11"/>
        <v>0</v>
      </c>
      <c r="T37" s="68">
        <f t="shared" si="11"/>
        <v>0</v>
      </c>
      <c r="U37" s="68">
        <f t="shared" si="11"/>
        <v>0</v>
      </c>
    </row>
    <row r="38" spans="1:21" s="51" customFormat="1" ht="13" x14ac:dyDescent="0.35">
      <c r="A38" s="10" t="str">
        <f>J8</f>
        <v>DJ2</v>
      </c>
      <c r="B38" s="12">
        <v>120</v>
      </c>
      <c r="C38" s="68">
        <f t="shared" si="6"/>
        <v>144</v>
      </c>
      <c r="D38" s="68">
        <f t="shared" si="7"/>
        <v>58.283039999999993</v>
      </c>
      <c r="E38" s="68">
        <f t="shared" si="8"/>
        <v>4.6995000000000005</v>
      </c>
      <c r="F38" s="68">
        <f t="shared" si="9"/>
        <v>5.9091119999999995</v>
      </c>
      <c r="G38" s="68">
        <f t="shared" si="5"/>
        <v>9.912E-2</v>
      </c>
      <c r="H38" s="68">
        <f t="shared" si="5"/>
        <v>0.18840000000000001</v>
      </c>
      <c r="I38" s="68">
        <f t="shared" si="5"/>
        <v>0.06</v>
      </c>
      <c r="J38" s="68">
        <f t="shared" si="5"/>
        <v>1.2000000000000001E-3</v>
      </c>
      <c r="K38" s="68">
        <f t="shared" si="5"/>
        <v>6.0000000000000001E-3</v>
      </c>
      <c r="L38" s="68">
        <f t="shared" si="5"/>
        <v>2.4E-2</v>
      </c>
      <c r="M38" s="68">
        <f t="shared" si="5"/>
        <v>4.4520000000000004E-2</v>
      </c>
      <c r="N38" s="68">
        <f t="shared" si="5"/>
        <v>0</v>
      </c>
      <c r="O38" s="68">
        <f t="shared" si="5"/>
        <v>0</v>
      </c>
      <c r="P38" s="68">
        <f t="shared" si="5"/>
        <v>51.24</v>
      </c>
      <c r="Q38" s="68">
        <f t="shared" si="10"/>
        <v>96.899999999999991</v>
      </c>
      <c r="R38" s="68">
        <f t="shared" si="11"/>
        <v>0</v>
      </c>
      <c r="S38" s="68">
        <f t="shared" si="11"/>
        <v>0</v>
      </c>
      <c r="T38" s="68">
        <f t="shared" si="11"/>
        <v>0</v>
      </c>
      <c r="U38" s="68">
        <f t="shared" si="11"/>
        <v>0</v>
      </c>
    </row>
    <row r="39" spans="1:21" s="51" customFormat="1" ht="13" x14ac:dyDescent="0.35">
      <c r="A39" s="10" t="str">
        <f>K8</f>
        <v>DJ3</v>
      </c>
      <c r="B39" s="12">
        <v>120</v>
      </c>
      <c r="C39" s="68">
        <f t="shared" si="6"/>
        <v>144</v>
      </c>
      <c r="D39" s="68">
        <f t="shared" si="7"/>
        <v>58.283039999999993</v>
      </c>
      <c r="E39" s="68">
        <f t="shared" si="8"/>
        <v>4.6995000000000005</v>
      </c>
      <c r="F39" s="68">
        <f t="shared" si="9"/>
        <v>5.9091119999999995</v>
      </c>
      <c r="G39" s="68">
        <f t="shared" si="5"/>
        <v>9.912E-2</v>
      </c>
      <c r="H39" s="68">
        <f t="shared" si="5"/>
        <v>0.18840000000000001</v>
      </c>
      <c r="I39" s="68">
        <f t="shared" si="5"/>
        <v>0.06</v>
      </c>
      <c r="J39" s="68">
        <f t="shared" si="5"/>
        <v>1.2000000000000001E-3</v>
      </c>
      <c r="K39" s="68">
        <f t="shared" si="5"/>
        <v>6.0000000000000001E-3</v>
      </c>
      <c r="L39" s="68">
        <f t="shared" si="5"/>
        <v>2.4E-2</v>
      </c>
      <c r="M39" s="68">
        <f t="shared" si="5"/>
        <v>4.4520000000000004E-2</v>
      </c>
      <c r="N39" s="68">
        <f t="shared" si="5"/>
        <v>0</v>
      </c>
      <c r="O39" s="68">
        <f t="shared" si="5"/>
        <v>0</v>
      </c>
      <c r="P39" s="68">
        <f t="shared" si="5"/>
        <v>51.24</v>
      </c>
      <c r="Q39" s="68">
        <f t="shared" si="10"/>
        <v>96.899999999999991</v>
      </c>
      <c r="R39" s="68">
        <f t="shared" si="11"/>
        <v>0</v>
      </c>
      <c r="S39" s="68">
        <f t="shared" si="11"/>
        <v>0</v>
      </c>
      <c r="T39" s="68">
        <f t="shared" si="11"/>
        <v>0</v>
      </c>
      <c r="U39" s="68">
        <f t="shared" si="11"/>
        <v>0</v>
      </c>
    </row>
    <row r="40" spans="1:21" s="51" customFormat="1" ht="13" x14ac:dyDescent="0.35">
      <c r="A40" s="10" t="str">
        <f>L8</f>
        <v>DJ4</v>
      </c>
      <c r="B40" s="12">
        <v>120</v>
      </c>
      <c r="C40" s="68">
        <f t="shared" si="6"/>
        <v>144</v>
      </c>
      <c r="D40" s="68">
        <f t="shared" si="7"/>
        <v>58.283039999999993</v>
      </c>
      <c r="E40" s="68">
        <f t="shared" si="8"/>
        <v>4.6995000000000005</v>
      </c>
      <c r="F40" s="68">
        <f t="shared" si="9"/>
        <v>5.9091119999999995</v>
      </c>
      <c r="G40" s="68">
        <f t="shared" si="5"/>
        <v>9.912E-2</v>
      </c>
      <c r="H40" s="68">
        <f t="shared" si="5"/>
        <v>0.18840000000000001</v>
      </c>
      <c r="I40" s="68">
        <f t="shared" si="5"/>
        <v>0.06</v>
      </c>
      <c r="J40" s="68">
        <f t="shared" si="5"/>
        <v>1.2000000000000001E-3</v>
      </c>
      <c r="K40" s="68">
        <f t="shared" si="5"/>
        <v>6.0000000000000001E-3</v>
      </c>
      <c r="L40" s="68">
        <f t="shared" si="5"/>
        <v>2.4E-2</v>
      </c>
      <c r="M40" s="68">
        <f t="shared" si="5"/>
        <v>4.4520000000000004E-2</v>
      </c>
      <c r="N40" s="68">
        <f t="shared" si="5"/>
        <v>0</v>
      </c>
      <c r="O40" s="68">
        <f t="shared" si="5"/>
        <v>0</v>
      </c>
      <c r="P40" s="68">
        <f t="shared" si="5"/>
        <v>51.24</v>
      </c>
      <c r="Q40" s="68">
        <f t="shared" si="10"/>
        <v>96.899999999999991</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"&amp;(VLOOKUP(C14,Table24581113[],6,FALSE))</f>
        <v>Sandy Loam I Grass</v>
      </c>
      <c r="C58" s="10" t="str">
        <f>D16&amp;" I "&amp;(VLOOKUP(D14,Table24581113[],6,FALSE))</f>
        <v>Sandy Loam I Grass</v>
      </c>
      <c r="D58" s="10" t="str">
        <f>E16&amp;" I "&amp;(VLOOKUP(E14,Table24581113[],6,FALSE))</f>
        <v>Sandy Loam I Grass</v>
      </c>
      <c r="E58" s="10" t="str">
        <f>F16&amp;" I "&amp;(VLOOKUP(F14,Table24581113[],6,FALSE))</f>
        <v>Sandy Loam I Grass</v>
      </c>
      <c r="F58" s="10" t="str">
        <f>G16&amp;" I "&amp;(VLOOKUP(G14,Table24581113[],6,FALSE))</f>
        <v>Sandy Loam I Grass</v>
      </c>
      <c r="G58" s="10" t="str">
        <f>H16&amp;" I "&amp;(VLOOKUP(H14,Table24581113[],6,FALSE))</f>
        <v>Sandy Loam I Grass</v>
      </c>
      <c r="H58" s="10" t="str">
        <f>I16&amp;" I "&amp;(VLOOKUP(I14,Table24581113[],6,FALSE))</f>
        <v>Sandy Loam I Grass</v>
      </c>
      <c r="I58" s="10" t="str">
        <f>J16&amp;" I "&amp;(VLOOKUP(J14,Table24581113[],6,FALSE))</f>
        <v>Sandy Loam I Grass</v>
      </c>
      <c r="J58" s="10" t="str">
        <f>K16&amp;" I "&amp;(VLOOKUP(K14,Table24581113[],6,FALSE))</f>
        <v>Sandy Loam I Grass</v>
      </c>
      <c r="K58" s="10" t="str">
        <f>L16&amp;" I "&amp;(VLOOKUP(L14,Table24581113[],6,FALSE))</f>
        <v>Sandy Loam I Grass</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100" t="s">
        <v>132</v>
      </c>
      <c r="B59" s="67">
        <f>VLOOKUP(C$14,Table24581113[],5,FALSE)</f>
        <v>6.2</v>
      </c>
      <c r="C59" s="67">
        <f>VLOOKUP(D$14,Table24581113[],5,FALSE)</f>
        <v>6.2</v>
      </c>
      <c r="D59" s="67">
        <f>VLOOKUP(E$14,Table24581113[],5,FALSE)</f>
        <v>6.2</v>
      </c>
      <c r="E59" s="67">
        <f>VLOOKUP(F$14,Table24581113[],5,FALSE)</f>
        <v>6.2</v>
      </c>
      <c r="F59" s="67">
        <f>VLOOKUP(G$14,Table24581113[],5,FALSE)</f>
        <v>6.2</v>
      </c>
      <c r="G59" s="67">
        <f>VLOOKUP(H$14,Table24581113[],5,FALSE)</f>
        <v>6.2</v>
      </c>
      <c r="H59" s="67">
        <f>VLOOKUP(I$14,Table24581113[],5,FALSE)</f>
        <v>6.2</v>
      </c>
      <c r="I59" s="67">
        <f>VLOOKUP(J$14,Table24581113[],5,FALSE)</f>
        <v>6.2</v>
      </c>
      <c r="J59" s="67">
        <f>VLOOKUP(K$14,Table24581113[],5,FALSE)</f>
        <v>6.2</v>
      </c>
      <c r="K59" s="67">
        <f>VLOOKUP(L$14,Table24581113[],5,FALSE)</f>
        <v>6.2</v>
      </c>
      <c r="L59" s="67" t="e">
        <f>VLOOKUP(M$14,Table24581113[],5,FALSE)</f>
        <v>#N/A</v>
      </c>
      <c r="M59" s="67" t="e">
        <f>VLOOKUP(N$14,Table24581113[],5,FALSE)</f>
        <v>#N/A</v>
      </c>
      <c r="N59" s="67" t="e">
        <f>VLOOKUP(O$14,Table24581113[],5,FALSE)</f>
        <v>#N/A</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120</v>
      </c>
      <c r="C62" s="68">
        <f>B32</f>
        <v>120</v>
      </c>
      <c r="D62" s="68">
        <f>B33</f>
        <v>120</v>
      </c>
      <c r="E62" s="68">
        <f>B34</f>
        <v>120</v>
      </c>
      <c r="F62" s="68">
        <f>B35</f>
        <v>120</v>
      </c>
      <c r="G62" s="68">
        <f>B36</f>
        <v>120</v>
      </c>
      <c r="H62" s="68">
        <f>B37</f>
        <v>120</v>
      </c>
      <c r="I62" s="68">
        <f>B38</f>
        <v>120</v>
      </c>
      <c r="J62" s="68">
        <f>B39</f>
        <v>120</v>
      </c>
      <c r="K62" s="68">
        <f>B40</f>
        <v>120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16" zoomScale="90" zoomScaleNormal="90" workbookViewId="0">
      <selection activeCell="J29" sqref="J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5.23</v>
      </c>
      <c r="J1" s="114" t="s">
        <v>153</v>
      </c>
      <c r="K1" s="114"/>
      <c r="L1" s="86">
        <v>839</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180</v>
      </c>
      <c r="G2" s="112" t="s">
        <v>110</v>
      </c>
      <c r="H2" s="113"/>
      <c r="I2" s="86">
        <v>1268</v>
      </c>
      <c r="J2" s="114" t="s">
        <v>158</v>
      </c>
      <c r="K2" s="114"/>
      <c r="L2" s="86">
        <v>0.38</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10980</v>
      </c>
      <c r="J3" s="110" t="s">
        <v>154</v>
      </c>
      <c r="K3" s="111"/>
      <c r="L3" s="86">
        <f>(L1/(L2*10000))*100</f>
        <v>22.078947368421055</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188</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49.409996999999997</v>
      </c>
      <c r="D18" s="13">
        <f>$D32</f>
        <v>49.409996999999997</v>
      </c>
      <c r="E18" s="13">
        <f>$D33</f>
        <v>49.409996999999997</v>
      </c>
      <c r="F18" s="13">
        <f>$D34</f>
        <v>49.409996999999997</v>
      </c>
      <c r="G18" s="13">
        <f>$D35</f>
        <v>49.409996999999997</v>
      </c>
      <c r="H18" s="13">
        <f>$D36</f>
        <v>49.409996999999997</v>
      </c>
      <c r="I18" s="13">
        <f>$D37</f>
        <v>49.409996999999997</v>
      </c>
      <c r="J18" s="13">
        <f>$D38</f>
        <v>49.409996999999997</v>
      </c>
      <c r="K18" s="13">
        <f>$D39</f>
        <v>49.409996999999997</v>
      </c>
      <c r="L18" s="13">
        <f>$D40</f>
        <v>49.409996999999997</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-15.190002999999997</v>
      </c>
      <c r="D19" s="13">
        <f t="shared" ref="D19:V19" si="1">D18-D17</f>
        <v>-15.190002999999997</v>
      </c>
      <c r="E19" s="13">
        <f t="shared" si="1"/>
        <v>-15.190002999999997</v>
      </c>
      <c r="F19" s="13">
        <f t="shared" si="1"/>
        <v>-15.190002999999997</v>
      </c>
      <c r="G19" s="13">
        <f t="shared" si="1"/>
        <v>-15.190002999999997</v>
      </c>
      <c r="H19" s="13">
        <f t="shared" si="1"/>
        <v>-15.190002999999997</v>
      </c>
      <c r="I19" s="13">
        <f t="shared" si="1"/>
        <v>-15.190002999999997</v>
      </c>
      <c r="J19" s="13">
        <f t="shared" si="1"/>
        <v>-15.190002999999997</v>
      </c>
      <c r="K19" s="13">
        <f t="shared" si="1"/>
        <v>-15.190002999999997</v>
      </c>
      <c r="L19" s="13">
        <f t="shared" si="1"/>
        <v>-15.190002999999997</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15.273375000000001</v>
      </c>
      <c r="D22" s="13">
        <f>$E32</f>
        <v>15.273375000000001</v>
      </c>
      <c r="E22" s="13">
        <f>$E33</f>
        <v>15.273375000000001</v>
      </c>
      <c r="F22" s="13">
        <f>$E34</f>
        <v>15.273375000000001</v>
      </c>
      <c r="G22" s="13">
        <f>$E35</f>
        <v>15.273375000000001</v>
      </c>
      <c r="H22" s="13">
        <f>$E36</f>
        <v>15.273375000000001</v>
      </c>
      <c r="I22" s="13">
        <f>$E37</f>
        <v>15.273375000000001</v>
      </c>
      <c r="J22" s="13">
        <f>$E38</f>
        <v>15.273375000000001</v>
      </c>
      <c r="K22" s="13">
        <f>$E39</f>
        <v>15.273375000000001</v>
      </c>
      <c r="L22" s="13">
        <f>$E40</f>
        <v>15.273375000000001</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-212.72662500000001</v>
      </c>
      <c r="D23" s="13">
        <f t="shared" ref="D23:V23" si="3">D22-D21</f>
        <v>-212.72662500000001</v>
      </c>
      <c r="E23" s="13">
        <f t="shared" si="3"/>
        <v>-212.72662500000001</v>
      </c>
      <c r="F23" s="13">
        <f t="shared" si="3"/>
        <v>-212.72662500000001</v>
      </c>
      <c r="G23" s="13">
        <f t="shared" si="3"/>
        <v>-212.72662500000001</v>
      </c>
      <c r="H23" s="13">
        <f t="shared" si="3"/>
        <v>-212.72662500000001</v>
      </c>
      <c r="I23" s="13">
        <f t="shared" si="3"/>
        <v>-212.72662500000001</v>
      </c>
      <c r="J23" s="13">
        <f t="shared" si="3"/>
        <v>-212.72662500000001</v>
      </c>
      <c r="K23" s="13">
        <f t="shared" si="3"/>
        <v>-212.72662500000001</v>
      </c>
      <c r="L23" s="13">
        <f t="shared" si="3"/>
        <v>-212.72662500000001</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4.74</v>
      </c>
      <c r="C28" s="12">
        <v>0.38</v>
      </c>
      <c r="D28" s="12">
        <v>553</v>
      </c>
      <c r="E28" s="12">
        <v>325</v>
      </c>
      <c r="F28" s="12">
        <v>58.6</v>
      </c>
      <c r="G28" s="12">
        <v>1.25</v>
      </c>
      <c r="H28" s="12">
        <v>7.76</v>
      </c>
      <c r="I28" s="12">
        <v>0.5</v>
      </c>
      <c r="J28" s="12">
        <v>0.01</v>
      </c>
      <c r="K28" s="16">
        <v>0.05</v>
      </c>
      <c r="L28" s="12">
        <v>0.377</v>
      </c>
      <c r="M28" s="12">
        <v>0.626</v>
      </c>
      <c r="N28" s="12"/>
      <c r="O28" s="12"/>
      <c r="P28" s="12">
        <v>383</v>
      </c>
      <c r="Q28" s="12">
        <v>188</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39</v>
      </c>
      <c r="C31" s="68">
        <f>IF(C$27="%w/w SAR",((C$28*10)*$B31),IF(C$27="%w/w DM",(((C$28*10)*($B$28/100))*$B31),IF(C$27="kg/t SAR",(C$28*$B31),IF(C$27="kg/t DM",((C$28*($B$28/100))*$B31),IF(C$27="mg/kg SAR",((C$28*0.001)*$B31),IF(C$27="mg/kg DM",(((C$28*0.001)*($B$28/100))*$B31),0))))))</f>
        <v>148.19999999999999</v>
      </c>
      <c r="D31" s="68">
        <f>(IF(D$27="%w/w SAR",((D$28*10)*$B31),IF(D$27="%w/w DM",(((D$28*10)*($B$28/100))*$B31),IF(D$27="kg/t SAR",(D$28*$B31),IF(D$27="kg/t DM",((D$28*($B$28/100))*$B31),IF(D$27="mg/kg SAR",((D$28*0.001)*$B31),IF(D$27="mg/kg DM",(((D$28*0.001)*($B$28/100))*$B31),"0")))))))*2.291</f>
        <v>49.409996999999997</v>
      </c>
      <c r="E31" s="68">
        <f>(IF(E$27="%w/w SAR",((E$28*10)*$B31),IF(E$27="%w/w DM",(((E$28*10)*($B$28/100))*$B31),IF(E$27="kg/t SAR",(E$28*$B31),IF(E$27="kg/t DM",((E$28*($B$28/100))*$B31),IF(E$27="mg/kg SAR",((E$28*0.001)*$B31),IF(E$27="mg/kg DM",(((E$28*0.001)*($B$28/100))*$B31),"0")))))))*1.205</f>
        <v>15.273375000000001</v>
      </c>
      <c r="F31" s="68">
        <f>(IF(F$27="%w/w SAR",((F$28*10)*$B31),IF(F$27="%w/w DM",(((F$28*10)*($B$28/100))*$B31),IF(F$27="kg/t SAR",(F$28*$B31),IF(F$27="kg/t DM",((F$28*($B$28/100))*$B31),IF(F$27="mg/kg SAR",((F$28*0.001)*$B31),IF(F$27="mg/kg DM",(((F$28*0.001)*($B$28/100))*$B31),"0")))))))*1.658</f>
        <v>3.7891932000000002</v>
      </c>
      <c r="G31" s="68">
        <f t="shared" ref="G31:P46" si="5">IF(G$27="%w/w SAR",((G$28*10)*$B31),IF(G$27="%w/w DM",(((G$28*10)*($B$28/100))*$B31),IF(G$27="kg/t SAR",(G$28*$B31),IF(G$27="kg/t DM",((G$28*($B$28/100))*$B31),IF(G$27="mg/kg SAR",((G$28*0.001)*$B31),IF(G$27="mg/kg DM",(((G$28*0.001)*($B$28/100))*$B31),0))))))</f>
        <v>4.8750000000000002E-2</v>
      </c>
      <c r="H31" s="68">
        <f t="shared" si="5"/>
        <v>0.30263999999999996</v>
      </c>
      <c r="I31" s="68">
        <f t="shared" si="5"/>
        <v>1.95E-2</v>
      </c>
      <c r="J31" s="68">
        <f t="shared" si="5"/>
        <v>3.9000000000000005E-4</v>
      </c>
      <c r="K31" s="68">
        <f t="shared" si="5"/>
        <v>1.9500000000000001E-3</v>
      </c>
      <c r="L31" s="68">
        <f t="shared" si="5"/>
        <v>1.4703000000000001E-2</v>
      </c>
      <c r="M31" s="68">
        <f t="shared" si="5"/>
        <v>2.4414000000000002E-2</v>
      </c>
      <c r="N31" s="68">
        <f t="shared" si="5"/>
        <v>0</v>
      </c>
      <c r="O31" s="68">
        <f t="shared" si="5"/>
        <v>0</v>
      </c>
      <c r="P31" s="68">
        <f t="shared" si="5"/>
        <v>14.937000000000001</v>
      </c>
      <c r="Q31" s="68">
        <f>(IF(Q$27="%w/w SAR",((Q$28*10)*$B31),IF(Q$27="%w/w DM",(((Q$28*10)*($B$28/100))*$B31),IF(Q$27="kg/t SAR",(Q$28*$B31),IF(Q$27="kg/t DM",((Q$28*($B$28/100))*$B31),IF(Q$27="mg/kg SAR",((Q$28*0.001)*$B31),IF(Q$27="mg/kg DM",(((Q$28*0.001)*($B$28/100))*$B31),0)))))))*2.5</f>
        <v>18.329999999999998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39</v>
      </c>
      <c r="C32" s="68">
        <f t="shared" ref="C32:C50" si="6">IF(C$27="%w/w SAR",((C$28*10)*$B32),IF(C$27="%w/w DM",(((C$28*10)*($B$28/100))*$B32),IF(C$27="kg/t SAR",(C$28*$B32),IF(C$27="kg/t DM",((C$28*($B$28/100))*$B32),IF(C$27="mg/kg SAR",((C$28*0.001)*$B32),IF(C$27="mg/kg DM",(((C$28*0.001)*($B$28/100))*$B32),0))))))</f>
        <v>148.19999999999999</v>
      </c>
      <c r="D32" s="68">
        <f t="shared" ref="D32:D50" si="7">(IF(D$27="%w/w SAR",((D$28*10)*$B32),IF(D$27="%w/w DM",(((D$28*10)*($B$28/100))*$B32),IF(D$27="kg/t SAR",(D$28*$B32),IF(D$27="kg/t DM",((D$28*($B$28/100))*$B32),IF(D$27="mg/kg SAR",((D$28*0.001)*$B32),IF(D$27="mg/kg DM",(((D$28*0.001)*($B$28/100))*$B32),"0")))))))*2.291</f>
        <v>49.409996999999997</v>
      </c>
      <c r="E32" s="68">
        <f t="shared" ref="E32:E50" si="8">(IF(E$27="%w/w SAR",((E$28*10)*$B32),IF(E$27="%w/w DM",(((E$28*10)*($B$28/100))*$B32),IF(E$27="kg/t SAR",(E$28*$B32),IF(E$27="kg/t DM",((E$28*($B$28/100))*$B32),IF(E$27="mg/kg SAR",((E$28*0.001)*$B32),IF(E$27="mg/kg DM",(((E$28*0.001)*($B$28/100))*$B32),"0")))))))*1.205</f>
        <v>15.273375000000001</v>
      </c>
      <c r="F32" s="68">
        <f t="shared" ref="F32:F50" si="9">(IF(F$27="%w/w SAR",((F$28*10)*$B32),IF(F$27="%w/w DM",(((F$28*10)*($B$28/100))*$B32),IF(F$27="kg/t SAR",(F$28*$B32),IF(F$27="kg/t DM",((F$28*($B$28/100))*$B32),IF(F$27="mg/kg SAR",((F$28*0.001)*$B32),IF(F$27="mg/kg DM",(((F$28*0.001)*($B$28/100))*$B32),"0")))))))*1.658</f>
        <v>3.7891932000000002</v>
      </c>
      <c r="G32" s="68">
        <f t="shared" si="5"/>
        <v>4.8750000000000002E-2</v>
      </c>
      <c r="H32" s="68">
        <f t="shared" si="5"/>
        <v>0.30263999999999996</v>
      </c>
      <c r="I32" s="68">
        <f t="shared" si="5"/>
        <v>1.95E-2</v>
      </c>
      <c r="J32" s="68">
        <f t="shared" si="5"/>
        <v>3.9000000000000005E-4</v>
      </c>
      <c r="K32" s="68">
        <f t="shared" si="5"/>
        <v>1.9500000000000001E-3</v>
      </c>
      <c r="L32" s="68">
        <f t="shared" si="5"/>
        <v>1.4703000000000001E-2</v>
      </c>
      <c r="M32" s="68">
        <f t="shared" si="5"/>
        <v>2.4414000000000002E-2</v>
      </c>
      <c r="N32" s="68">
        <f t="shared" si="5"/>
        <v>0</v>
      </c>
      <c r="O32" s="68">
        <f t="shared" si="5"/>
        <v>0</v>
      </c>
      <c r="P32" s="68">
        <f t="shared" si="5"/>
        <v>14.937000000000001</v>
      </c>
      <c r="Q32" s="68">
        <f t="shared" ref="Q32:Q50" si="10">(IF(Q$27="%w/w SAR",((Q$28*10)*$B32),IF(Q$27="%w/w DM",(((Q$28*10)*($B$28/100))*$B32),IF(Q$27="kg/t SAR",(Q$28*$B32),IF(Q$27="kg/t DM",((Q$28*($B$28/100))*$B32),IF(Q$27="mg/kg SAR",((Q$28*0.001)*$B32),IF(Q$27="mg/kg DM",(((Q$28*0.001)*($B$28/100))*$B32),0)))))))*2.5</f>
        <v>18.329999999999998</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39</v>
      </c>
      <c r="C33" s="68">
        <f t="shared" si="6"/>
        <v>148.19999999999999</v>
      </c>
      <c r="D33" s="68">
        <f t="shared" si="7"/>
        <v>49.409996999999997</v>
      </c>
      <c r="E33" s="68">
        <f t="shared" si="8"/>
        <v>15.273375000000001</v>
      </c>
      <c r="F33" s="68">
        <f t="shared" si="9"/>
        <v>3.7891932000000002</v>
      </c>
      <c r="G33" s="68">
        <f t="shared" si="5"/>
        <v>4.8750000000000002E-2</v>
      </c>
      <c r="H33" s="68">
        <f t="shared" si="5"/>
        <v>0.30263999999999996</v>
      </c>
      <c r="I33" s="68">
        <f t="shared" si="5"/>
        <v>1.95E-2</v>
      </c>
      <c r="J33" s="68">
        <f t="shared" si="5"/>
        <v>3.9000000000000005E-4</v>
      </c>
      <c r="K33" s="68">
        <f t="shared" si="5"/>
        <v>1.9500000000000001E-3</v>
      </c>
      <c r="L33" s="68">
        <f t="shared" si="5"/>
        <v>1.4703000000000001E-2</v>
      </c>
      <c r="M33" s="68">
        <f t="shared" si="5"/>
        <v>2.4414000000000002E-2</v>
      </c>
      <c r="N33" s="68">
        <f t="shared" si="5"/>
        <v>0</v>
      </c>
      <c r="O33" s="68">
        <f t="shared" si="5"/>
        <v>0</v>
      </c>
      <c r="P33" s="68">
        <f t="shared" si="5"/>
        <v>14.937000000000001</v>
      </c>
      <c r="Q33" s="68">
        <f t="shared" si="10"/>
        <v>18.329999999999998</v>
      </c>
      <c r="R33" s="68">
        <f t="shared" si="11"/>
        <v>0</v>
      </c>
      <c r="S33" s="68">
        <f t="shared" si="11"/>
        <v>0</v>
      </c>
      <c r="T33" s="68">
        <f t="shared" si="11"/>
        <v>0</v>
      </c>
      <c r="U33" s="68">
        <f t="shared" si="11"/>
        <v>0</v>
      </c>
    </row>
    <row r="34" spans="1:21" s="51" customFormat="1" ht="13" x14ac:dyDescent="0.35">
      <c r="A34" s="10" t="str">
        <f>F8</f>
        <v>BW4</v>
      </c>
      <c r="B34" s="12">
        <v>39</v>
      </c>
      <c r="C34" s="68">
        <f t="shared" si="6"/>
        <v>148.19999999999999</v>
      </c>
      <c r="D34" s="68">
        <f t="shared" si="7"/>
        <v>49.409996999999997</v>
      </c>
      <c r="E34" s="68">
        <f t="shared" si="8"/>
        <v>15.273375000000001</v>
      </c>
      <c r="F34" s="68">
        <f t="shared" si="9"/>
        <v>3.7891932000000002</v>
      </c>
      <c r="G34" s="68">
        <f t="shared" si="5"/>
        <v>4.8750000000000002E-2</v>
      </c>
      <c r="H34" s="68">
        <f t="shared" si="5"/>
        <v>0.30263999999999996</v>
      </c>
      <c r="I34" s="68">
        <f t="shared" si="5"/>
        <v>1.95E-2</v>
      </c>
      <c r="J34" s="68">
        <f t="shared" si="5"/>
        <v>3.9000000000000005E-4</v>
      </c>
      <c r="K34" s="68">
        <f t="shared" si="5"/>
        <v>1.9500000000000001E-3</v>
      </c>
      <c r="L34" s="68">
        <f t="shared" si="5"/>
        <v>1.4703000000000001E-2</v>
      </c>
      <c r="M34" s="68">
        <f t="shared" si="5"/>
        <v>2.4414000000000002E-2</v>
      </c>
      <c r="N34" s="68">
        <f t="shared" si="5"/>
        <v>0</v>
      </c>
      <c r="O34" s="68">
        <f t="shared" si="5"/>
        <v>0</v>
      </c>
      <c r="P34" s="68">
        <f t="shared" si="5"/>
        <v>14.937000000000001</v>
      </c>
      <c r="Q34" s="68">
        <f t="shared" si="10"/>
        <v>18.329999999999998</v>
      </c>
      <c r="R34" s="68">
        <f t="shared" si="11"/>
        <v>0</v>
      </c>
      <c r="S34" s="68">
        <f t="shared" si="11"/>
        <v>0</v>
      </c>
      <c r="T34" s="68">
        <f t="shared" si="11"/>
        <v>0</v>
      </c>
      <c r="U34" s="68">
        <f t="shared" si="11"/>
        <v>0</v>
      </c>
    </row>
    <row r="35" spans="1:21" s="51" customFormat="1" ht="13" x14ac:dyDescent="0.35">
      <c r="A35" s="10" t="str">
        <f>G8</f>
        <v>BW6</v>
      </c>
      <c r="B35" s="12">
        <v>39</v>
      </c>
      <c r="C35" s="68">
        <f t="shared" si="6"/>
        <v>148.19999999999999</v>
      </c>
      <c r="D35" s="68">
        <f t="shared" si="7"/>
        <v>49.409996999999997</v>
      </c>
      <c r="E35" s="68">
        <f t="shared" si="8"/>
        <v>15.273375000000001</v>
      </c>
      <c r="F35" s="68">
        <f t="shared" si="9"/>
        <v>3.7891932000000002</v>
      </c>
      <c r="G35" s="68">
        <f t="shared" si="5"/>
        <v>4.8750000000000002E-2</v>
      </c>
      <c r="H35" s="68">
        <f t="shared" si="5"/>
        <v>0.30263999999999996</v>
      </c>
      <c r="I35" s="68">
        <f t="shared" si="5"/>
        <v>1.95E-2</v>
      </c>
      <c r="J35" s="68">
        <f t="shared" si="5"/>
        <v>3.9000000000000005E-4</v>
      </c>
      <c r="K35" s="68">
        <f t="shared" si="5"/>
        <v>1.9500000000000001E-3</v>
      </c>
      <c r="L35" s="68">
        <f t="shared" si="5"/>
        <v>1.4703000000000001E-2</v>
      </c>
      <c r="M35" s="68">
        <f t="shared" si="5"/>
        <v>2.4414000000000002E-2</v>
      </c>
      <c r="N35" s="68">
        <f t="shared" si="5"/>
        <v>0</v>
      </c>
      <c r="O35" s="68">
        <f t="shared" si="5"/>
        <v>0</v>
      </c>
      <c r="P35" s="68">
        <f t="shared" si="5"/>
        <v>14.937000000000001</v>
      </c>
      <c r="Q35" s="68">
        <f t="shared" si="10"/>
        <v>18.329999999999998</v>
      </c>
      <c r="R35" s="68">
        <f t="shared" si="11"/>
        <v>0</v>
      </c>
      <c r="S35" s="68">
        <f t="shared" si="11"/>
        <v>0</v>
      </c>
      <c r="T35" s="68">
        <f t="shared" si="11"/>
        <v>0</v>
      </c>
      <c r="U35" s="68">
        <f t="shared" si="11"/>
        <v>0</v>
      </c>
    </row>
    <row r="36" spans="1:21" s="51" customFormat="1" ht="13" x14ac:dyDescent="0.35">
      <c r="A36" s="10" t="str">
        <f>H8</f>
        <v>BW7</v>
      </c>
      <c r="B36" s="12">
        <v>39</v>
      </c>
      <c r="C36" s="68">
        <f t="shared" si="6"/>
        <v>148.19999999999999</v>
      </c>
      <c r="D36" s="68">
        <f t="shared" si="7"/>
        <v>49.409996999999997</v>
      </c>
      <c r="E36" s="68">
        <f t="shared" si="8"/>
        <v>15.273375000000001</v>
      </c>
      <c r="F36" s="68">
        <f t="shared" si="9"/>
        <v>3.7891932000000002</v>
      </c>
      <c r="G36" s="68">
        <f t="shared" si="5"/>
        <v>4.8750000000000002E-2</v>
      </c>
      <c r="H36" s="68">
        <f t="shared" si="5"/>
        <v>0.30263999999999996</v>
      </c>
      <c r="I36" s="68">
        <f t="shared" si="5"/>
        <v>1.95E-2</v>
      </c>
      <c r="J36" s="68">
        <f t="shared" si="5"/>
        <v>3.9000000000000005E-4</v>
      </c>
      <c r="K36" s="68">
        <f t="shared" si="5"/>
        <v>1.9500000000000001E-3</v>
      </c>
      <c r="L36" s="68">
        <f t="shared" si="5"/>
        <v>1.4703000000000001E-2</v>
      </c>
      <c r="M36" s="68">
        <f t="shared" si="5"/>
        <v>2.4414000000000002E-2</v>
      </c>
      <c r="N36" s="68">
        <f t="shared" si="5"/>
        <v>0</v>
      </c>
      <c r="O36" s="68">
        <f t="shared" si="5"/>
        <v>0</v>
      </c>
      <c r="P36" s="68">
        <f t="shared" si="5"/>
        <v>14.937000000000001</v>
      </c>
      <c r="Q36" s="68">
        <f t="shared" si="10"/>
        <v>18.329999999999998</v>
      </c>
      <c r="R36" s="68">
        <f t="shared" si="11"/>
        <v>0</v>
      </c>
      <c r="S36" s="68">
        <f t="shared" si="11"/>
        <v>0</v>
      </c>
      <c r="T36" s="68">
        <f t="shared" si="11"/>
        <v>0</v>
      </c>
      <c r="U36" s="68">
        <f t="shared" si="11"/>
        <v>0</v>
      </c>
    </row>
    <row r="37" spans="1:21" s="51" customFormat="1" ht="13" x14ac:dyDescent="0.35">
      <c r="A37" s="10" t="str">
        <f>I8</f>
        <v>DJ1</v>
      </c>
      <c r="B37" s="12">
        <v>39</v>
      </c>
      <c r="C37" s="68">
        <f t="shared" si="6"/>
        <v>148.19999999999999</v>
      </c>
      <c r="D37" s="68">
        <f t="shared" si="7"/>
        <v>49.409996999999997</v>
      </c>
      <c r="E37" s="68">
        <f t="shared" si="8"/>
        <v>15.273375000000001</v>
      </c>
      <c r="F37" s="68">
        <f t="shared" si="9"/>
        <v>3.7891932000000002</v>
      </c>
      <c r="G37" s="68">
        <f t="shared" si="5"/>
        <v>4.8750000000000002E-2</v>
      </c>
      <c r="H37" s="68">
        <f t="shared" si="5"/>
        <v>0.30263999999999996</v>
      </c>
      <c r="I37" s="68">
        <f t="shared" si="5"/>
        <v>1.95E-2</v>
      </c>
      <c r="J37" s="68">
        <f t="shared" si="5"/>
        <v>3.9000000000000005E-4</v>
      </c>
      <c r="K37" s="68">
        <f t="shared" si="5"/>
        <v>1.9500000000000001E-3</v>
      </c>
      <c r="L37" s="68">
        <f t="shared" si="5"/>
        <v>1.4703000000000001E-2</v>
      </c>
      <c r="M37" s="68">
        <f t="shared" si="5"/>
        <v>2.4414000000000002E-2</v>
      </c>
      <c r="N37" s="68">
        <f t="shared" si="5"/>
        <v>0</v>
      </c>
      <c r="O37" s="68">
        <f t="shared" si="5"/>
        <v>0</v>
      </c>
      <c r="P37" s="68">
        <f t="shared" si="5"/>
        <v>14.937000000000001</v>
      </c>
      <c r="Q37" s="68">
        <f t="shared" si="10"/>
        <v>18.329999999999998</v>
      </c>
      <c r="R37" s="68">
        <f t="shared" si="11"/>
        <v>0</v>
      </c>
      <c r="S37" s="68">
        <f t="shared" si="11"/>
        <v>0</v>
      </c>
      <c r="T37" s="68">
        <f t="shared" si="11"/>
        <v>0</v>
      </c>
      <c r="U37" s="68">
        <f t="shared" si="11"/>
        <v>0</v>
      </c>
    </row>
    <row r="38" spans="1:21" s="51" customFormat="1" ht="13" x14ac:dyDescent="0.35">
      <c r="A38" s="10" t="str">
        <f>J8</f>
        <v>DJ2</v>
      </c>
      <c r="B38" s="12">
        <v>39</v>
      </c>
      <c r="C38" s="68">
        <f t="shared" si="6"/>
        <v>148.19999999999999</v>
      </c>
      <c r="D38" s="68">
        <f t="shared" si="7"/>
        <v>49.409996999999997</v>
      </c>
      <c r="E38" s="68">
        <f t="shared" si="8"/>
        <v>15.273375000000001</v>
      </c>
      <c r="F38" s="68">
        <f t="shared" si="9"/>
        <v>3.7891932000000002</v>
      </c>
      <c r="G38" s="68">
        <f t="shared" si="5"/>
        <v>4.8750000000000002E-2</v>
      </c>
      <c r="H38" s="68">
        <f t="shared" si="5"/>
        <v>0.30263999999999996</v>
      </c>
      <c r="I38" s="68">
        <f t="shared" si="5"/>
        <v>1.95E-2</v>
      </c>
      <c r="J38" s="68">
        <f t="shared" si="5"/>
        <v>3.9000000000000005E-4</v>
      </c>
      <c r="K38" s="68">
        <f t="shared" si="5"/>
        <v>1.9500000000000001E-3</v>
      </c>
      <c r="L38" s="68">
        <f t="shared" si="5"/>
        <v>1.4703000000000001E-2</v>
      </c>
      <c r="M38" s="68">
        <f t="shared" si="5"/>
        <v>2.4414000000000002E-2</v>
      </c>
      <c r="N38" s="68">
        <f t="shared" si="5"/>
        <v>0</v>
      </c>
      <c r="O38" s="68">
        <f t="shared" si="5"/>
        <v>0</v>
      </c>
      <c r="P38" s="68">
        <f t="shared" si="5"/>
        <v>14.937000000000001</v>
      </c>
      <c r="Q38" s="68">
        <f t="shared" si="10"/>
        <v>18.329999999999998</v>
      </c>
      <c r="R38" s="68">
        <f t="shared" si="11"/>
        <v>0</v>
      </c>
      <c r="S38" s="68">
        <f t="shared" si="11"/>
        <v>0</v>
      </c>
      <c r="T38" s="68">
        <f t="shared" si="11"/>
        <v>0</v>
      </c>
      <c r="U38" s="68">
        <f t="shared" si="11"/>
        <v>0</v>
      </c>
    </row>
    <row r="39" spans="1:21" s="51" customFormat="1" ht="13" x14ac:dyDescent="0.35">
      <c r="A39" s="10" t="str">
        <f>K8</f>
        <v>DJ3</v>
      </c>
      <c r="B39" s="12">
        <v>39</v>
      </c>
      <c r="C39" s="68">
        <f t="shared" si="6"/>
        <v>148.19999999999999</v>
      </c>
      <c r="D39" s="68">
        <f t="shared" si="7"/>
        <v>49.409996999999997</v>
      </c>
      <c r="E39" s="68">
        <f t="shared" si="8"/>
        <v>15.273375000000001</v>
      </c>
      <c r="F39" s="68">
        <f t="shared" si="9"/>
        <v>3.7891932000000002</v>
      </c>
      <c r="G39" s="68">
        <f t="shared" si="5"/>
        <v>4.8750000000000002E-2</v>
      </c>
      <c r="H39" s="68">
        <f t="shared" si="5"/>
        <v>0.30263999999999996</v>
      </c>
      <c r="I39" s="68">
        <f t="shared" si="5"/>
        <v>1.95E-2</v>
      </c>
      <c r="J39" s="68">
        <f t="shared" si="5"/>
        <v>3.9000000000000005E-4</v>
      </c>
      <c r="K39" s="68">
        <f t="shared" si="5"/>
        <v>1.9500000000000001E-3</v>
      </c>
      <c r="L39" s="68">
        <f t="shared" si="5"/>
        <v>1.4703000000000001E-2</v>
      </c>
      <c r="M39" s="68">
        <f t="shared" si="5"/>
        <v>2.4414000000000002E-2</v>
      </c>
      <c r="N39" s="68">
        <f t="shared" si="5"/>
        <v>0</v>
      </c>
      <c r="O39" s="68">
        <f t="shared" si="5"/>
        <v>0</v>
      </c>
      <c r="P39" s="68">
        <f t="shared" si="5"/>
        <v>14.937000000000001</v>
      </c>
      <c r="Q39" s="68">
        <f t="shared" si="10"/>
        <v>18.329999999999998</v>
      </c>
      <c r="R39" s="68">
        <f t="shared" si="11"/>
        <v>0</v>
      </c>
      <c r="S39" s="68">
        <f t="shared" si="11"/>
        <v>0</v>
      </c>
      <c r="T39" s="68">
        <f t="shared" si="11"/>
        <v>0</v>
      </c>
      <c r="U39" s="68">
        <f t="shared" si="11"/>
        <v>0</v>
      </c>
    </row>
    <row r="40" spans="1:21" s="51" customFormat="1" ht="13" x14ac:dyDescent="0.35">
      <c r="A40" s="10" t="str">
        <f>L8</f>
        <v>DJ4</v>
      </c>
      <c r="B40" s="12">
        <v>39</v>
      </c>
      <c r="C40" s="68">
        <f t="shared" si="6"/>
        <v>148.19999999999999</v>
      </c>
      <c r="D40" s="68">
        <f t="shared" si="7"/>
        <v>49.409996999999997</v>
      </c>
      <c r="E40" s="68">
        <f t="shared" si="8"/>
        <v>15.273375000000001</v>
      </c>
      <c r="F40" s="68">
        <f t="shared" si="9"/>
        <v>3.7891932000000002</v>
      </c>
      <c r="G40" s="68">
        <f t="shared" si="5"/>
        <v>4.8750000000000002E-2</v>
      </c>
      <c r="H40" s="68">
        <f t="shared" si="5"/>
        <v>0.30263999999999996</v>
      </c>
      <c r="I40" s="68">
        <f t="shared" si="5"/>
        <v>1.95E-2</v>
      </c>
      <c r="J40" s="68">
        <f t="shared" si="5"/>
        <v>3.9000000000000005E-4</v>
      </c>
      <c r="K40" s="68">
        <f t="shared" si="5"/>
        <v>1.9500000000000001E-3</v>
      </c>
      <c r="L40" s="68">
        <f t="shared" si="5"/>
        <v>1.4703000000000001E-2</v>
      </c>
      <c r="M40" s="68">
        <f t="shared" si="5"/>
        <v>2.4414000000000002E-2</v>
      </c>
      <c r="N40" s="68">
        <f t="shared" si="5"/>
        <v>0</v>
      </c>
      <c r="O40" s="68">
        <f t="shared" si="5"/>
        <v>0</v>
      </c>
      <c r="P40" s="68">
        <f t="shared" si="5"/>
        <v>14.937000000000001</v>
      </c>
      <c r="Q40" s="68">
        <f t="shared" si="10"/>
        <v>18.329999999999998</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"&amp;(VLOOKUP(C14,Table24567[],6,FALSE))</f>
        <v>Sandy Loam I Grass</v>
      </c>
      <c r="C58" s="10" t="str">
        <f>D16&amp;" I "&amp;(VLOOKUP(D14,Table24567[],6,FALSE))</f>
        <v>Sandy Loam I Grass</v>
      </c>
      <c r="D58" s="10" t="str">
        <f>E16&amp;" I "&amp;(VLOOKUP(E14,Table24567[],6,FALSE))</f>
        <v>Sandy Loam I Grass</v>
      </c>
      <c r="E58" s="10" t="str">
        <f>F16&amp;" I "&amp;(VLOOKUP(F14,Table24567[],6,FALSE))</f>
        <v>Sandy Loam I Grass</v>
      </c>
      <c r="F58" s="10" t="str">
        <f>G16&amp;" I "&amp;(VLOOKUP(G14,Table24567[],6,FALSE))</f>
        <v>Sandy Loam I Grass</v>
      </c>
      <c r="G58" s="10" t="str">
        <f>H16&amp;" I "&amp;(VLOOKUP(H14,Table24567[],6,FALSE))</f>
        <v>Sandy Loam I Grass</v>
      </c>
      <c r="H58" s="10" t="str">
        <f>I16&amp;" I "&amp;(VLOOKUP(I14,Table24567[],6,FALSE))</f>
        <v>Sandy Loam I Grass</v>
      </c>
      <c r="I58" s="10" t="str">
        <f>J16&amp;" I "&amp;(VLOOKUP(J14,Table24567[],6,FALSE))</f>
        <v>Sandy Loam I Grass</v>
      </c>
      <c r="J58" s="10" t="str">
        <f>K16&amp;" I "&amp;(VLOOKUP(K14,Table24567[],6,FALSE))</f>
        <v>Sandy Loam I Grass</v>
      </c>
      <c r="K58" s="10" t="str">
        <f>L16&amp;" I "&amp;(VLOOKUP(L14,Table24567[],6,FALSE))</f>
        <v>Sandy Loam I Grass</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100" t="s">
        <v>132</v>
      </c>
      <c r="B59" s="67">
        <f>VLOOKUP(C$14,Table24567[],5,FALSE)</f>
        <v>6.2</v>
      </c>
      <c r="C59" s="67">
        <f>VLOOKUP(D$14,Table24567[],5,FALSE)</f>
        <v>6.2</v>
      </c>
      <c r="D59" s="67">
        <f>VLOOKUP(E$14,Table24567[],5,FALSE)</f>
        <v>6.2</v>
      </c>
      <c r="E59" s="67">
        <f>VLOOKUP(F$14,Table24567[],5,FALSE)</f>
        <v>6.2</v>
      </c>
      <c r="F59" s="67">
        <f>VLOOKUP(G$14,Table24567[],5,FALSE)</f>
        <v>6.2</v>
      </c>
      <c r="G59" s="67">
        <f>VLOOKUP(H$14,Table24567[],5,FALSE)</f>
        <v>6.2</v>
      </c>
      <c r="H59" s="67">
        <f>VLOOKUP(I$14,Table24567[],5,FALSE)</f>
        <v>6.2</v>
      </c>
      <c r="I59" s="67">
        <f>VLOOKUP(J$14,Table24567[],5,FALSE)</f>
        <v>6.2</v>
      </c>
      <c r="J59" s="67">
        <f>VLOOKUP(K$14,Table24567[],5,FALSE)</f>
        <v>6.2</v>
      </c>
      <c r="K59" s="67">
        <f>VLOOKUP(L$14,Table24567[],5,FALSE)</f>
        <v>6.2</v>
      </c>
      <c r="L59" s="67" t="e">
        <f>VLOOKUP(M$14,Table24567[],5,FALSE)</f>
        <v>#N/A</v>
      </c>
      <c r="M59" s="67" t="e">
        <f>VLOOKUP(N$14,Table24567[],5,FALSE)</f>
        <v>#N/A</v>
      </c>
      <c r="N59" s="67" t="e">
        <f>VLOOKUP(O$14,Table24567[],5,FALSE)</f>
        <v>#N/A</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39</v>
      </c>
      <c r="C62" s="68">
        <f>B32</f>
        <v>39</v>
      </c>
      <c r="D62" s="68">
        <f>B33</f>
        <v>39</v>
      </c>
      <c r="E62" s="68">
        <f>B34</f>
        <v>39</v>
      </c>
      <c r="F62" s="68">
        <f>B35</f>
        <v>39</v>
      </c>
      <c r="G62" s="68">
        <f>B36</f>
        <v>39</v>
      </c>
      <c r="H62" s="68">
        <f>B37</f>
        <v>39</v>
      </c>
      <c r="I62" s="68">
        <f>B38</f>
        <v>39</v>
      </c>
      <c r="J62" s="68">
        <f>B39</f>
        <v>39</v>
      </c>
      <c r="K62" s="68">
        <f>B40</f>
        <v>39</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A18" zoomScale="90" zoomScaleNormal="90" workbookViewId="0">
      <selection activeCell="H32" sqref="H3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'Secanim '!C1:D1</f>
        <v>PAN-026626</v>
      </c>
      <c r="D1" s="128"/>
      <c r="E1" s="83" t="s">
        <v>45</v>
      </c>
      <c r="F1" s="32">
        <f>'Secanim '!F1</f>
        <v>39.299999999999997</v>
      </c>
      <c r="G1" s="110" t="s">
        <v>43</v>
      </c>
      <c r="H1" s="111"/>
      <c r="I1" s="86">
        <v>5.23</v>
      </c>
      <c r="J1" s="114" t="s">
        <v>153</v>
      </c>
      <c r="K1" s="114"/>
      <c r="L1" s="86">
        <v>32.6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'Secanim '!C2:D2</f>
        <v>FB3606GC</v>
      </c>
      <c r="D2" s="130"/>
      <c r="E2" s="83" t="s">
        <v>109</v>
      </c>
      <c r="F2" s="86" t="s">
        <v>187</v>
      </c>
      <c r="G2" s="112" t="s">
        <v>110</v>
      </c>
      <c r="H2" s="113"/>
      <c r="I2" s="86">
        <v>366</v>
      </c>
      <c r="J2" s="114" t="s">
        <v>158</v>
      </c>
      <c r="K2" s="114"/>
      <c r="L2" s="86">
        <v>7.0000000000000007E-2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'Secanim '!C3:D3</f>
        <v xml:space="preserve">Agrispread LTD </v>
      </c>
      <c r="D3" s="130"/>
      <c r="E3" s="83" t="s">
        <v>108</v>
      </c>
      <c r="F3" s="24" t="s">
        <v>78</v>
      </c>
      <c r="G3" s="114" t="s">
        <v>159</v>
      </c>
      <c r="H3" s="114"/>
      <c r="I3" s="86">
        <v>500</v>
      </c>
      <c r="J3" s="110" t="s">
        <v>154</v>
      </c>
      <c r="K3" s="111"/>
      <c r="L3" s="86">
        <f>(L1/(L2*10000))*100</f>
        <v>4.6571428571428566</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'Secanim '!C4:D4</f>
        <v>Prysau Farm, Babell, Holywell, CH8 8PY</v>
      </c>
      <c r="D4" s="128"/>
      <c r="E4" s="84" t="s">
        <v>1</v>
      </c>
      <c r="F4" s="86" t="s">
        <v>189</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'Secanim '!C5:D5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'Secanim '!C8</f>
        <v>BW1</v>
      </c>
      <c r="D8" s="52" t="str">
        <f>'Secanim '!D8</f>
        <v>BW2</v>
      </c>
      <c r="E8" s="52" t="str">
        <f>'Secanim '!E8</f>
        <v>BW3</v>
      </c>
      <c r="F8" s="52" t="str">
        <f>'Secanim '!F8</f>
        <v>BW4</v>
      </c>
      <c r="G8" s="52" t="str">
        <f>'Secanim '!G8</f>
        <v>BW6</v>
      </c>
      <c r="H8" s="52" t="str">
        <f>'Secanim '!H8</f>
        <v>BW7</v>
      </c>
      <c r="I8" s="52" t="str">
        <f>'Secanim '!I8</f>
        <v>DJ1</v>
      </c>
      <c r="J8" s="52" t="str">
        <f>'Secanim '!J8</f>
        <v>DJ2</v>
      </c>
      <c r="K8" s="52" t="str">
        <f>'Secanim '!K8</f>
        <v>DJ3</v>
      </c>
      <c r="L8" s="52" t="str">
        <f>'Secanim '!L8</f>
        <v>DJ4</v>
      </c>
      <c r="M8" s="52">
        <f>'Secanim '!M8</f>
        <v>0</v>
      </c>
      <c r="N8" s="52">
        <f>'Secanim '!N8</f>
        <v>0</v>
      </c>
      <c r="O8" s="52">
        <f>'Secanim '!O8</f>
        <v>0</v>
      </c>
      <c r="P8" s="52">
        <f>'Secanim '!P8</f>
        <v>0</v>
      </c>
      <c r="Q8" s="52">
        <f>'Secanim '!Q8</f>
        <v>0</v>
      </c>
      <c r="R8" s="52">
        <f>'Secanim '!R8</f>
        <v>0</v>
      </c>
      <c r="S8" s="52">
        <f>'Secanim '!S8</f>
        <v>0</v>
      </c>
      <c r="T8" s="52">
        <f>'Secanim '!T8</f>
        <v>0</v>
      </c>
      <c r="U8" s="52">
        <f>'Secanim '!U8</f>
        <v>0</v>
      </c>
      <c r="V8" s="52">
        <f>'Secanim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'Secanim '!C9</f>
        <v xml:space="preserve">Moderate </v>
      </c>
      <c r="D9" s="52" t="str">
        <f>'Secanim '!D9</f>
        <v xml:space="preserve">Moderate </v>
      </c>
      <c r="E9" s="52" t="str">
        <f>'Secanim '!E9</f>
        <v xml:space="preserve">Moderate </v>
      </c>
      <c r="F9" s="52" t="str">
        <f>'Secanim '!F9</f>
        <v xml:space="preserve">Moderate </v>
      </c>
      <c r="G9" s="52" t="str">
        <f>'Secanim '!G9</f>
        <v xml:space="preserve">Moderate </v>
      </c>
      <c r="H9" s="52" t="str">
        <f>'Secanim '!H9</f>
        <v xml:space="preserve">Moderate </v>
      </c>
      <c r="I9" s="52" t="str">
        <f>'Secanim '!I9</f>
        <v xml:space="preserve">Moderate </v>
      </c>
      <c r="J9" s="52" t="str">
        <f>'Secanim '!J9</f>
        <v xml:space="preserve">Moderate </v>
      </c>
      <c r="K9" s="52" t="str">
        <f>'Secanim '!K9</f>
        <v xml:space="preserve">Moderate </v>
      </c>
      <c r="L9" s="52" t="str">
        <f>'Secanim '!L9</f>
        <v xml:space="preserve">Moderate </v>
      </c>
      <c r="M9" s="52">
        <f>'Secanim '!M9</f>
        <v>0</v>
      </c>
      <c r="N9" s="52">
        <f>'Secanim '!N9</f>
        <v>0</v>
      </c>
      <c r="O9" s="52">
        <f>'Secanim '!O9</f>
        <v>0</v>
      </c>
      <c r="P9" s="52">
        <f>'Secanim '!P9</f>
        <v>0</v>
      </c>
      <c r="Q9" s="52">
        <f>'Secanim '!Q9</f>
        <v>0</v>
      </c>
      <c r="R9" s="52">
        <f>'Secanim '!R9</f>
        <v>0</v>
      </c>
      <c r="S9" s="52">
        <f>'Secanim '!S9</f>
        <v>0</v>
      </c>
      <c r="T9" s="52">
        <f>'Secanim '!T9</f>
        <v>0</v>
      </c>
      <c r="U9" s="52">
        <f>'Secanim '!U9</f>
        <v>0</v>
      </c>
      <c r="V9" s="52">
        <f>'Secanim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'Secanim '!C10</f>
        <v>5.7</v>
      </c>
      <c r="D10" s="52">
        <f>'Secanim '!D10</f>
        <v>5.9</v>
      </c>
      <c r="E10" s="52">
        <f>'Secanim '!E10</f>
        <v>5.7</v>
      </c>
      <c r="F10" s="52">
        <f>'Secanim '!F10</f>
        <v>5.9</v>
      </c>
      <c r="G10" s="52">
        <f>'Secanim '!G10</f>
        <v>6.4</v>
      </c>
      <c r="H10" s="52">
        <f>'Secanim '!H10</f>
        <v>5.9</v>
      </c>
      <c r="I10" s="52">
        <f>'Secanim '!I10</f>
        <v>6.6</v>
      </c>
      <c r="J10" s="52">
        <f>'Secanim '!J10</f>
        <v>5.7</v>
      </c>
      <c r="K10" s="52">
        <f>'Secanim '!K10</f>
        <v>6.1</v>
      </c>
      <c r="L10" s="52">
        <f>'Secanim '!L10</f>
        <v>5.2</v>
      </c>
      <c r="M10" s="52">
        <f>'Secanim '!M10</f>
        <v>0</v>
      </c>
      <c r="N10" s="52">
        <f>'Secanim '!N10</f>
        <v>0</v>
      </c>
      <c r="O10" s="52">
        <f>'Secanim '!O10</f>
        <v>0</v>
      </c>
      <c r="P10" s="52">
        <f>'Secanim '!P10</f>
        <v>0</v>
      </c>
      <c r="Q10" s="52">
        <f>'Secanim '!Q10</f>
        <v>0</v>
      </c>
      <c r="R10" s="52">
        <f>'Secanim '!R10</f>
        <v>0</v>
      </c>
      <c r="S10" s="52">
        <f>'Secanim '!S10</f>
        <v>0</v>
      </c>
      <c r="T10" s="52">
        <f>'Secanim '!T10</f>
        <v>0</v>
      </c>
      <c r="U10" s="52">
        <f>'Secanim '!U10</f>
        <v>0</v>
      </c>
      <c r="V10" s="52">
        <f>'Secanim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'Secanim '!C11</f>
        <v>1</v>
      </c>
      <c r="D11" s="52">
        <f>'Secanim '!D11</f>
        <v>2</v>
      </c>
      <c r="E11" s="52">
        <f>'Secanim '!E11</f>
        <v>2</v>
      </c>
      <c r="F11" s="52">
        <f>'Secanim '!F11</f>
        <v>2</v>
      </c>
      <c r="G11" s="52">
        <f>'Secanim '!G11</f>
        <v>2</v>
      </c>
      <c r="H11" s="52">
        <f>'Secanim '!H11</f>
        <v>2</v>
      </c>
      <c r="I11" s="52">
        <f>'Secanim '!I11</f>
        <v>0</v>
      </c>
      <c r="J11" s="52">
        <f>'Secanim '!J11</f>
        <v>1</v>
      </c>
      <c r="K11" s="52">
        <f>'Secanim '!K11</f>
        <v>0</v>
      </c>
      <c r="L11" s="52">
        <f>'Secanim '!L11</f>
        <v>0</v>
      </c>
      <c r="M11" s="52">
        <f>'Secanim '!M11</f>
        <v>0</v>
      </c>
      <c r="N11" s="52">
        <f>'Secanim '!N11</f>
        <v>0</v>
      </c>
      <c r="O11" s="52">
        <f>'Secanim '!O11</f>
        <v>0</v>
      </c>
      <c r="P11" s="52">
        <f>'Secanim '!P11</f>
        <v>0</v>
      </c>
      <c r="Q11" s="52">
        <f>'Secanim '!Q11</f>
        <v>0</v>
      </c>
      <c r="R11" s="52">
        <f>'Secanim '!R11</f>
        <v>0</v>
      </c>
      <c r="S11" s="52">
        <f>'Secanim '!S11</f>
        <v>0</v>
      </c>
      <c r="T11" s="52">
        <f>'Secanim '!T11</f>
        <v>0</v>
      </c>
      <c r="U11" s="52">
        <f>'Secanim '!U11</f>
        <v>0</v>
      </c>
      <c r="V11" s="52">
        <f>'Secanim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'Secanim '!C12</f>
        <v>0</v>
      </c>
      <c r="D12" s="52">
        <f>'Secanim '!D12</f>
        <v>0</v>
      </c>
      <c r="E12" s="52">
        <f>'Secanim '!E12</f>
        <v>1</v>
      </c>
      <c r="F12" s="52">
        <f>'Secanim '!F12</f>
        <v>1</v>
      </c>
      <c r="G12" s="52">
        <f>'Secanim '!G12</f>
        <v>0</v>
      </c>
      <c r="H12" s="52">
        <f>'Secanim '!H12</f>
        <v>1</v>
      </c>
      <c r="I12" s="52">
        <f>'Secanim '!I12</f>
        <v>1</v>
      </c>
      <c r="J12" s="52">
        <f>'Secanim '!J12</f>
        <v>2</v>
      </c>
      <c r="K12" s="52">
        <f>'Secanim '!K12</f>
        <v>2</v>
      </c>
      <c r="L12" s="52">
        <f>'Secanim '!L12</f>
        <v>3</v>
      </c>
      <c r="M12" s="52">
        <f>'Secanim '!M12</f>
        <v>0</v>
      </c>
      <c r="N12" s="52">
        <f>'Secanim '!N12</f>
        <v>0</v>
      </c>
      <c r="O12" s="52">
        <f>'Secanim '!O12</f>
        <v>0</v>
      </c>
      <c r="P12" s="52">
        <f>'Secanim '!P12</f>
        <v>0</v>
      </c>
      <c r="Q12" s="52">
        <f>'Secanim '!Q12</f>
        <v>0</v>
      </c>
      <c r="R12" s="52">
        <f>'Secanim '!R12</f>
        <v>0</v>
      </c>
      <c r="S12" s="52">
        <f>'Secanim '!S12</f>
        <v>0</v>
      </c>
      <c r="T12" s="52">
        <f>'Secanim '!T12</f>
        <v>0</v>
      </c>
      <c r="U12" s="52">
        <f>'Secanim '!U12</f>
        <v>0</v>
      </c>
      <c r="V12" s="52">
        <f>'Secanim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'Secanim '!C13</f>
        <v>2</v>
      </c>
      <c r="D13" s="52">
        <f>'Secanim '!D13</f>
        <v>2</v>
      </c>
      <c r="E13" s="52">
        <f>'Secanim '!E13</f>
        <v>2</v>
      </c>
      <c r="F13" s="52">
        <f>'Secanim '!F13</f>
        <v>2</v>
      </c>
      <c r="G13" s="52">
        <f>'Secanim '!G13</f>
        <v>2</v>
      </c>
      <c r="H13" s="52">
        <f>'Secanim '!H13</f>
        <v>2</v>
      </c>
      <c r="I13" s="52">
        <f>'Secanim '!I13</f>
        <v>2</v>
      </c>
      <c r="J13" s="52">
        <f>'Secanim '!J13</f>
        <v>2</v>
      </c>
      <c r="K13" s="52">
        <f>'Secanim '!K13</f>
        <v>2</v>
      </c>
      <c r="L13" s="52">
        <f>'Secanim '!L13</f>
        <v>2</v>
      </c>
      <c r="M13" s="52">
        <f>'Secanim '!M13</f>
        <v>0</v>
      </c>
      <c r="N13" s="52">
        <f>'Secanim '!N13</f>
        <v>0</v>
      </c>
      <c r="O13" s="52">
        <f>'Secanim '!O13</f>
        <v>0</v>
      </c>
      <c r="P13" s="52">
        <f>'Secanim '!P13</f>
        <v>0</v>
      </c>
      <c r="Q13" s="52">
        <f>'Secanim '!Q13</f>
        <v>0</v>
      </c>
      <c r="R13" s="52">
        <f>'Secanim '!R13</f>
        <v>0</v>
      </c>
      <c r="S13" s="52">
        <f>'Secanim '!S13</f>
        <v>0</v>
      </c>
      <c r="T13" s="52">
        <f>'Secanim '!T13</f>
        <v>0</v>
      </c>
      <c r="U13" s="52">
        <f>'Secanim '!U13</f>
        <v>0</v>
      </c>
      <c r="V13" s="52">
        <f>'Secanim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'Secanim '!C14</f>
        <v xml:space="preserve">Grass Silage (25% DM) </v>
      </c>
      <c r="D14" s="91" t="str">
        <f>'Secanim '!D14</f>
        <v xml:space="preserve">Grass Silage (25% DM) </v>
      </c>
      <c r="E14" s="91" t="str">
        <f>'Secanim '!E14</f>
        <v xml:space="preserve">Grass Silage (25% DM) </v>
      </c>
      <c r="F14" s="91" t="str">
        <f>'Secanim '!F14</f>
        <v xml:space="preserve">Grass Silage (25% DM) </v>
      </c>
      <c r="G14" s="91" t="str">
        <f>'Secanim '!G14</f>
        <v xml:space="preserve">Grass Silage (25% DM) </v>
      </c>
      <c r="H14" s="91" t="str">
        <f>'Secanim '!H14</f>
        <v xml:space="preserve">Grass Silage (25% DM) </v>
      </c>
      <c r="I14" s="91" t="str">
        <f>'Secanim '!I14</f>
        <v xml:space="preserve">Grass Silage (25% DM) </v>
      </c>
      <c r="J14" s="91" t="str">
        <f>'Secanim '!J14</f>
        <v xml:space="preserve">Grass Silage (25% DM) </v>
      </c>
      <c r="K14" s="91" t="str">
        <f>'Secanim '!K14</f>
        <v xml:space="preserve">Grass Silage (25% DM) </v>
      </c>
      <c r="L14" s="91" t="str">
        <f>'Secanim '!L14</f>
        <v xml:space="preserve">Grass Silage (25% DM) </v>
      </c>
      <c r="M14" s="91">
        <f>'Secanim '!M14</f>
        <v>0</v>
      </c>
      <c r="N14" s="91">
        <f>'Secanim '!N14</f>
        <v>0</v>
      </c>
      <c r="O14" s="91">
        <f>'Secanim '!O14</f>
        <v>0</v>
      </c>
      <c r="P14" s="91">
        <f>'Secanim '!P14</f>
        <v>0</v>
      </c>
      <c r="Q14" s="91">
        <f>'Secanim '!Q14</f>
        <v>0</v>
      </c>
      <c r="R14" s="91">
        <f>'Secanim '!R14</f>
        <v>0</v>
      </c>
      <c r="S14" s="91">
        <f>'Secanim '!S14</f>
        <v>0</v>
      </c>
      <c r="T14" s="91">
        <f>'Secanim '!T14</f>
        <v>0</v>
      </c>
      <c r="U14" s="91">
        <f>'Secanim '!U14</f>
        <v>0</v>
      </c>
      <c r="V14" s="91">
        <f>'Secanim '!V14</f>
        <v>0</v>
      </c>
      <c r="AD14" s="23" t="s">
        <v>138</v>
      </c>
      <c r="AE14" s="23">
        <v>6</v>
      </c>
      <c r="AI14" s="46" t="s">
        <v>119</v>
      </c>
      <c r="AJ14" s="47">
        <v>0.8</v>
      </c>
      <c r="AK14" s="48">
        <v>1.7</v>
      </c>
      <c r="AL14" s="9">
        <v>12</v>
      </c>
      <c r="AM14" s="9">
        <v>6.7</v>
      </c>
      <c r="AN14" s="9" t="s">
        <v>135</v>
      </c>
    </row>
    <row r="15" spans="1:41" ht="13" x14ac:dyDescent="0.25">
      <c r="A15" s="122" t="s">
        <v>9</v>
      </c>
      <c r="B15" s="122"/>
      <c r="C15" s="52">
        <f>'Secanim '!C15</f>
        <v>38</v>
      </c>
      <c r="D15" s="52">
        <f>'Secanim '!D15</f>
        <v>38</v>
      </c>
      <c r="E15" s="52">
        <f>'Secanim '!E15</f>
        <v>38</v>
      </c>
      <c r="F15" s="52">
        <f>'Secanim '!F15</f>
        <v>38</v>
      </c>
      <c r="G15" s="52">
        <f>'Secanim '!G15</f>
        <v>38</v>
      </c>
      <c r="H15" s="52">
        <f>'Secanim '!H15</f>
        <v>38</v>
      </c>
      <c r="I15" s="52">
        <f>'Secanim '!I15</f>
        <v>38</v>
      </c>
      <c r="J15" s="52">
        <f>'Secanim '!J15</f>
        <v>38</v>
      </c>
      <c r="K15" s="52">
        <f>'Secanim '!K15</f>
        <v>38</v>
      </c>
      <c r="L15" s="52">
        <f>'Secanim '!L15</f>
        <v>38</v>
      </c>
      <c r="M15" s="52">
        <f>'Secanim '!M15</f>
        <v>0</v>
      </c>
      <c r="N15" s="52">
        <f>'Secanim '!N15</f>
        <v>0</v>
      </c>
      <c r="O15" s="52">
        <f>'Secanim '!O15</f>
        <v>0</v>
      </c>
      <c r="P15" s="52">
        <f>'Secanim '!P15</f>
        <v>0</v>
      </c>
      <c r="Q15" s="52">
        <f>'Secanim '!Q15</f>
        <v>0</v>
      </c>
      <c r="R15" s="52">
        <f>'Secanim '!R15</f>
        <v>0</v>
      </c>
      <c r="S15" s="52">
        <f>'Secanim '!S15</f>
        <v>0</v>
      </c>
      <c r="T15" s="52">
        <f>'Secanim '!T15</f>
        <v>0</v>
      </c>
      <c r="U15" s="52">
        <f>'Secanim '!U15</f>
        <v>0</v>
      </c>
      <c r="V15" s="52">
        <f>'Secanim '!V15</f>
        <v>0</v>
      </c>
      <c r="AD15" s="23" t="s">
        <v>144</v>
      </c>
      <c r="AE15" s="23">
        <v>7</v>
      </c>
      <c r="AI15" s="46" t="s">
        <v>101</v>
      </c>
      <c r="AJ15" s="54">
        <v>1.8</v>
      </c>
      <c r="AK15" s="48">
        <v>5.4</v>
      </c>
      <c r="AL15" s="9">
        <v>13</v>
      </c>
      <c r="AM15" s="9">
        <v>6.7</v>
      </c>
      <c r="AN15" s="9" t="s">
        <v>135</v>
      </c>
    </row>
    <row r="16" spans="1:41" ht="13.5" thickBot="1" x14ac:dyDescent="0.3">
      <c r="A16" s="124" t="s">
        <v>44</v>
      </c>
      <c r="B16" s="124"/>
      <c r="C16" s="92" t="str">
        <f>'Secanim '!C16</f>
        <v>Sandy Loam</v>
      </c>
      <c r="D16" s="92" t="str">
        <f>'Secanim '!D16</f>
        <v>Sandy Loam</v>
      </c>
      <c r="E16" s="92" t="str">
        <f>'Secanim '!E16</f>
        <v>Sandy Loam</v>
      </c>
      <c r="F16" s="92" t="str">
        <f>'Secanim '!F16</f>
        <v>Sandy Loam</v>
      </c>
      <c r="G16" s="92" t="str">
        <f>'Secanim '!G16</f>
        <v>Sandy Loam</v>
      </c>
      <c r="H16" s="92" t="str">
        <f>'Secanim '!H16</f>
        <v>Sandy Loam</v>
      </c>
      <c r="I16" s="92" t="str">
        <f>'Secanim '!I16</f>
        <v>Sandy Loam</v>
      </c>
      <c r="J16" s="92" t="str">
        <f>'Secanim '!J16</f>
        <v>Sandy Loam</v>
      </c>
      <c r="K16" s="92" t="str">
        <f>'Secanim '!K16</f>
        <v>Sandy Loam</v>
      </c>
      <c r="L16" s="92" t="str">
        <f>'Secanim '!L16</f>
        <v>Sandy Loam</v>
      </c>
      <c r="M16" s="92">
        <f>'Secanim '!M16</f>
        <v>0</v>
      </c>
      <c r="N16" s="92">
        <f>'Secanim '!N16</f>
        <v>0</v>
      </c>
      <c r="O16" s="92">
        <f>'Secanim '!O16</f>
        <v>0</v>
      </c>
      <c r="P16" s="92">
        <f>'Secanim '!P16</f>
        <v>0</v>
      </c>
      <c r="Q16" s="92">
        <f>'Secanim '!Q16</f>
        <v>0</v>
      </c>
      <c r="R16" s="92">
        <f>'Secanim '!R16</f>
        <v>0</v>
      </c>
      <c r="S16" s="92">
        <f>'Secanim '!S16</f>
        <v>0</v>
      </c>
      <c r="T16" s="92">
        <f>'Secanim '!T16</f>
        <v>0</v>
      </c>
      <c r="U16" s="92">
        <f>'Secanim '!U16</f>
        <v>0</v>
      </c>
      <c r="V16" s="92">
        <f>'Secanim '!V16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21.787409999999998</v>
      </c>
      <c r="D18" s="13">
        <f>$D32</f>
        <v>21.787409999999998</v>
      </c>
      <c r="E18" s="13">
        <f>$D33</f>
        <v>21.787409999999998</v>
      </c>
      <c r="F18" s="13">
        <f>$D34</f>
        <v>21.787409999999998</v>
      </c>
      <c r="G18" s="13">
        <f>$D35</f>
        <v>21.787409999999998</v>
      </c>
      <c r="H18" s="13">
        <f>$D36</f>
        <v>21.787409999999998</v>
      </c>
      <c r="I18" s="13">
        <f>$D37</f>
        <v>21.787409999999998</v>
      </c>
      <c r="J18" s="13">
        <f>$D38</f>
        <v>21.787409999999998</v>
      </c>
      <c r="K18" s="13">
        <f>$D39</f>
        <v>21.787409999999998</v>
      </c>
      <c r="L18" s="13">
        <f>$D40</f>
        <v>21.787409999999998</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-42.81259</v>
      </c>
      <c r="D19" s="13">
        <f t="shared" ref="D19:V19" si="1">D18-D17</f>
        <v>-42.81259</v>
      </c>
      <c r="E19" s="13">
        <f t="shared" si="1"/>
        <v>-42.81259</v>
      </c>
      <c r="F19" s="13">
        <f t="shared" si="1"/>
        <v>-42.81259</v>
      </c>
      <c r="G19" s="13">
        <f t="shared" si="1"/>
        <v>-42.81259</v>
      </c>
      <c r="H19" s="13">
        <f t="shared" si="1"/>
        <v>-42.81259</v>
      </c>
      <c r="I19" s="13">
        <f t="shared" si="1"/>
        <v>-42.81259</v>
      </c>
      <c r="J19" s="13">
        <f t="shared" si="1"/>
        <v>-42.81259</v>
      </c>
      <c r="K19" s="13">
        <f t="shared" si="1"/>
        <v>-42.81259</v>
      </c>
      <c r="L19" s="13">
        <f t="shared" si="1"/>
        <v>-42.81259</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7.3203750000000003</v>
      </c>
      <c r="D22" s="13">
        <f>$E32</f>
        <v>7.3203750000000003</v>
      </c>
      <c r="E22" s="13">
        <f>$E33</f>
        <v>7.3203750000000003</v>
      </c>
      <c r="F22" s="13">
        <f>$E34</f>
        <v>7.3203750000000003</v>
      </c>
      <c r="G22" s="13">
        <f>$E35</f>
        <v>7.3203750000000003</v>
      </c>
      <c r="H22" s="13">
        <f>$E36</f>
        <v>7.3203750000000003</v>
      </c>
      <c r="I22" s="13">
        <f>$E37</f>
        <v>7.3203750000000003</v>
      </c>
      <c r="J22" s="13">
        <f>$E38</f>
        <v>7.3203750000000003</v>
      </c>
      <c r="K22" s="13">
        <f>$E39</f>
        <v>7.3203750000000003</v>
      </c>
      <c r="L22" s="13">
        <f>$E40</f>
        <v>7.3203750000000003</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-220.67962499999999</v>
      </c>
      <c r="D23" s="13">
        <f t="shared" ref="D23:V23" si="3">D22-D21</f>
        <v>-220.67962499999999</v>
      </c>
      <c r="E23" s="13">
        <f t="shared" si="3"/>
        <v>-220.67962499999999</v>
      </c>
      <c r="F23" s="13">
        <f t="shared" si="3"/>
        <v>-220.67962499999999</v>
      </c>
      <c r="G23" s="13">
        <f t="shared" si="3"/>
        <v>-220.67962499999999</v>
      </c>
      <c r="H23" s="13">
        <f t="shared" si="3"/>
        <v>-220.67962499999999</v>
      </c>
      <c r="I23" s="13">
        <f t="shared" si="3"/>
        <v>-220.67962499999999</v>
      </c>
      <c r="J23" s="13">
        <f t="shared" si="3"/>
        <v>-220.67962499999999</v>
      </c>
      <c r="K23" s="13">
        <f t="shared" si="3"/>
        <v>-220.67962499999999</v>
      </c>
      <c r="L23" s="13">
        <f t="shared" si="3"/>
        <v>-220.67962499999999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1.07</v>
      </c>
      <c r="C28" s="12">
        <v>7.0000000000000007E-2</v>
      </c>
      <c r="D28" s="12">
        <v>63.4</v>
      </c>
      <c r="E28" s="12">
        <v>40.5</v>
      </c>
      <c r="F28" s="12">
        <v>12.6</v>
      </c>
      <c r="G28" s="12">
        <v>0.2</v>
      </c>
      <c r="H28" s="12">
        <v>5.66</v>
      </c>
      <c r="I28" s="12">
        <v>0.5</v>
      </c>
      <c r="J28" s="12">
        <v>0.01</v>
      </c>
      <c r="K28" s="16">
        <v>0.05</v>
      </c>
      <c r="L28" s="12">
        <v>0.02</v>
      </c>
      <c r="M28" s="12">
        <v>0.2</v>
      </c>
      <c r="N28" s="12"/>
      <c r="O28" s="12"/>
      <c r="P28" s="12">
        <v>327</v>
      </c>
      <c r="Q28" s="12">
        <v>61.8</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BW1</v>
      </c>
      <c r="B31" s="12">
        <v>150</v>
      </c>
      <c r="C31" s="68">
        <f>IF(C$27="%w/w SAR",((C$28*10)*$B31),IF(C$27="%w/w DM",(((C$28*10)*($B$28/100))*$B31),IF(C$27="kg/t SAR",(C$28*$B31),IF(C$27="kg/t DM",((C$28*($B$28/100))*$B31),IF(C$27="mg/kg SAR",((C$28*0.001)*$B31),IF(C$27="mg/kg DM",(((C$28*0.001)*($B$28/100))*$B31),0))))))</f>
        <v>105.00000000000001</v>
      </c>
      <c r="D31" s="68">
        <f>(IF(D$27="%w/w SAR",((D$28*10)*$B31),IF(D$27="%w/w DM",(((D$28*10)*($B$28/100))*$B31),IF(D$27="kg/t SAR",(D$28*$B31),IF(D$27="kg/t DM",((D$28*($B$28/100))*$B31),IF(D$27="mg/kg SAR",((D$28*0.001)*$B31),IF(D$27="mg/kg DM",(((D$28*0.001)*($B$28/100))*$B31),"0")))))))*2.291</f>
        <v>21.787409999999998</v>
      </c>
      <c r="E31" s="68">
        <f>(IF(E$27="%w/w SAR",((E$28*10)*$B31),IF(E$27="%w/w DM",(((E$28*10)*($B$28/100))*$B31),IF(E$27="kg/t SAR",(E$28*$B31),IF(E$27="kg/t DM",((E$28*($B$28/100))*$B31),IF(E$27="mg/kg SAR",((E$28*0.001)*$B31),IF(E$27="mg/kg DM",(((E$28*0.001)*($B$28/100))*$B31),"0")))))))*1.205</f>
        <v>7.3203750000000003</v>
      </c>
      <c r="F31" s="68">
        <f>(IF(F$27="%w/w SAR",((F$28*10)*$B31),IF(F$27="%w/w DM",(((F$28*10)*($B$28/100))*$B31),IF(F$27="kg/t SAR",(F$28*$B31),IF(F$27="kg/t DM",((F$28*($B$28/100))*$B31),IF(F$27="mg/kg SAR",((F$28*0.001)*$B31),IF(F$27="mg/kg DM",(((F$28*0.001)*($B$28/100))*$B31),"0")))))))*1.658</f>
        <v>3.1336200000000001</v>
      </c>
      <c r="G31" s="68">
        <f t="shared" ref="G31:P46" si="5">IF(G$27="%w/w SAR",((G$28*10)*$B31),IF(G$27="%w/w DM",(((G$28*10)*($B$28/100))*$B31),IF(G$27="kg/t SAR",(G$28*$B31),IF(G$27="kg/t DM",((G$28*($B$28/100))*$B31),IF(G$27="mg/kg SAR",((G$28*0.001)*$B31),IF(G$27="mg/kg DM",(((G$28*0.001)*($B$28/100))*$B31),0))))))</f>
        <v>3.0000000000000002E-2</v>
      </c>
      <c r="H31" s="68">
        <f t="shared" si="5"/>
        <v>0.84899999999999998</v>
      </c>
      <c r="I31" s="68">
        <f t="shared" si="5"/>
        <v>7.4999999999999997E-2</v>
      </c>
      <c r="J31" s="68">
        <f t="shared" si="5"/>
        <v>1.5E-3</v>
      </c>
      <c r="K31" s="68">
        <f t="shared" si="5"/>
        <v>7.5000000000000006E-3</v>
      </c>
      <c r="L31" s="68">
        <f t="shared" si="5"/>
        <v>3.0000000000000001E-3</v>
      </c>
      <c r="M31" s="68">
        <f t="shared" si="5"/>
        <v>3.0000000000000002E-2</v>
      </c>
      <c r="N31" s="68">
        <f t="shared" si="5"/>
        <v>0</v>
      </c>
      <c r="O31" s="68">
        <f t="shared" si="5"/>
        <v>0</v>
      </c>
      <c r="P31" s="68">
        <f t="shared" si="5"/>
        <v>49.050000000000004</v>
      </c>
      <c r="Q31" s="68">
        <f>(IF(Q$27="%w/w SAR",((Q$28*10)*$B31),IF(Q$27="%w/w DM",(((Q$28*10)*($B$28/100))*$B31),IF(Q$27="kg/t SAR",(Q$28*$B31),IF(Q$27="kg/t DM",((Q$28*($B$28/100))*$B31),IF(Q$27="mg/kg SAR",((Q$28*0.001)*$B31),IF(Q$27="mg/kg DM",(((Q$28*0.001)*($B$28/100))*$B31),0)))))))*2.5</f>
        <v>23.174999999999997</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BW2</v>
      </c>
      <c r="B32" s="12">
        <v>150</v>
      </c>
      <c r="C32" s="68">
        <f t="shared" ref="C32:C50" si="6">IF(C$27="%w/w SAR",((C$28*10)*$B32),IF(C$27="%w/w DM",(((C$28*10)*($B$28/100))*$B32),IF(C$27="kg/t SAR",(C$28*$B32),IF(C$27="kg/t DM",((C$28*($B$28/100))*$B32),IF(C$27="mg/kg SAR",((C$28*0.001)*$B32),IF(C$27="mg/kg DM",(((C$28*0.001)*($B$28/100))*$B32),0))))))</f>
        <v>105.00000000000001</v>
      </c>
      <c r="D32" s="68">
        <f t="shared" ref="D32:D50" si="7">(IF(D$27="%w/w SAR",((D$28*10)*$B32),IF(D$27="%w/w DM",(((D$28*10)*($B$28/100))*$B32),IF(D$27="kg/t SAR",(D$28*$B32),IF(D$27="kg/t DM",((D$28*($B$28/100))*$B32),IF(D$27="mg/kg SAR",((D$28*0.001)*$B32),IF(D$27="mg/kg DM",(((D$28*0.001)*($B$28/100))*$B32),"0")))))))*2.291</f>
        <v>21.787409999999998</v>
      </c>
      <c r="E32" s="68">
        <f t="shared" ref="E32:E50" si="8">(IF(E$27="%w/w SAR",((E$28*10)*$B32),IF(E$27="%w/w DM",(((E$28*10)*($B$28/100))*$B32),IF(E$27="kg/t SAR",(E$28*$B32),IF(E$27="kg/t DM",((E$28*($B$28/100))*$B32),IF(E$27="mg/kg SAR",((E$28*0.001)*$B32),IF(E$27="mg/kg DM",(((E$28*0.001)*($B$28/100))*$B32),"0")))))))*1.205</f>
        <v>7.3203750000000003</v>
      </c>
      <c r="F32" s="68">
        <f t="shared" ref="F32:F50" si="9">(IF(F$27="%w/w SAR",((F$28*10)*$B32),IF(F$27="%w/w DM",(((F$28*10)*($B$28/100))*$B32),IF(F$27="kg/t SAR",(F$28*$B32),IF(F$27="kg/t DM",((F$28*($B$28/100))*$B32),IF(F$27="mg/kg SAR",((F$28*0.001)*$B32),IF(F$27="mg/kg DM",(((F$28*0.001)*($B$28/100))*$B32),"0")))))))*1.658</f>
        <v>3.1336200000000001</v>
      </c>
      <c r="G32" s="68">
        <f t="shared" si="5"/>
        <v>3.0000000000000002E-2</v>
      </c>
      <c r="H32" s="68">
        <f t="shared" si="5"/>
        <v>0.84899999999999998</v>
      </c>
      <c r="I32" s="68">
        <f t="shared" si="5"/>
        <v>7.4999999999999997E-2</v>
      </c>
      <c r="J32" s="68">
        <f t="shared" si="5"/>
        <v>1.5E-3</v>
      </c>
      <c r="K32" s="68">
        <f t="shared" si="5"/>
        <v>7.5000000000000006E-3</v>
      </c>
      <c r="L32" s="68">
        <f t="shared" si="5"/>
        <v>3.0000000000000001E-3</v>
      </c>
      <c r="M32" s="68">
        <f t="shared" si="5"/>
        <v>3.0000000000000002E-2</v>
      </c>
      <c r="N32" s="68">
        <f t="shared" si="5"/>
        <v>0</v>
      </c>
      <c r="O32" s="68">
        <f t="shared" si="5"/>
        <v>0</v>
      </c>
      <c r="P32" s="68">
        <f t="shared" si="5"/>
        <v>49.050000000000004</v>
      </c>
      <c r="Q32" s="68">
        <f t="shared" ref="Q32:Q50" si="10">(IF(Q$27="%w/w SAR",((Q$28*10)*$B32),IF(Q$27="%w/w DM",(((Q$28*10)*($B$28/100))*$B32),IF(Q$27="kg/t SAR",(Q$28*$B32),IF(Q$27="kg/t DM",((Q$28*($B$28/100))*$B32),IF(Q$27="mg/kg SAR",((Q$28*0.001)*$B32),IF(Q$27="mg/kg DM",(((Q$28*0.001)*($B$28/100))*$B32),0)))))))*2.5</f>
        <v>23.174999999999997</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BW3</v>
      </c>
      <c r="B33" s="12">
        <v>150</v>
      </c>
      <c r="C33" s="68">
        <f t="shared" si="6"/>
        <v>105.00000000000001</v>
      </c>
      <c r="D33" s="68">
        <f t="shared" si="7"/>
        <v>21.787409999999998</v>
      </c>
      <c r="E33" s="68">
        <f t="shared" si="8"/>
        <v>7.3203750000000003</v>
      </c>
      <c r="F33" s="68">
        <f t="shared" si="9"/>
        <v>3.1336200000000001</v>
      </c>
      <c r="G33" s="68">
        <f t="shared" si="5"/>
        <v>3.0000000000000002E-2</v>
      </c>
      <c r="H33" s="68">
        <f t="shared" si="5"/>
        <v>0.84899999999999998</v>
      </c>
      <c r="I33" s="68">
        <f t="shared" si="5"/>
        <v>7.4999999999999997E-2</v>
      </c>
      <c r="J33" s="68">
        <f t="shared" si="5"/>
        <v>1.5E-3</v>
      </c>
      <c r="K33" s="68">
        <f t="shared" si="5"/>
        <v>7.5000000000000006E-3</v>
      </c>
      <c r="L33" s="68">
        <f t="shared" si="5"/>
        <v>3.0000000000000001E-3</v>
      </c>
      <c r="M33" s="68">
        <f t="shared" si="5"/>
        <v>3.0000000000000002E-2</v>
      </c>
      <c r="N33" s="68">
        <f t="shared" si="5"/>
        <v>0</v>
      </c>
      <c r="O33" s="68">
        <f t="shared" si="5"/>
        <v>0</v>
      </c>
      <c r="P33" s="68">
        <f t="shared" si="5"/>
        <v>49.050000000000004</v>
      </c>
      <c r="Q33" s="68">
        <f t="shared" si="10"/>
        <v>23.174999999999997</v>
      </c>
      <c r="R33" s="68">
        <f t="shared" si="11"/>
        <v>0</v>
      </c>
      <c r="S33" s="68">
        <f t="shared" si="11"/>
        <v>0</v>
      </c>
      <c r="T33" s="68">
        <f t="shared" si="11"/>
        <v>0</v>
      </c>
      <c r="U33" s="68">
        <f t="shared" si="11"/>
        <v>0</v>
      </c>
    </row>
    <row r="34" spans="1:21" s="51" customFormat="1" ht="13" x14ac:dyDescent="0.35">
      <c r="A34" s="10" t="str">
        <f>F8</f>
        <v>BW4</v>
      </c>
      <c r="B34" s="12">
        <v>150</v>
      </c>
      <c r="C34" s="68">
        <f t="shared" si="6"/>
        <v>105.00000000000001</v>
      </c>
      <c r="D34" s="68">
        <f t="shared" si="7"/>
        <v>21.787409999999998</v>
      </c>
      <c r="E34" s="68">
        <f t="shared" si="8"/>
        <v>7.3203750000000003</v>
      </c>
      <c r="F34" s="68">
        <f t="shared" si="9"/>
        <v>3.1336200000000001</v>
      </c>
      <c r="G34" s="68">
        <f t="shared" si="5"/>
        <v>3.0000000000000002E-2</v>
      </c>
      <c r="H34" s="68">
        <f t="shared" si="5"/>
        <v>0.84899999999999998</v>
      </c>
      <c r="I34" s="68">
        <f t="shared" si="5"/>
        <v>7.4999999999999997E-2</v>
      </c>
      <c r="J34" s="68">
        <f t="shared" si="5"/>
        <v>1.5E-3</v>
      </c>
      <c r="K34" s="68">
        <f t="shared" si="5"/>
        <v>7.5000000000000006E-3</v>
      </c>
      <c r="L34" s="68">
        <f t="shared" si="5"/>
        <v>3.0000000000000001E-3</v>
      </c>
      <c r="M34" s="68">
        <f t="shared" si="5"/>
        <v>3.0000000000000002E-2</v>
      </c>
      <c r="N34" s="68">
        <f t="shared" si="5"/>
        <v>0</v>
      </c>
      <c r="O34" s="68">
        <f t="shared" si="5"/>
        <v>0</v>
      </c>
      <c r="P34" s="68">
        <f t="shared" si="5"/>
        <v>49.050000000000004</v>
      </c>
      <c r="Q34" s="68">
        <f t="shared" si="10"/>
        <v>23.174999999999997</v>
      </c>
      <c r="R34" s="68">
        <f t="shared" si="11"/>
        <v>0</v>
      </c>
      <c r="S34" s="68">
        <f t="shared" si="11"/>
        <v>0</v>
      </c>
      <c r="T34" s="68">
        <f t="shared" si="11"/>
        <v>0</v>
      </c>
      <c r="U34" s="68">
        <f t="shared" si="11"/>
        <v>0</v>
      </c>
    </row>
    <row r="35" spans="1:21" s="51" customFormat="1" ht="13" x14ac:dyDescent="0.35">
      <c r="A35" s="10" t="str">
        <f>G8</f>
        <v>BW6</v>
      </c>
      <c r="B35" s="12">
        <v>150</v>
      </c>
      <c r="C35" s="68">
        <f t="shared" si="6"/>
        <v>105.00000000000001</v>
      </c>
      <c r="D35" s="68">
        <f t="shared" si="7"/>
        <v>21.787409999999998</v>
      </c>
      <c r="E35" s="68">
        <f t="shared" si="8"/>
        <v>7.3203750000000003</v>
      </c>
      <c r="F35" s="68">
        <f t="shared" si="9"/>
        <v>3.1336200000000001</v>
      </c>
      <c r="G35" s="68">
        <f t="shared" si="5"/>
        <v>3.0000000000000002E-2</v>
      </c>
      <c r="H35" s="68">
        <f t="shared" si="5"/>
        <v>0.84899999999999998</v>
      </c>
      <c r="I35" s="68">
        <f t="shared" si="5"/>
        <v>7.4999999999999997E-2</v>
      </c>
      <c r="J35" s="68">
        <f t="shared" si="5"/>
        <v>1.5E-3</v>
      </c>
      <c r="K35" s="68">
        <f t="shared" si="5"/>
        <v>7.5000000000000006E-3</v>
      </c>
      <c r="L35" s="68">
        <f t="shared" si="5"/>
        <v>3.0000000000000001E-3</v>
      </c>
      <c r="M35" s="68">
        <f t="shared" si="5"/>
        <v>3.0000000000000002E-2</v>
      </c>
      <c r="N35" s="68">
        <f t="shared" si="5"/>
        <v>0</v>
      </c>
      <c r="O35" s="68">
        <f t="shared" si="5"/>
        <v>0</v>
      </c>
      <c r="P35" s="68">
        <f t="shared" si="5"/>
        <v>49.050000000000004</v>
      </c>
      <c r="Q35" s="68">
        <f t="shared" si="10"/>
        <v>23.174999999999997</v>
      </c>
      <c r="R35" s="68">
        <f t="shared" si="11"/>
        <v>0</v>
      </c>
      <c r="S35" s="68">
        <f t="shared" si="11"/>
        <v>0</v>
      </c>
      <c r="T35" s="68">
        <f t="shared" si="11"/>
        <v>0</v>
      </c>
      <c r="U35" s="68">
        <f t="shared" si="11"/>
        <v>0</v>
      </c>
    </row>
    <row r="36" spans="1:21" s="51" customFormat="1" ht="13" x14ac:dyDescent="0.35">
      <c r="A36" s="10" t="str">
        <f>H8</f>
        <v>BW7</v>
      </c>
      <c r="B36" s="12">
        <v>150</v>
      </c>
      <c r="C36" s="68">
        <f t="shared" si="6"/>
        <v>105.00000000000001</v>
      </c>
      <c r="D36" s="68">
        <f t="shared" si="7"/>
        <v>21.787409999999998</v>
      </c>
      <c r="E36" s="68">
        <f t="shared" si="8"/>
        <v>7.3203750000000003</v>
      </c>
      <c r="F36" s="68">
        <f t="shared" si="9"/>
        <v>3.1336200000000001</v>
      </c>
      <c r="G36" s="68">
        <f t="shared" si="5"/>
        <v>3.0000000000000002E-2</v>
      </c>
      <c r="H36" s="68">
        <f t="shared" si="5"/>
        <v>0.84899999999999998</v>
      </c>
      <c r="I36" s="68">
        <f t="shared" si="5"/>
        <v>7.4999999999999997E-2</v>
      </c>
      <c r="J36" s="68">
        <f t="shared" si="5"/>
        <v>1.5E-3</v>
      </c>
      <c r="K36" s="68">
        <f t="shared" si="5"/>
        <v>7.5000000000000006E-3</v>
      </c>
      <c r="L36" s="68">
        <f t="shared" si="5"/>
        <v>3.0000000000000001E-3</v>
      </c>
      <c r="M36" s="68">
        <f t="shared" si="5"/>
        <v>3.0000000000000002E-2</v>
      </c>
      <c r="N36" s="68">
        <f t="shared" si="5"/>
        <v>0</v>
      </c>
      <c r="O36" s="68">
        <f t="shared" si="5"/>
        <v>0</v>
      </c>
      <c r="P36" s="68">
        <f t="shared" si="5"/>
        <v>49.050000000000004</v>
      </c>
      <c r="Q36" s="68">
        <f t="shared" si="10"/>
        <v>23.174999999999997</v>
      </c>
      <c r="R36" s="68">
        <f t="shared" si="11"/>
        <v>0</v>
      </c>
      <c r="S36" s="68">
        <f t="shared" si="11"/>
        <v>0</v>
      </c>
      <c r="T36" s="68">
        <f t="shared" si="11"/>
        <v>0</v>
      </c>
      <c r="U36" s="68">
        <f t="shared" si="11"/>
        <v>0</v>
      </c>
    </row>
    <row r="37" spans="1:21" s="51" customFormat="1" ht="13" x14ac:dyDescent="0.35">
      <c r="A37" s="10" t="str">
        <f>I8</f>
        <v>DJ1</v>
      </c>
      <c r="B37" s="12">
        <v>150</v>
      </c>
      <c r="C37" s="68">
        <f t="shared" si="6"/>
        <v>105.00000000000001</v>
      </c>
      <c r="D37" s="68">
        <f t="shared" si="7"/>
        <v>21.787409999999998</v>
      </c>
      <c r="E37" s="68">
        <f t="shared" si="8"/>
        <v>7.3203750000000003</v>
      </c>
      <c r="F37" s="68">
        <f t="shared" si="9"/>
        <v>3.1336200000000001</v>
      </c>
      <c r="G37" s="68">
        <f t="shared" si="5"/>
        <v>3.0000000000000002E-2</v>
      </c>
      <c r="H37" s="68">
        <f t="shared" si="5"/>
        <v>0.84899999999999998</v>
      </c>
      <c r="I37" s="68">
        <f t="shared" si="5"/>
        <v>7.4999999999999997E-2</v>
      </c>
      <c r="J37" s="68">
        <f t="shared" si="5"/>
        <v>1.5E-3</v>
      </c>
      <c r="K37" s="68">
        <f t="shared" si="5"/>
        <v>7.5000000000000006E-3</v>
      </c>
      <c r="L37" s="68">
        <f t="shared" si="5"/>
        <v>3.0000000000000001E-3</v>
      </c>
      <c r="M37" s="68">
        <f t="shared" si="5"/>
        <v>3.0000000000000002E-2</v>
      </c>
      <c r="N37" s="68">
        <f t="shared" si="5"/>
        <v>0</v>
      </c>
      <c r="O37" s="68">
        <f t="shared" si="5"/>
        <v>0</v>
      </c>
      <c r="P37" s="68">
        <f t="shared" si="5"/>
        <v>49.050000000000004</v>
      </c>
      <c r="Q37" s="68">
        <f t="shared" si="10"/>
        <v>23.174999999999997</v>
      </c>
      <c r="R37" s="68">
        <f t="shared" si="11"/>
        <v>0</v>
      </c>
      <c r="S37" s="68">
        <f t="shared" si="11"/>
        <v>0</v>
      </c>
      <c r="T37" s="68">
        <f t="shared" si="11"/>
        <v>0</v>
      </c>
      <c r="U37" s="68">
        <f t="shared" si="11"/>
        <v>0</v>
      </c>
    </row>
    <row r="38" spans="1:21" s="51" customFormat="1" ht="13" x14ac:dyDescent="0.35">
      <c r="A38" s="10" t="str">
        <f>J8</f>
        <v>DJ2</v>
      </c>
      <c r="B38" s="12">
        <v>150</v>
      </c>
      <c r="C38" s="68">
        <f t="shared" si="6"/>
        <v>105.00000000000001</v>
      </c>
      <c r="D38" s="68">
        <f t="shared" si="7"/>
        <v>21.787409999999998</v>
      </c>
      <c r="E38" s="68">
        <f t="shared" si="8"/>
        <v>7.3203750000000003</v>
      </c>
      <c r="F38" s="68">
        <f t="shared" si="9"/>
        <v>3.1336200000000001</v>
      </c>
      <c r="G38" s="68">
        <f t="shared" si="5"/>
        <v>3.0000000000000002E-2</v>
      </c>
      <c r="H38" s="68">
        <f t="shared" si="5"/>
        <v>0.84899999999999998</v>
      </c>
      <c r="I38" s="68">
        <f t="shared" si="5"/>
        <v>7.4999999999999997E-2</v>
      </c>
      <c r="J38" s="68">
        <f t="shared" si="5"/>
        <v>1.5E-3</v>
      </c>
      <c r="K38" s="68">
        <f t="shared" si="5"/>
        <v>7.5000000000000006E-3</v>
      </c>
      <c r="L38" s="68">
        <f t="shared" si="5"/>
        <v>3.0000000000000001E-3</v>
      </c>
      <c r="M38" s="68">
        <f t="shared" si="5"/>
        <v>3.0000000000000002E-2</v>
      </c>
      <c r="N38" s="68">
        <f t="shared" si="5"/>
        <v>0</v>
      </c>
      <c r="O38" s="68">
        <f t="shared" si="5"/>
        <v>0</v>
      </c>
      <c r="P38" s="68">
        <f t="shared" si="5"/>
        <v>49.050000000000004</v>
      </c>
      <c r="Q38" s="68">
        <f t="shared" si="10"/>
        <v>23.174999999999997</v>
      </c>
      <c r="R38" s="68">
        <f t="shared" si="11"/>
        <v>0</v>
      </c>
      <c r="S38" s="68">
        <f t="shared" si="11"/>
        <v>0</v>
      </c>
      <c r="T38" s="68">
        <f t="shared" si="11"/>
        <v>0</v>
      </c>
      <c r="U38" s="68">
        <f t="shared" si="11"/>
        <v>0</v>
      </c>
    </row>
    <row r="39" spans="1:21" s="51" customFormat="1" ht="13" x14ac:dyDescent="0.35">
      <c r="A39" s="10" t="str">
        <f>K8</f>
        <v>DJ3</v>
      </c>
      <c r="B39" s="12">
        <v>150</v>
      </c>
      <c r="C39" s="68">
        <f t="shared" si="6"/>
        <v>105.00000000000001</v>
      </c>
      <c r="D39" s="68">
        <f t="shared" si="7"/>
        <v>21.787409999999998</v>
      </c>
      <c r="E39" s="68">
        <f t="shared" si="8"/>
        <v>7.3203750000000003</v>
      </c>
      <c r="F39" s="68">
        <f t="shared" si="9"/>
        <v>3.1336200000000001</v>
      </c>
      <c r="G39" s="68">
        <f t="shared" si="5"/>
        <v>3.0000000000000002E-2</v>
      </c>
      <c r="H39" s="68">
        <f t="shared" si="5"/>
        <v>0.84899999999999998</v>
      </c>
      <c r="I39" s="68">
        <f t="shared" si="5"/>
        <v>7.4999999999999997E-2</v>
      </c>
      <c r="J39" s="68">
        <f t="shared" si="5"/>
        <v>1.5E-3</v>
      </c>
      <c r="K39" s="68">
        <f t="shared" si="5"/>
        <v>7.5000000000000006E-3</v>
      </c>
      <c r="L39" s="68">
        <f t="shared" si="5"/>
        <v>3.0000000000000001E-3</v>
      </c>
      <c r="M39" s="68">
        <f t="shared" si="5"/>
        <v>3.0000000000000002E-2</v>
      </c>
      <c r="N39" s="68">
        <f t="shared" si="5"/>
        <v>0</v>
      </c>
      <c r="O39" s="68">
        <f t="shared" si="5"/>
        <v>0</v>
      </c>
      <c r="P39" s="68">
        <f t="shared" si="5"/>
        <v>49.050000000000004</v>
      </c>
      <c r="Q39" s="68">
        <f t="shared" si="10"/>
        <v>23.174999999999997</v>
      </c>
      <c r="R39" s="68">
        <f t="shared" si="11"/>
        <v>0</v>
      </c>
      <c r="S39" s="68">
        <f t="shared" si="11"/>
        <v>0</v>
      </c>
      <c r="T39" s="68">
        <f t="shared" si="11"/>
        <v>0</v>
      </c>
      <c r="U39" s="68">
        <f t="shared" si="11"/>
        <v>0</v>
      </c>
    </row>
    <row r="40" spans="1:21" s="51" customFormat="1" ht="13" x14ac:dyDescent="0.35">
      <c r="A40" s="10" t="str">
        <f>L8</f>
        <v>DJ4</v>
      </c>
      <c r="B40" s="12">
        <v>150</v>
      </c>
      <c r="C40" s="68">
        <f t="shared" si="6"/>
        <v>105.00000000000001</v>
      </c>
      <c r="D40" s="68">
        <f t="shared" si="7"/>
        <v>21.787409999999998</v>
      </c>
      <c r="E40" s="68">
        <f t="shared" si="8"/>
        <v>7.3203750000000003</v>
      </c>
      <c r="F40" s="68">
        <f t="shared" si="9"/>
        <v>3.1336200000000001</v>
      </c>
      <c r="G40" s="68">
        <f t="shared" si="5"/>
        <v>3.0000000000000002E-2</v>
      </c>
      <c r="H40" s="68">
        <f t="shared" si="5"/>
        <v>0.84899999999999998</v>
      </c>
      <c r="I40" s="68">
        <f t="shared" si="5"/>
        <v>7.4999999999999997E-2</v>
      </c>
      <c r="J40" s="68">
        <f t="shared" si="5"/>
        <v>1.5E-3</v>
      </c>
      <c r="K40" s="68">
        <f t="shared" si="5"/>
        <v>7.5000000000000006E-3</v>
      </c>
      <c r="L40" s="68">
        <f t="shared" si="5"/>
        <v>3.0000000000000001E-3</v>
      </c>
      <c r="M40" s="68">
        <f t="shared" si="5"/>
        <v>3.0000000000000002E-2</v>
      </c>
      <c r="N40" s="68">
        <f t="shared" si="5"/>
        <v>0</v>
      </c>
      <c r="O40" s="68">
        <f t="shared" si="5"/>
        <v>0</v>
      </c>
      <c r="P40" s="68">
        <f t="shared" si="5"/>
        <v>49.050000000000004</v>
      </c>
      <c r="Q40" s="68">
        <f t="shared" si="10"/>
        <v>23.174999999999997</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BW1</v>
      </c>
      <c r="C57" s="8" t="str">
        <f t="shared" ref="C57:U57" si="13">D8</f>
        <v>BW2</v>
      </c>
      <c r="D57" s="8" t="str">
        <f t="shared" si="13"/>
        <v>BW3</v>
      </c>
      <c r="E57" s="8" t="str">
        <f t="shared" si="13"/>
        <v>BW4</v>
      </c>
      <c r="F57" s="8" t="str">
        <f t="shared" si="13"/>
        <v>BW6</v>
      </c>
      <c r="G57" s="8" t="str">
        <f t="shared" si="13"/>
        <v>BW7</v>
      </c>
      <c r="H57" s="8" t="str">
        <f t="shared" si="13"/>
        <v>DJ1</v>
      </c>
      <c r="I57" s="8" t="str">
        <f t="shared" si="13"/>
        <v>DJ2</v>
      </c>
      <c r="J57" s="8" t="str">
        <f t="shared" si="13"/>
        <v>DJ3</v>
      </c>
      <c r="K57" s="8" t="str">
        <f t="shared" si="13"/>
        <v>DJ4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"&amp;(VLOOKUP(C14,Table2456[],6,FALSE))</f>
        <v>Sandy Loam I Grass</v>
      </c>
      <c r="C58" s="10" t="str">
        <f>D16&amp;" I "&amp;(VLOOKUP(D14,Table2456[],6,FALSE))</f>
        <v>Sandy Loam I Grass</v>
      </c>
      <c r="D58" s="10" t="str">
        <f>E16&amp;" I "&amp;(VLOOKUP(E14,Table2456[],6,FALSE))</f>
        <v>Sandy Loam I Grass</v>
      </c>
      <c r="E58" s="10" t="str">
        <f>F16&amp;" I "&amp;(VLOOKUP(F14,Table2456[],6,FALSE))</f>
        <v>Sandy Loam I Grass</v>
      </c>
      <c r="F58" s="10" t="str">
        <f>G16&amp;" I "&amp;(VLOOKUP(G14,Table2456[],6,FALSE))</f>
        <v>Sandy Loam I Grass</v>
      </c>
      <c r="G58" s="10" t="str">
        <f>H16&amp;" I "&amp;(VLOOKUP(H14,Table2456[],6,FALSE))</f>
        <v>Sandy Loam I Grass</v>
      </c>
      <c r="H58" s="10" t="str">
        <f>I16&amp;" I "&amp;(VLOOKUP(I14,Table2456[],6,FALSE))</f>
        <v>Sandy Loam I Grass</v>
      </c>
      <c r="I58" s="10" t="str">
        <f>J16&amp;" I "&amp;(VLOOKUP(J14,Table2456[],6,FALSE))</f>
        <v>Sandy Loam I Grass</v>
      </c>
      <c r="J58" s="10" t="str">
        <f>K16&amp;" I "&amp;(VLOOKUP(K14,Table2456[],6,FALSE))</f>
        <v>Sandy Loam I Grass</v>
      </c>
      <c r="K58" s="10" t="str">
        <f>L16&amp;" I "&amp;(VLOOKUP(L14,Table2456[],6,FALSE))</f>
        <v>Sandy Loam I Grass</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100" t="s">
        <v>132</v>
      </c>
      <c r="B59" s="67">
        <f>VLOOKUP(C$14,Table2456[],5,FALSE)</f>
        <v>6.2</v>
      </c>
      <c r="C59" s="67">
        <f>VLOOKUP(D$14,Table2456[],5,FALSE)</f>
        <v>6.2</v>
      </c>
      <c r="D59" s="67">
        <f>VLOOKUP(E$14,Table2456[],5,FALSE)</f>
        <v>6.2</v>
      </c>
      <c r="E59" s="67">
        <f>VLOOKUP(F$14,Table2456[],5,FALSE)</f>
        <v>6.2</v>
      </c>
      <c r="F59" s="67">
        <f>VLOOKUP(G$14,Table2456[],5,FALSE)</f>
        <v>6.2</v>
      </c>
      <c r="G59" s="67">
        <f>VLOOKUP(H$14,Table2456[],5,FALSE)</f>
        <v>6.2</v>
      </c>
      <c r="H59" s="67">
        <f>VLOOKUP(I$14,Table2456[],5,FALSE)</f>
        <v>6.2</v>
      </c>
      <c r="I59" s="67">
        <f>VLOOKUP(J$14,Table2456[],5,FALSE)</f>
        <v>6.2</v>
      </c>
      <c r="J59" s="67">
        <f>VLOOKUP(K$14,Table2456[],5,FALSE)</f>
        <v>6.2</v>
      </c>
      <c r="K59" s="67">
        <f>VLOOKUP(L$14,Table2456[],5,FALSE)</f>
        <v>6.2</v>
      </c>
      <c r="L59" s="67" t="e">
        <f>VLOOKUP(M$14,Table2456[],5,FALSE)</f>
        <v>#N/A</v>
      </c>
      <c r="M59" s="67" t="e">
        <f>VLOOKUP(N$14,Table2456[],5,FALSE)</f>
        <v>#N/A</v>
      </c>
      <c r="N59" s="67" t="e">
        <f>VLOOKUP(O$14,Table2456[],5,FALSE)</f>
        <v>#N/A</v>
      </c>
      <c r="O59" s="67" t="e">
        <f>VLOOKUP(P$14,Table2456[],5,FALSE)</f>
        <v>#N/A</v>
      </c>
      <c r="P59" s="67" t="e">
        <f>VLOOKUP(Q$14,Table2456[],5,FALSE)</f>
        <v>#N/A</v>
      </c>
      <c r="Q59" s="67" t="e">
        <f>VLOOKUP(R$14,Table2456[],5,FALSE)</f>
        <v>#N/A</v>
      </c>
      <c r="R59" s="67" t="e">
        <f>VLOOKUP(S$14,Table2456[],5,FALSE)</f>
        <v>#N/A</v>
      </c>
      <c r="S59" s="67" t="e">
        <f>VLOOKUP(T$14,Table2456[],5,FALSE)</f>
        <v>#N/A</v>
      </c>
      <c r="T59" s="67" t="e">
        <f>VLOOKUP(U$14,Table2456[],5,FALSE)</f>
        <v>#N/A</v>
      </c>
      <c r="U59" s="67" t="e">
        <f>VLOOKUP(V$14,Table2456[],5,FALSE)</f>
        <v>#N/A</v>
      </c>
    </row>
    <row r="60" spans="1:21" ht="13" x14ac:dyDescent="0.3">
      <c r="A60" s="100" t="s">
        <v>4</v>
      </c>
      <c r="B60" s="67">
        <f>C10</f>
        <v>5.7</v>
      </c>
      <c r="C60" s="67">
        <f t="shared" ref="C60:U60" si="14">D10</f>
        <v>5.9</v>
      </c>
      <c r="D60" s="67">
        <f t="shared" si="14"/>
        <v>5.7</v>
      </c>
      <c r="E60" s="67">
        <f t="shared" si="14"/>
        <v>5.9</v>
      </c>
      <c r="F60" s="67">
        <f t="shared" si="14"/>
        <v>6.4</v>
      </c>
      <c r="G60" s="67">
        <f t="shared" si="14"/>
        <v>5.9</v>
      </c>
      <c r="H60" s="67">
        <f t="shared" si="14"/>
        <v>6.6</v>
      </c>
      <c r="I60" s="67">
        <f t="shared" si="14"/>
        <v>5.7</v>
      </c>
      <c r="J60" s="67">
        <f t="shared" si="14"/>
        <v>6.1</v>
      </c>
      <c r="K60" s="67">
        <f t="shared" si="14"/>
        <v>5.2</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5</v>
      </c>
      <c r="C61" s="67">
        <f t="shared" si="15"/>
        <v>5</v>
      </c>
      <c r="D61" s="67">
        <f t="shared" si="15"/>
        <v>5</v>
      </c>
      <c r="E61" s="67">
        <f t="shared" si="15"/>
        <v>5</v>
      </c>
      <c r="F61" s="67">
        <f t="shared" si="15"/>
        <v>5</v>
      </c>
      <c r="G61" s="67">
        <f t="shared" si="15"/>
        <v>5</v>
      </c>
      <c r="H61" s="67">
        <f t="shared" si="15"/>
        <v>5</v>
      </c>
      <c r="I61" s="67">
        <f t="shared" si="15"/>
        <v>5</v>
      </c>
      <c r="J61" s="67">
        <f t="shared" si="15"/>
        <v>5</v>
      </c>
      <c r="K61" s="67">
        <f t="shared" si="15"/>
        <v>5</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150</v>
      </c>
      <c r="C62" s="68">
        <f>B32</f>
        <v>150</v>
      </c>
      <c r="D62" s="68">
        <f>B33</f>
        <v>150</v>
      </c>
      <c r="E62" s="68">
        <f>B34</f>
        <v>150</v>
      </c>
      <c r="F62" s="68">
        <f>B35</f>
        <v>150</v>
      </c>
      <c r="G62" s="68">
        <f>B36</f>
        <v>150</v>
      </c>
      <c r="H62" s="68">
        <f>B37</f>
        <v>150</v>
      </c>
      <c r="I62" s="68">
        <f>B38</f>
        <v>150</v>
      </c>
      <c r="J62" s="68">
        <f>B39</f>
        <v>150</v>
      </c>
      <c r="K62" s="68">
        <f>B40</f>
        <v>150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2.5</v>
      </c>
      <c r="C64" s="68">
        <f t="shared" ref="C64:U64" si="17">(C59-C60)*C61</f>
        <v>1.4999999999999991</v>
      </c>
      <c r="D64" s="68">
        <f t="shared" si="17"/>
        <v>2.5</v>
      </c>
      <c r="E64" s="68">
        <f t="shared" si="17"/>
        <v>1.4999999999999991</v>
      </c>
      <c r="F64" s="68">
        <f t="shared" si="17"/>
        <v>-1.0000000000000009</v>
      </c>
      <c r="G64" s="68">
        <f t="shared" si="17"/>
        <v>1.4999999999999991</v>
      </c>
      <c r="H64" s="68">
        <f t="shared" si="17"/>
        <v>-1.9999999999999973</v>
      </c>
      <c r="I64" s="68">
        <f t="shared" si="17"/>
        <v>2.5</v>
      </c>
      <c r="J64" s="68">
        <f t="shared" si="17"/>
        <v>0.50000000000000266</v>
      </c>
      <c r="K64" s="68">
        <f t="shared" si="17"/>
        <v>5</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-2.5</v>
      </c>
      <c r="C65" s="68">
        <f t="shared" ref="C65:U65" si="18">C63-C64</f>
        <v>-1.4999999999999991</v>
      </c>
      <c r="D65" s="68">
        <f t="shared" si="18"/>
        <v>-2.5</v>
      </c>
      <c r="E65" s="68">
        <f t="shared" si="18"/>
        <v>-1.4999999999999991</v>
      </c>
      <c r="F65" s="68">
        <f t="shared" si="18"/>
        <v>1.0000000000000009</v>
      </c>
      <c r="G65" s="68">
        <f t="shared" si="18"/>
        <v>-1.4999999999999991</v>
      </c>
      <c r="H65" s="68">
        <f t="shared" si="18"/>
        <v>1.9999999999999973</v>
      </c>
      <c r="I65" s="68">
        <f t="shared" si="18"/>
        <v>-2.5</v>
      </c>
      <c r="J65" s="68">
        <f t="shared" si="18"/>
        <v>-0.50000000000000266</v>
      </c>
      <c r="K65" s="68">
        <f t="shared" si="18"/>
        <v>-5</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OVER</v>
      </c>
      <c r="G66" s="69" t="str">
        <f t="shared" si="19"/>
        <v>UNDER</v>
      </c>
      <c r="H66" s="69" t="str">
        <f t="shared" si="19"/>
        <v>OVER</v>
      </c>
      <c r="I66" s="69" t="str">
        <f t="shared" si="19"/>
        <v>UNDER</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'Secanim '!B29</f>
        <v>Application Rate</v>
      </c>
      <c r="C1" s="31" t="str">
        <f>'Secanim '!C29</f>
        <v>Nitrogen Addition</v>
      </c>
      <c r="D1" s="31" t="str">
        <f>'Secanim '!D29</f>
        <v>Phosphate Addition</v>
      </c>
      <c r="E1" s="31" t="str">
        <f>'Secanim '!E29</f>
        <v>Potash  Addition</v>
      </c>
      <c r="F1" s="31" t="str">
        <f>'Secanim '!F29</f>
        <v>Mg Oxide Addition</v>
      </c>
      <c r="G1" s="31" t="str">
        <f>'Secanim '!G29</f>
        <v>Copper Addition</v>
      </c>
      <c r="H1" s="31" t="str">
        <f>'Secanim '!H29</f>
        <v>Zinc Addition</v>
      </c>
      <c r="I1" s="31" t="str">
        <f>'Secanim '!I29</f>
        <v>Lead Addition</v>
      </c>
      <c r="J1" s="31" t="str">
        <f>'Secanim '!J29</f>
        <v>Cadmium Addition</v>
      </c>
      <c r="K1" s="31" t="str">
        <f>'Secanim '!K29</f>
        <v>Mercury Addition</v>
      </c>
      <c r="L1" s="31" t="str">
        <f>'Secanim '!L29</f>
        <v>Nickel Addition</v>
      </c>
      <c r="M1" s="31" t="str">
        <f>'Secanim '!M29</f>
        <v>Chromium Addition</v>
      </c>
      <c r="N1" s="31" t="str">
        <f>'Secanim '!N29</f>
        <v>Aluminium Addition</v>
      </c>
      <c r="O1" s="31" t="str">
        <f>'Secanim '!O29</f>
        <v>Iron Addition</v>
      </c>
      <c r="P1" s="31" t="str">
        <f>'Secanim '!P29</f>
        <v xml:space="preserve">Sodium Addition                 </v>
      </c>
      <c r="Q1" s="31" t="str">
        <f>'Secanim '!Q29</f>
        <v>SO3  Addition                             kg/ha</v>
      </c>
      <c r="R1" s="31" t="str">
        <f>'Secanim '!R29</f>
        <v xml:space="preserve">Selenium Addition </v>
      </c>
      <c r="S1" s="31" t="str">
        <f>'Secanim '!S29</f>
        <v xml:space="preserve">Arsenic  Addition  </v>
      </c>
      <c r="T1" s="31" t="str">
        <f>'Secanim '!T29</f>
        <v xml:space="preserve">Molybdenum Addition  </v>
      </c>
      <c r="U1" s="31" t="str">
        <f>'Secanim '!U29</f>
        <v xml:space="preserve">Fluoride Addition </v>
      </c>
    </row>
    <row r="2" spans="1:21" ht="25" x14ac:dyDescent="0.25">
      <c r="A2" s="131"/>
      <c r="B2" s="31" t="str">
        <f>'Secanim '!B30</f>
        <v>tonnes/ha</v>
      </c>
      <c r="C2" s="31" t="str">
        <f>'Secanim '!C30</f>
        <v>kg/ha</v>
      </c>
      <c r="D2" s="31" t="str">
        <f>'Secanim '!D30</f>
        <v>P2O5 
kg/ha</v>
      </c>
      <c r="E2" s="31" t="str">
        <f>'Secanim '!E30</f>
        <v>K2O 
kg/ha</v>
      </c>
      <c r="F2" s="31" t="str">
        <f>'Secanim '!F30</f>
        <v>MgO 
kg/ha</v>
      </c>
      <c r="G2" s="31" t="str">
        <f>'Secanim '!G30</f>
        <v>kg/ha</v>
      </c>
      <c r="H2" s="31" t="str">
        <f>'Secanim '!H30</f>
        <v>kg/ha</v>
      </c>
      <c r="I2" s="31" t="str">
        <f>'Secanim '!I30</f>
        <v>kg/ha</v>
      </c>
      <c r="J2" s="31" t="str">
        <f>'Secanim '!J30</f>
        <v>kg/ha</v>
      </c>
      <c r="K2" s="31" t="str">
        <f>'Secanim '!K30</f>
        <v>kg/ha</v>
      </c>
      <c r="L2" s="31" t="str">
        <f>'Secanim '!L30</f>
        <v>kg/ha</v>
      </c>
      <c r="M2" s="31" t="str">
        <f>'Secanim '!M30</f>
        <v>kg/ha</v>
      </c>
      <c r="N2" s="31" t="str">
        <f>'Secanim '!N30</f>
        <v>kg/ha</v>
      </c>
      <c r="O2" s="31" t="str">
        <f>'Secanim '!O30</f>
        <v>kg/ha</v>
      </c>
      <c r="P2" s="31" t="str">
        <f>'Secanim '!P30</f>
        <v>kg/ha</v>
      </c>
      <c r="Q2" s="31" t="str">
        <f>'Secanim '!Q30</f>
        <v>kg/ha</v>
      </c>
      <c r="R2" s="31" t="str">
        <f>'Secanim '!R30</f>
        <v>kg/ha</v>
      </c>
      <c r="S2" s="31" t="str">
        <f>'Secanim '!S30</f>
        <v>kg/ha</v>
      </c>
      <c r="T2" s="31" t="str">
        <f>'Secanim '!T30</f>
        <v>kg/ha</v>
      </c>
      <c r="U2" s="31" t="str">
        <f>'Secanim '!U30</f>
        <v>kg/ha</v>
      </c>
    </row>
    <row r="3" spans="1:21" x14ac:dyDescent="0.25">
      <c r="A3" s="29">
        <v>1</v>
      </c>
      <c r="B3" s="26">
        <f>'Secanim '!B31</f>
        <v>92</v>
      </c>
      <c r="C3" s="26">
        <f>'Secanim '!C31</f>
        <v>119.60000000000001</v>
      </c>
      <c r="D3" s="26">
        <f>'Secanim '!D31</f>
        <v>63.231599999999993</v>
      </c>
      <c r="E3" s="26">
        <f>'Secanim '!E31</f>
        <v>25.27608</v>
      </c>
      <c r="F3" s="26">
        <f>'Secanim '!F31</f>
        <v>13.301139199999998</v>
      </c>
      <c r="G3" s="26">
        <f>'Secanim '!G31</f>
        <v>0.19964000000000001</v>
      </c>
      <c r="H3" s="26">
        <f>'Secanim '!H31</f>
        <v>0.86755999999999989</v>
      </c>
      <c r="I3" s="26">
        <f>'Secanim '!I31</f>
        <v>5.8235999999999996E-2</v>
      </c>
      <c r="J3" s="26">
        <f>'Secanim '!J31</f>
        <v>1.196E-3</v>
      </c>
      <c r="K3" s="26">
        <f>'Secanim '!K31</f>
        <v>4.5999999999999999E-3</v>
      </c>
      <c r="L3" s="26">
        <f>'Secanim '!L31</f>
        <v>3.0544000000000005E-2</v>
      </c>
      <c r="M3" s="26">
        <f>'Secanim '!M31</f>
        <v>6.6699999999999995E-2</v>
      </c>
      <c r="N3" s="26">
        <f>'Secanim '!N31</f>
        <v>0</v>
      </c>
      <c r="O3" s="26">
        <f>'Secanim '!O31</f>
        <v>0</v>
      </c>
      <c r="P3" s="26">
        <f>'Secanim '!P31</f>
        <v>73.323999999999998</v>
      </c>
      <c r="Q3" s="26">
        <f>'Secanim '!Q31</f>
        <v>119.60000000000001</v>
      </c>
      <c r="R3" s="26">
        <f>'Secanim '!R31</f>
        <v>0</v>
      </c>
      <c r="S3" s="26">
        <f>'Secanim '!S31</f>
        <v>0</v>
      </c>
      <c r="T3" s="26">
        <f>'Secanim '!T31</f>
        <v>0</v>
      </c>
      <c r="U3" s="26">
        <f>'Secanim '!U31</f>
        <v>0</v>
      </c>
    </row>
    <row r="4" spans="1:21" x14ac:dyDescent="0.25">
      <c r="A4" s="29">
        <v>2</v>
      </c>
      <c r="B4" s="26">
        <f>'Croda Goole'!B31</f>
        <v>68</v>
      </c>
      <c r="C4" s="26">
        <f>'Croda Goole'!C31</f>
        <v>40.799999999999997</v>
      </c>
      <c r="D4" s="26">
        <f>'Croda Goole'!D31</f>
        <v>55.616315999999998</v>
      </c>
      <c r="E4" s="26">
        <f>'Croda Goole'!E31</f>
        <v>5.2113840000000007</v>
      </c>
      <c r="F4" s="26">
        <f>'Croda Goole'!F31</f>
        <v>2.8975208000000001</v>
      </c>
      <c r="G4" s="26">
        <f>'Croda Goole'!G31</f>
        <v>3.2640000000000002E-2</v>
      </c>
      <c r="H4" s="26">
        <f>'Croda Goole'!H31</f>
        <v>0.43996000000000002</v>
      </c>
      <c r="I4" s="26">
        <f>'Croda Goole'!I31</f>
        <v>3.4000000000000002E-2</v>
      </c>
      <c r="J4" s="26">
        <f>'Croda Goole'!J31</f>
        <v>6.8000000000000005E-4</v>
      </c>
      <c r="K4" s="26">
        <f>'Croda Goole'!K31</f>
        <v>3.4000000000000002E-3</v>
      </c>
      <c r="L4" s="26">
        <f>'Croda Goole'!L31</f>
        <v>1.9923999999999997E-2</v>
      </c>
      <c r="M4" s="26">
        <f>'Croda Goole'!M31</f>
        <v>7.7519999999999992E-2</v>
      </c>
      <c r="N4" s="26">
        <f>'Croda Goole'!N31</f>
        <v>0</v>
      </c>
      <c r="O4" s="26">
        <f>'Croda Goole'!O31</f>
        <v>0</v>
      </c>
      <c r="P4" s="26">
        <f>'Croda Goole'!P31</f>
        <v>206.65200000000002</v>
      </c>
      <c r="Q4" s="26">
        <f>'Croda Goole'!Q31</f>
        <v>218.78999999999996</v>
      </c>
      <c r="R4" s="26">
        <f>'Croda Goole'!R31</f>
        <v>0</v>
      </c>
      <c r="S4" s="26">
        <f>'Croda Goole'!S31</f>
        <v>0</v>
      </c>
      <c r="T4" s="26">
        <f>'Croda Goole'!T31</f>
        <v>0</v>
      </c>
      <c r="U4" s="26">
        <f>'Croda Goole'!U31</f>
        <v>0</v>
      </c>
    </row>
    <row r="5" spans="1:21" x14ac:dyDescent="0.25">
      <c r="A5" s="29">
        <v>3</v>
      </c>
      <c r="B5" s="26">
        <f>'Croda Widnes'!B31</f>
        <v>68</v>
      </c>
      <c r="C5" s="26">
        <f>'Croda Widnes'!C31</f>
        <v>88.4</v>
      </c>
      <c r="D5" s="26">
        <f>'Croda Widnes'!D31</f>
        <v>64.963595999999995</v>
      </c>
      <c r="E5" s="26">
        <f>'Croda Widnes'!E31</f>
        <v>12.86458</v>
      </c>
      <c r="F5" s="26">
        <f>'Croda Widnes'!F31</f>
        <v>17.588063999999999</v>
      </c>
      <c r="G5" s="26">
        <f>'Croda Widnes'!G31</f>
        <v>4.2091999999999997E-2</v>
      </c>
      <c r="H5" s="26">
        <f>'Croda Widnes'!H31</f>
        <v>0.18224000000000001</v>
      </c>
      <c r="I5" s="26">
        <f>'Croda Widnes'!I31</f>
        <v>3.4000000000000002E-2</v>
      </c>
      <c r="J5" s="26">
        <f>'Croda Widnes'!J31</f>
        <v>6.8000000000000005E-4</v>
      </c>
      <c r="K5" s="26">
        <f>'Croda Widnes'!K31</f>
        <v>3.4000000000000002E-3</v>
      </c>
      <c r="L5" s="26">
        <f>'Croda Widnes'!L31</f>
        <v>1.3600000000000001E-2</v>
      </c>
      <c r="M5" s="26">
        <f>'Croda Widnes'!M31</f>
        <v>2.5704000000000001E-2</v>
      </c>
      <c r="N5" s="26">
        <f>'Croda Widnes'!N31</f>
        <v>0</v>
      </c>
      <c r="O5" s="26">
        <f>'Croda Widnes'!O31</f>
        <v>0</v>
      </c>
      <c r="P5" s="26">
        <f>'Croda Widnes'!P31</f>
        <v>16.864000000000001</v>
      </c>
      <c r="Q5" s="26">
        <f>'Croda Widnes'!Q31</f>
        <v>29.92</v>
      </c>
      <c r="R5" s="26">
        <f>'Croda Widnes'!R31</f>
        <v>0</v>
      </c>
      <c r="S5" s="26">
        <f>'Croda Widnes'!S31</f>
        <v>0</v>
      </c>
      <c r="T5" s="26">
        <f>'Croda Widnes'!T31</f>
        <v>0</v>
      </c>
      <c r="U5" s="26">
        <f>'Croda Widnes'!U31</f>
        <v>0</v>
      </c>
    </row>
    <row r="6" spans="1:21" x14ac:dyDescent="0.25">
      <c r="A6" s="29">
        <v>4</v>
      </c>
      <c r="B6" s="26">
        <f>'Maelor Foods'!B31</f>
        <v>70</v>
      </c>
      <c r="C6" s="26">
        <f>'Maelor Foods'!C31</f>
        <v>56</v>
      </c>
      <c r="D6" s="26">
        <f>'Maelor Foods'!D31</f>
        <v>64.308369999999996</v>
      </c>
      <c r="E6" s="26">
        <f>'Maelor Foods'!E31</f>
        <v>14.086450000000003</v>
      </c>
      <c r="F6" s="26">
        <f>'Maelor Foods'!F31</f>
        <v>12.534479999999999</v>
      </c>
      <c r="G6" s="26">
        <f>'Maelor Foods'!G31</f>
        <v>0.15819999999999998</v>
      </c>
      <c r="H6" s="26">
        <f>'Maelor Foods'!H31</f>
        <v>0.69860000000000011</v>
      </c>
      <c r="I6" s="26">
        <f>'Maelor Foods'!I31</f>
        <v>3.5000000000000003E-2</v>
      </c>
      <c r="J6" s="26">
        <f>'Maelor Foods'!J31</f>
        <v>7.000000000000001E-4</v>
      </c>
      <c r="K6" s="26">
        <f>'Maelor Foods'!K31</f>
        <v>3.5000000000000001E-3</v>
      </c>
      <c r="L6" s="26">
        <f>'Maelor Foods'!L31</f>
        <v>7.350000000000001E-2</v>
      </c>
      <c r="M6" s="26">
        <f>'Maelor Foods'!M31</f>
        <v>6.3280000000000003E-2</v>
      </c>
      <c r="N6" s="26">
        <f>'Maelor Foods'!N31</f>
        <v>0</v>
      </c>
      <c r="O6" s="26">
        <f>'Maelor Foods'!O31</f>
        <v>0</v>
      </c>
      <c r="P6" s="26">
        <f>'Maelor Foods'!P31</f>
        <v>44.03</v>
      </c>
      <c r="Q6" s="26">
        <f>'Maelor Foods'!Q31</f>
        <v>64.399999999999991</v>
      </c>
      <c r="R6" s="26">
        <f>'Maelor Foods'!R31</f>
        <v>0</v>
      </c>
      <c r="S6" s="26">
        <f>'Maelor Foods'!S31</f>
        <v>0</v>
      </c>
      <c r="T6" s="26">
        <f>'Maelor Foods'!T31</f>
        <v>0</v>
      </c>
      <c r="U6" s="26">
        <f>'Maelor Foods'!U31</f>
        <v>0</v>
      </c>
    </row>
    <row r="7" spans="1:21" x14ac:dyDescent="0.25">
      <c r="A7" s="29">
        <v>5</v>
      </c>
      <c r="B7" s="26">
        <f>'D Wise'!B31</f>
        <v>50</v>
      </c>
      <c r="C7" s="26">
        <f>'D Wise'!C31</f>
        <v>30</v>
      </c>
      <c r="D7" s="26">
        <f>'D Wise'!D31</f>
        <v>6.4606199999999996</v>
      </c>
      <c r="E7" s="26">
        <f>'D Wise'!E31</f>
        <v>3.4462999999999999</v>
      </c>
      <c r="F7" s="26">
        <f>'D Wise'!F31</f>
        <v>0.82899999999999996</v>
      </c>
      <c r="G7" s="26">
        <f>'D Wise'!G31</f>
        <v>0.01</v>
      </c>
      <c r="H7" s="26">
        <f>'D Wise'!H31</f>
        <v>3.3150000000000006E-2</v>
      </c>
      <c r="I7" s="26">
        <f>'D Wise'!I31</f>
        <v>2.5000000000000001E-2</v>
      </c>
      <c r="J7" s="26">
        <f>'D Wise'!J31</f>
        <v>5.0000000000000001E-4</v>
      </c>
      <c r="K7" s="26">
        <f>'D Wise'!K31</f>
        <v>2.5000000000000001E-3</v>
      </c>
      <c r="L7" s="26">
        <f>'D Wise'!L31</f>
        <v>0.01</v>
      </c>
      <c r="M7" s="26">
        <f>'D Wise'!M31</f>
        <v>1.8450000000000001E-2</v>
      </c>
      <c r="N7" s="26">
        <f>'D Wise'!N31</f>
        <v>0</v>
      </c>
      <c r="O7" s="26">
        <f>'D Wise'!O31</f>
        <v>0</v>
      </c>
      <c r="P7" s="26">
        <f>'D Wise'!P31</f>
        <v>26.35</v>
      </c>
      <c r="Q7" s="26">
        <f>'D Wise'!Q31</f>
        <v>10.925000000000001</v>
      </c>
      <c r="R7" s="26">
        <f>'D Wise'!R31</f>
        <v>0</v>
      </c>
      <c r="S7" s="26">
        <f>'D Wise'!S31</f>
        <v>0</v>
      </c>
      <c r="T7" s="26">
        <f>'D Wise'!T31</f>
        <v>0</v>
      </c>
      <c r="U7" s="26">
        <f>'D Wise'!U31</f>
        <v>0</v>
      </c>
    </row>
    <row r="8" spans="1:21" x14ac:dyDescent="0.25">
      <c r="A8" s="29">
        <v>6</v>
      </c>
      <c r="B8" s="26">
        <f>Kelloggs!B31</f>
        <v>150</v>
      </c>
      <c r="C8" s="26">
        <f>Kelloggs!C31</f>
        <v>105.00000000000001</v>
      </c>
      <c r="D8" s="26">
        <f>Kelloggs!D31</f>
        <v>43.643549999999998</v>
      </c>
      <c r="E8" s="26">
        <f>Kelloggs!E31</f>
        <v>20.605500000000003</v>
      </c>
      <c r="F8" s="26">
        <f>Kelloggs!F31</f>
        <v>22.08456</v>
      </c>
      <c r="G8" s="26">
        <f>Kelloggs!G31</f>
        <v>0.20550000000000002</v>
      </c>
      <c r="H8" s="26">
        <f>Kelloggs!H31</f>
        <v>5.1449999999999996</v>
      </c>
      <c r="I8" s="26">
        <f>Kelloggs!I31</f>
        <v>7.4999999999999997E-2</v>
      </c>
      <c r="J8" s="26">
        <f>Kelloggs!J31</f>
        <v>4.7999999999999996E-3</v>
      </c>
      <c r="K8" s="26">
        <f>Kelloggs!K31</f>
        <v>7.5000000000000006E-3</v>
      </c>
      <c r="L8" s="26">
        <f>Kelloggs!L31</f>
        <v>0.10394999999999999</v>
      </c>
      <c r="M8" s="26">
        <f>Kelloggs!M31</f>
        <v>8.8500000000000009E-2</v>
      </c>
      <c r="N8" s="26">
        <f>Kelloggs!N31</f>
        <v>0</v>
      </c>
      <c r="O8" s="26">
        <f>Kelloggs!O31</f>
        <v>0</v>
      </c>
      <c r="P8" s="26">
        <f>Kelloggs!P31</f>
        <v>55.05</v>
      </c>
      <c r="Q8" s="26">
        <f>Kelloggs!Q31</f>
        <v>38.625</v>
      </c>
      <c r="R8" s="26">
        <f>Kelloggs!R31</f>
        <v>0</v>
      </c>
      <c r="S8" s="26">
        <f>Kelloggs!S31</f>
        <v>0</v>
      </c>
      <c r="T8" s="26">
        <f>Kelloggs!T31</f>
        <v>0</v>
      </c>
      <c r="U8" s="26">
        <f>Kelloggs!U31</f>
        <v>0</v>
      </c>
    </row>
    <row r="9" spans="1:21" x14ac:dyDescent="0.25">
      <c r="A9" s="29">
        <v>7</v>
      </c>
      <c r="B9" s="26">
        <f>'ABP '!B31</f>
        <v>35</v>
      </c>
      <c r="C9" s="26">
        <f>'ABP '!C31</f>
        <v>147</v>
      </c>
      <c r="D9" s="26">
        <f>'ABP '!D31</f>
        <v>55.327650000000006</v>
      </c>
      <c r="E9" s="26">
        <f>'ABP '!E31</f>
        <v>5.8201500000000008</v>
      </c>
      <c r="F9" s="26">
        <f>'ABP '!F31</f>
        <v>4.2942199999999993</v>
      </c>
      <c r="G9" s="26">
        <f>'ABP '!G31</f>
        <v>6.055E-2</v>
      </c>
      <c r="H9" s="26">
        <f>'ABP '!H31</f>
        <v>0.54949999999999999</v>
      </c>
      <c r="I9" s="26">
        <f>'ABP '!I31</f>
        <v>1.7500000000000002E-2</v>
      </c>
      <c r="J9" s="26">
        <f>'ABP '!J31</f>
        <v>3.5000000000000005E-4</v>
      </c>
      <c r="K9" s="26">
        <f>'ABP '!K31</f>
        <v>1.75E-3</v>
      </c>
      <c r="L9" s="26">
        <f>'ABP '!L31</f>
        <v>1.3790000000000002E-2</v>
      </c>
      <c r="M9" s="26">
        <f>'ABP '!M31</f>
        <v>2.5830000000000002E-2</v>
      </c>
      <c r="N9" s="26">
        <f>'ABP '!N31</f>
        <v>0</v>
      </c>
      <c r="O9" s="26">
        <f>'ABP '!O31</f>
        <v>0</v>
      </c>
      <c r="P9" s="26">
        <f>'ABP '!P31</f>
        <v>14.490000000000002</v>
      </c>
      <c r="Q9" s="26">
        <f>'ABP '!Q31</f>
        <v>25.374999999999996</v>
      </c>
      <c r="R9" s="26">
        <f>'ABP '!R31</f>
        <v>0</v>
      </c>
      <c r="S9" s="26">
        <f>'ABP '!S31</f>
        <v>0</v>
      </c>
      <c r="T9" s="26">
        <f>'ABP '!T31</f>
        <v>0</v>
      </c>
      <c r="U9" s="26">
        <f>'ABP '!U31</f>
        <v>0</v>
      </c>
    </row>
    <row r="10" spans="1:21" x14ac:dyDescent="0.25">
      <c r="A10" s="29">
        <v>8</v>
      </c>
      <c r="B10" s="26">
        <f>Nimbus!B31</f>
        <v>120</v>
      </c>
      <c r="C10" s="26">
        <f>Nimbus!C31</f>
        <v>144</v>
      </c>
      <c r="D10" s="26">
        <f>Nimbus!D31</f>
        <v>58.283039999999993</v>
      </c>
      <c r="E10" s="26">
        <f>Nimbus!E31</f>
        <v>4.6995000000000005</v>
      </c>
      <c r="F10" s="26">
        <f>Nimbus!F31</f>
        <v>5.9091119999999995</v>
      </c>
      <c r="G10" s="26">
        <f>Nimbus!G31</f>
        <v>9.912E-2</v>
      </c>
      <c r="H10" s="26">
        <f>Nimbus!H31</f>
        <v>0.18840000000000001</v>
      </c>
      <c r="I10" s="26">
        <f>Nimbus!I31</f>
        <v>0.06</v>
      </c>
      <c r="J10" s="26">
        <f>Nimbus!J31</f>
        <v>1.2000000000000001E-3</v>
      </c>
      <c r="K10" s="26">
        <f>Nimbus!K31</f>
        <v>6.0000000000000001E-3</v>
      </c>
      <c r="L10" s="26">
        <f>Nimbus!L31</f>
        <v>2.4E-2</v>
      </c>
      <c r="M10" s="26">
        <f>Nimbus!M31</f>
        <v>4.4520000000000004E-2</v>
      </c>
      <c r="N10" s="26">
        <f>Nimbus!N31</f>
        <v>0</v>
      </c>
      <c r="O10" s="26">
        <f>Nimbus!O31</f>
        <v>0</v>
      </c>
      <c r="P10" s="26">
        <f>Nimbus!P31</f>
        <v>51.24</v>
      </c>
      <c r="Q10" s="26">
        <f>Nimbus!Q31</f>
        <v>96.899999999999991</v>
      </c>
      <c r="R10" s="26">
        <f>Nimbus!R31</f>
        <v>0</v>
      </c>
      <c r="S10" s="26">
        <f>Nimbus!S31</f>
        <v>0</v>
      </c>
      <c r="T10" s="26">
        <f>Nimbus!T31</f>
        <v>0</v>
      </c>
      <c r="U10" s="26">
        <f>Nimbus!U31</f>
        <v>0</v>
      </c>
    </row>
    <row r="11" spans="1:21" x14ac:dyDescent="0.25">
      <c r="A11" s="29">
        <v>9</v>
      </c>
      <c r="B11" s="26">
        <f>Roberts!B31</f>
        <v>39</v>
      </c>
      <c r="C11" s="26">
        <f>Roberts!C31</f>
        <v>148.19999999999999</v>
      </c>
      <c r="D11" s="26">
        <f>Roberts!D31</f>
        <v>49.409996999999997</v>
      </c>
      <c r="E11" s="26">
        <f>Roberts!E31</f>
        <v>15.273375000000001</v>
      </c>
      <c r="F11" s="26">
        <f>Roberts!F31</f>
        <v>3.7891932000000002</v>
      </c>
      <c r="G11" s="26">
        <f>Roberts!G31</f>
        <v>4.8750000000000002E-2</v>
      </c>
      <c r="H11" s="26">
        <f>Roberts!H31</f>
        <v>0.30263999999999996</v>
      </c>
      <c r="I11" s="26">
        <f>Roberts!I31</f>
        <v>1.95E-2</v>
      </c>
      <c r="J11" s="26">
        <f>Roberts!J31</f>
        <v>3.9000000000000005E-4</v>
      </c>
      <c r="K11" s="26">
        <f>Roberts!K31</f>
        <v>1.9500000000000001E-3</v>
      </c>
      <c r="L11" s="26">
        <f>Roberts!L31</f>
        <v>1.4703000000000001E-2</v>
      </c>
      <c r="M11" s="26">
        <f>Roberts!M31</f>
        <v>2.4414000000000002E-2</v>
      </c>
      <c r="N11" s="26">
        <f>Roberts!N31</f>
        <v>0</v>
      </c>
      <c r="O11" s="26">
        <f>Roberts!O31</f>
        <v>0</v>
      </c>
      <c r="P11" s="26">
        <f>Roberts!P31</f>
        <v>14.937000000000001</v>
      </c>
      <c r="Q11" s="26">
        <f>Roberts!Q31</f>
        <v>18.329999999999998</v>
      </c>
      <c r="R11" s="26">
        <f>Roberts!R31</f>
        <v>0</v>
      </c>
      <c r="S11" s="26">
        <f>Roberts!S31</f>
        <v>0</v>
      </c>
      <c r="T11" s="26">
        <f>Roberts!T31</f>
        <v>0</v>
      </c>
      <c r="U11" s="26">
        <f>Roberts!U31</f>
        <v>0</v>
      </c>
    </row>
    <row r="12" spans="1:21" x14ac:dyDescent="0.25">
      <c r="A12" s="29">
        <v>10</v>
      </c>
      <c r="B12" s="26">
        <f>'Village bakery '!B31</f>
        <v>150</v>
      </c>
      <c r="C12" s="26">
        <f>'Village bakery '!C31</f>
        <v>105.00000000000001</v>
      </c>
      <c r="D12" s="26">
        <f>'Village bakery '!D31</f>
        <v>21.787409999999998</v>
      </c>
      <c r="E12" s="26">
        <f>'Village bakery '!E31</f>
        <v>7.3203750000000003</v>
      </c>
      <c r="F12" s="26">
        <f>'Village bakery '!F31</f>
        <v>3.1336200000000001</v>
      </c>
      <c r="G12" s="26">
        <f>'Village bakery '!G31</f>
        <v>3.0000000000000002E-2</v>
      </c>
      <c r="H12" s="26">
        <f>'Village bakery '!H31</f>
        <v>0.84899999999999998</v>
      </c>
      <c r="I12" s="26">
        <f>'Village bakery '!I31</f>
        <v>7.4999999999999997E-2</v>
      </c>
      <c r="J12" s="26">
        <f>'Village bakery '!J31</f>
        <v>1.5E-3</v>
      </c>
      <c r="K12" s="26">
        <f>'Village bakery '!K31</f>
        <v>7.5000000000000006E-3</v>
      </c>
      <c r="L12" s="26">
        <f>'Village bakery '!L31</f>
        <v>3.0000000000000001E-3</v>
      </c>
      <c r="M12" s="26">
        <f>'Village bakery '!M31</f>
        <v>3.0000000000000002E-2</v>
      </c>
      <c r="N12" s="26">
        <f>'Village bakery '!N31</f>
        <v>0</v>
      </c>
      <c r="O12" s="26">
        <f>'Village bakery '!O31</f>
        <v>0</v>
      </c>
      <c r="P12" s="26">
        <f>'Village bakery '!P31</f>
        <v>49.050000000000004</v>
      </c>
      <c r="Q12" s="26">
        <f>'Village bakery '!Q31</f>
        <v>23.174999999999997</v>
      </c>
      <c r="R12" s="26">
        <f>'Village bakery '!R31</f>
        <v>0</v>
      </c>
      <c r="S12" s="26">
        <f>'Village bakery '!S31</f>
        <v>0</v>
      </c>
      <c r="T12" s="26">
        <f>'Village bakery '!T31</f>
        <v>0</v>
      </c>
      <c r="U12" s="26">
        <f>'Village bakery '!U31</f>
        <v>0</v>
      </c>
    </row>
    <row r="13" spans="1:21" s="72" customFormat="1" ht="15.5" x14ac:dyDescent="0.35">
      <c r="A13" s="70" t="s">
        <v>85</v>
      </c>
      <c r="B13" s="71">
        <f>SUM(B3:B12)</f>
        <v>842</v>
      </c>
      <c r="C13" s="71">
        <f t="shared" ref="C13:U13" si="0">SUM(C3:C12)</f>
        <v>984</v>
      </c>
      <c r="D13" s="71">
        <f t="shared" si="0"/>
        <v>483.03214899999995</v>
      </c>
      <c r="E13" s="71">
        <f t="shared" si="0"/>
        <v>114.603694</v>
      </c>
      <c r="F13" s="71">
        <f t="shared" si="0"/>
        <v>86.360909199999981</v>
      </c>
      <c r="G13" s="71">
        <f t="shared" si="0"/>
        <v>0.88649199999999995</v>
      </c>
      <c r="H13" s="71">
        <f t="shared" si="0"/>
        <v>9.2560500000000001</v>
      </c>
      <c r="I13" s="71">
        <f t="shared" si="0"/>
        <v>0.43323600000000007</v>
      </c>
      <c r="J13" s="71">
        <f t="shared" si="0"/>
        <v>1.1995999999999998E-2</v>
      </c>
      <c r="K13" s="71">
        <f t="shared" si="0"/>
        <v>4.2099999999999999E-2</v>
      </c>
      <c r="L13" s="71">
        <f t="shared" si="0"/>
        <v>0.30701100000000009</v>
      </c>
      <c r="M13" s="71">
        <f t="shared" si="0"/>
        <v>0.46491800000000005</v>
      </c>
      <c r="N13" s="71">
        <f t="shared" si="0"/>
        <v>0</v>
      </c>
      <c r="O13" s="71">
        <f t="shared" si="0"/>
        <v>0</v>
      </c>
      <c r="P13" s="71">
        <f t="shared" si="0"/>
        <v>551.98700000000008</v>
      </c>
      <c r="Q13" s="71">
        <f t="shared" si="0"/>
        <v>646.04</v>
      </c>
      <c r="R13" s="71">
        <f t="shared" si="0"/>
        <v>0</v>
      </c>
      <c r="S13" s="71">
        <f t="shared" si="0"/>
        <v>0</v>
      </c>
      <c r="T13" s="71">
        <f t="shared" si="0"/>
        <v>0</v>
      </c>
      <c r="U13" s="7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'Secanim '!B29</f>
        <v>Application Rate</v>
      </c>
      <c r="D1" s="28" t="str">
        <f>'Secanim '!C29</f>
        <v>Nitrogen Addition</v>
      </c>
      <c r="E1" s="28" t="str">
        <f>'Secanim '!D29</f>
        <v>Phosphate Addition</v>
      </c>
      <c r="F1" s="28" t="str">
        <f>'Secanim '!E29</f>
        <v>Potash  Addition</v>
      </c>
      <c r="G1" s="28" t="str">
        <f>'Secanim '!F29</f>
        <v>Mg Oxide Addition</v>
      </c>
      <c r="H1" s="28" t="str">
        <f>'Secanim '!G29</f>
        <v>Copper Addition</v>
      </c>
      <c r="I1" s="28" t="str">
        <f>'Secanim '!H29</f>
        <v>Zinc Addition</v>
      </c>
      <c r="J1" s="28" t="str">
        <f>'Secanim '!I29</f>
        <v>Lead Addition</v>
      </c>
      <c r="K1" s="28" t="str">
        <f>'Secanim '!J29</f>
        <v>Cadmium Addition</v>
      </c>
      <c r="L1" s="28" t="str">
        <f>'Secanim '!K29</f>
        <v>Mercury Addition</v>
      </c>
      <c r="M1" s="28" t="str">
        <f>'Secanim '!L29</f>
        <v>Nickel Addition</v>
      </c>
      <c r="N1" s="28" t="str">
        <f>'Secanim '!M29</f>
        <v>Chromium Addition</v>
      </c>
      <c r="O1" s="28" t="str">
        <f>'Secanim '!N29</f>
        <v>Aluminium Addition</v>
      </c>
      <c r="P1" s="28" t="str">
        <f>'Secanim '!O29</f>
        <v>Iron Addition</v>
      </c>
      <c r="Q1" s="28" t="str">
        <f>'Secanim '!P29</f>
        <v xml:space="preserve">Sodium Addition                 </v>
      </c>
      <c r="R1" s="28" t="str">
        <f>'Secanim '!Q29</f>
        <v>SO3  Addition                             kg/ha</v>
      </c>
      <c r="S1" s="28" t="str">
        <f>'Secanim '!R29</f>
        <v xml:space="preserve">Selenium Addition </v>
      </c>
      <c r="T1" s="28" t="str">
        <f>'Secanim '!S29</f>
        <v xml:space="preserve">Arsenic  Addition  </v>
      </c>
      <c r="U1" s="28" t="str">
        <f>'Secanim '!T29</f>
        <v xml:space="preserve">Molybdenum Addition  </v>
      </c>
      <c r="V1" s="28" t="str">
        <f>'Secanim '!U29</f>
        <v xml:space="preserve">Fluoride Addition </v>
      </c>
    </row>
    <row r="2" spans="1:22" s="73" customFormat="1" ht="25" x14ac:dyDescent="0.35">
      <c r="A2" s="132"/>
      <c r="B2" s="25" t="s">
        <v>46</v>
      </c>
      <c r="C2" s="28" t="str">
        <f>'Secanim '!B30</f>
        <v>tonnes/ha</v>
      </c>
      <c r="D2" s="28" t="str">
        <f>'Secanim '!C30</f>
        <v>kg/ha</v>
      </c>
      <c r="E2" s="28" t="str">
        <f>'Secanim '!D30</f>
        <v>P2O5 
kg/ha</v>
      </c>
      <c r="F2" s="28" t="str">
        <f>'Secanim '!E30</f>
        <v>K2O 
kg/ha</v>
      </c>
      <c r="G2" s="28" t="str">
        <f>'Secanim '!F30</f>
        <v>MgO 
kg/ha</v>
      </c>
      <c r="H2" s="28" t="str">
        <f>'Secanim '!G30</f>
        <v>kg/ha</v>
      </c>
      <c r="I2" s="28" t="str">
        <f>'Secanim '!H30</f>
        <v>kg/ha</v>
      </c>
      <c r="J2" s="28" t="str">
        <f>'Secanim '!I30</f>
        <v>kg/ha</v>
      </c>
      <c r="K2" s="28" t="str">
        <f>'Secanim '!J30</f>
        <v>kg/ha</v>
      </c>
      <c r="L2" s="28" t="str">
        <f>'Secanim '!K30</f>
        <v>kg/ha</v>
      </c>
      <c r="M2" s="28" t="str">
        <f>'Secanim '!L30</f>
        <v>kg/ha</v>
      </c>
      <c r="N2" s="28" t="str">
        <f>'Secanim '!M30</f>
        <v>kg/ha</v>
      </c>
      <c r="O2" s="28" t="str">
        <f>'Secanim '!N30</f>
        <v>kg/ha</v>
      </c>
      <c r="P2" s="28" t="str">
        <f>'Secanim '!O30</f>
        <v>kg/ha</v>
      </c>
      <c r="Q2" s="28" t="str">
        <f>'Secanim '!P30</f>
        <v>kg/ha</v>
      </c>
      <c r="R2" s="28" t="str">
        <f>'Secanim '!Q30</f>
        <v>kg/ha</v>
      </c>
      <c r="S2" s="28" t="str">
        <f>'Secanim '!R30</f>
        <v>kg/ha</v>
      </c>
      <c r="T2" s="28" t="str">
        <f>'Secanim '!S30</f>
        <v>kg/ha</v>
      </c>
      <c r="U2" s="28" t="str">
        <f>'Secanim '!T30</f>
        <v>kg/ha</v>
      </c>
      <c r="V2" s="28" t="str">
        <f>'Secanim '!U30</f>
        <v>kg/ha</v>
      </c>
    </row>
    <row r="3" spans="1:22" x14ac:dyDescent="0.25">
      <c r="A3" s="29">
        <v>1</v>
      </c>
      <c r="B3" s="81"/>
      <c r="C3" s="26">
        <f>'Secanim '!B31</f>
        <v>92</v>
      </c>
      <c r="D3" s="26">
        <f>'Secanim '!C31</f>
        <v>119.60000000000001</v>
      </c>
      <c r="E3" s="26">
        <f>'Secanim '!D31</f>
        <v>63.231599999999993</v>
      </c>
      <c r="F3" s="26">
        <f>'Secanim '!E31</f>
        <v>25.27608</v>
      </c>
      <c r="G3" s="26">
        <f>'Secanim '!F31</f>
        <v>13.301139199999998</v>
      </c>
      <c r="H3" s="26">
        <f>'Secanim '!G31</f>
        <v>0.19964000000000001</v>
      </c>
      <c r="I3" s="26">
        <f>'Secanim '!H31</f>
        <v>0.86755999999999989</v>
      </c>
      <c r="J3" s="26">
        <f>'Secanim '!I31</f>
        <v>5.8235999999999996E-2</v>
      </c>
      <c r="K3" s="26">
        <f>'Secanim '!J31</f>
        <v>1.196E-3</v>
      </c>
      <c r="L3" s="26">
        <f>'Secanim '!K31</f>
        <v>4.5999999999999999E-3</v>
      </c>
      <c r="M3" s="26">
        <f>'Secanim '!L31</f>
        <v>3.0544000000000005E-2</v>
      </c>
      <c r="N3" s="26">
        <f>'Secanim '!M31</f>
        <v>6.6699999999999995E-2</v>
      </c>
      <c r="O3" s="26">
        <f>'Secanim '!N31</f>
        <v>0</v>
      </c>
      <c r="P3" s="26">
        <f>'Secanim '!O31</f>
        <v>0</v>
      </c>
      <c r="Q3" s="26">
        <f>'Secanim '!P31</f>
        <v>73.323999999999998</v>
      </c>
      <c r="R3" s="26">
        <f>'Secanim '!Q31</f>
        <v>119.60000000000001</v>
      </c>
      <c r="S3" s="26">
        <f>'Secanim '!R31</f>
        <v>0</v>
      </c>
      <c r="T3" s="26">
        <f>'Secanim '!S31</f>
        <v>0</v>
      </c>
      <c r="U3" s="26">
        <f>'Secanim '!T31</f>
        <v>0</v>
      </c>
      <c r="V3" s="26">
        <f>'Secanim '!U31</f>
        <v>0</v>
      </c>
    </row>
    <row r="4" spans="1:22" x14ac:dyDescent="0.25">
      <c r="A4" s="29">
        <v>2</v>
      </c>
      <c r="B4" s="81"/>
      <c r="C4" s="26">
        <f>'Croda Goole'!B31</f>
        <v>68</v>
      </c>
      <c r="D4" s="26">
        <f>'Croda Goole'!C31</f>
        <v>40.799999999999997</v>
      </c>
      <c r="E4" s="26">
        <f>'Croda Goole'!D31</f>
        <v>55.616315999999998</v>
      </c>
      <c r="F4" s="26">
        <f>'Croda Goole'!E31</f>
        <v>5.2113840000000007</v>
      </c>
      <c r="G4" s="26">
        <f>'Croda Goole'!F31</f>
        <v>2.8975208000000001</v>
      </c>
      <c r="H4" s="26">
        <f>'Croda Goole'!G31</f>
        <v>3.2640000000000002E-2</v>
      </c>
      <c r="I4" s="26">
        <f>'Croda Goole'!H31</f>
        <v>0.43996000000000002</v>
      </c>
      <c r="J4" s="26">
        <f>'Croda Goole'!I31</f>
        <v>3.4000000000000002E-2</v>
      </c>
      <c r="K4" s="26">
        <f>'Croda Goole'!J31</f>
        <v>6.8000000000000005E-4</v>
      </c>
      <c r="L4" s="26">
        <f>'Croda Goole'!K31</f>
        <v>3.4000000000000002E-3</v>
      </c>
      <c r="M4" s="26">
        <f>'Croda Goole'!L31</f>
        <v>1.9923999999999997E-2</v>
      </c>
      <c r="N4" s="26">
        <f>'Croda Goole'!M31</f>
        <v>7.7519999999999992E-2</v>
      </c>
      <c r="O4" s="26">
        <f>'Croda Goole'!N31</f>
        <v>0</v>
      </c>
      <c r="P4" s="26">
        <f>'Croda Goole'!O31</f>
        <v>0</v>
      </c>
      <c r="Q4" s="26">
        <f>'Croda Goole'!P31</f>
        <v>206.65200000000002</v>
      </c>
      <c r="R4" s="26">
        <f>'Croda Goole'!Q31</f>
        <v>218.78999999999996</v>
      </c>
      <c r="S4" s="26">
        <f>'Croda Goole'!R31</f>
        <v>0</v>
      </c>
      <c r="T4" s="26">
        <f>'Croda Goole'!S31</f>
        <v>0</v>
      </c>
      <c r="U4" s="26">
        <f>'Croda Goole'!T31</f>
        <v>0</v>
      </c>
      <c r="V4" s="26">
        <f>'Croda Goole'!U31</f>
        <v>0</v>
      </c>
    </row>
    <row r="5" spans="1:22" x14ac:dyDescent="0.25">
      <c r="A5" s="29">
        <v>3</v>
      </c>
      <c r="B5" s="81"/>
      <c r="C5" s="26">
        <f>'Croda Widnes'!B31</f>
        <v>68</v>
      </c>
      <c r="D5" s="26">
        <f>'Croda Widnes'!C31</f>
        <v>88.4</v>
      </c>
      <c r="E5" s="26">
        <f>'Croda Widnes'!D31</f>
        <v>64.963595999999995</v>
      </c>
      <c r="F5" s="26">
        <f>'Croda Widnes'!E31</f>
        <v>12.86458</v>
      </c>
      <c r="G5" s="26">
        <f>'Croda Widnes'!F31</f>
        <v>17.588063999999999</v>
      </c>
      <c r="H5" s="26">
        <f>'Croda Widnes'!G31</f>
        <v>4.2091999999999997E-2</v>
      </c>
      <c r="I5" s="26">
        <f>'Croda Widnes'!H31</f>
        <v>0.18224000000000001</v>
      </c>
      <c r="J5" s="26">
        <f>'Croda Widnes'!I31</f>
        <v>3.4000000000000002E-2</v>
      </c>
      <c r="K5" s="26">
        <f>'Croda Widnes'!J31</f>
        <v>6.8000000000000005E-4</v>
      </c>
      <c r="L5" s="26">
        <f>'Croda Widnes'!K31</f>
        <v>3.4000000000000002E-3</v>
      </c>
      <c r="M5" s="26">
        <f>'Croda Widnes'!L31</f>
        <v>1.3600000000000001E-2</v>
      </c>
      <c r="N5" s="26">
        <f>'Croda Widnes'!M31</f>
        <v>2.5704000000000001E-2</v>
      </c>
      <c r="O5" s="26">
        <f>'Croda Widnes'!N31</f>
        <v>0</v>
      </c>
      <c r="P5" s="26">
        <f>'Croda Widnes'!O31</f>
        <v>0</v>
      </c>
      <c r="Q5" s="26">
        <f>'Croda Widnes'!P31</f>
        <v>16.864000000000001</v>
      </c>
      <c r="R5" s="26">
        <f>'Croda Widnes'!Q31</f>
        <v>29.92</v>
      </c>
      <c r="S5" s="26">
        <f>'Croda Widnes'!R31</f>
        <v>0</v>
      </c>
      <c r="T5" s="26">
        <f>'Croda Widnes'!S31</f>
        <v>0</v>
      </c>
      <c r="U5" s="26">
        <f>'Croda Widnes'!T31</f>
        <v>0</v>
      </c>
      <c r="V5" s="26">
        <f>'Croda Widnes'!U31</f>
        <v>0</v>
      </c>
    </row>
    <row r="6" spans="1:22" x14ac:dyDescent="0.25">
      <c r="A6" s="29">
        <v>4</v>
      </c>
      <c r="B6" s="81"/>
      <c r="C6" s="26">
        <f>'Maelor Foods'!B31</f>
        <v>70</v>
      </c>
      <c r="D6" s="26">
        <f>'Maelor Foods'!C31</f>
        <v>56</v>
      </c>
      <c r="E6" s="26">
        <f>'Maelor Foods'!D31</f>
        <v>64.308369999999996</v>
      </c>
      <c r="F6" s="26">
        <f>'Maelor Foods'!E31</f>
        <v>14.086450000000003</v>
      </c>
      <c r="G6" s="26">
        <f>'Maelor Foods'!F31</f>
        <v>12.534479999999999</v>
      </c>
      <c r="H6" s="26">
        <f>'Maelor Foods'!G31</f>
        <v>0.15819999999999998</v>
      </c>
      <c r="I6" s="26">
        <f>'Maelor Foods'!H31</f>
        <v>0.69860000000000011</v>
      </c>
      <c r="J6" s="26">
        <f>'Maelor Foods'!I31</f>
        <v>3.5000000000000003E-2</v>
      </c>
      <c r="K6" s="26">
        <f>'Maelor Foods'!J31</f>
        <v>7.000000000000001E-4</v>
      </c>
      <c r="L6" s="26">
        <f>'Maelor Foods'!K31</f>
        <v>3.5000000000000001E-3</v>
      </c>
      <c r="M6" s="26">
        <f>'Maelor Foods'!L31</f>
        <v>7.350000000000001E-2</v>
      </c>
      <c r="N6" s="26">
        <f>'Maelor Foods'!M31</f>
        <v>6.3280000000000003E-2</v>
      </c>
      <c r="O6" s="26">
        <f>'Maelor Foods'!N31</f>
        <v>0</v>
      </c>
      <c r="P6" s="26">
        <f>'Maelor Foods'!O31</f>
        <v>0</v>
      </c>
      <c r="Q6" s="26">
        <f>'Maelor Foods'!P31</f>
        <v>44.03</v>
      </c>
      <c r="R6" s="26">
        <f>'Maelor Foods'!Q31</f>
        <v>64.399999999999991</v>
      </c>
      <c r="S6" s="26">
        <f>'Maelor Foods'!R31</f>
        <v>0</v>
      </c>
      <c r="T6" s="26">
        <f>'Maelor Foods'!S31</f>
        <v>0</v>
      </c>
      <c r="U6" s="26">
        <f>'Maelor Foods'!T31</f>
        <v>0</v>
      </c>
      <c r="V6" s="26">
        <f>'Maelor Foods'!U31</f>
        <v>0</v>
      </c>
    </row>
    <row r="7" spans="1:22" x14ac:dyDescent="0.25">
      <c r="A7" s="29">
        <v>5</v>
      </c>
      <c r="B7" s="81"/>
      <c r="C7" s="26">
        <f>'D Wise'!B31</f>
        <v>50</v>
      </c>
      <c r="D7" s="26">
        <f>'D Wise'!C31</f>
        <v>30</v>
      </c>
      <c r="E7" s="26">
        <f>'D Wise'!D31</f>
        <v>6.4606199999999996</v>
      </c>
      <c r="F7" s="26">
        <f>'D Wise'!E31</f>
        <v>3.4462999999999999</v>
      </c>
      <c r="G7" s="26">
        <f>'D Wise'!F31</f>
        <v>0.82899999999999996</v>
      </c>
      <c r="H7" s="26">
        <f>'D Wise'!G31</f>
        <v>0.01</v>
      </c>
      <c r="I7" s="26">
        <f>'D Wise'!H31</f>
        <v>3.3150000000000006E-2</v>
      </c>
      <c r="J7" s="26">
        <f>'D Wise'!I31</f>
        <v>2.5000000000000001E-2</v>
      </c>
      <c r="K7" s="26">
        <f>'D Wise'!J31</f>
        <v>5.0000000000000001E-4</v>
      </c>
      <c r="L7" s="26">
        <f>'D Wise'!K31</f>
        <v>2.5000000000000001E-3</v>
      </c>
      <c r="M7" s="26">
        <f>'D Wise'!L31</f>
        <v>0.01</v>
      </c>
      <c r="N7" s="26">
        <f>'D Wise'!M31</f>
        <v>1.8450000000000001E-2</v>
      </c>
      <c r="O7" s="26">
        <f>'D Wise'!N31</f>
        <v>0</v>
      </c>
      <c r="P7" s="26">
        <f>'D Wise'!O31</f>
        <v>0</v>
      </c>
      <c r="Q7" s="26">
        <f>'D Wise'!P31</f>
        <v>26.35</v>
      </c>
      <c r="R7" s="26">
        <f>'D Wise'!Q31</f>
        <v>10.925000000000001</v>
      </c>
      <c r="S7" s="26">
        <f>'D Wise'!R31</f>
        <v>0</v>
      </c>
      <c r="T7" s="26">
        <f>'D Wise'!S31</f>
        <v>0</v>
      </c>
      <c r="U7" s="26">
        <f>'D Wise'!T31</f>
        <v>0</v>
      </c>
      <c r="V7" s="26">
        <f>'D Wise'!U31</f>
        <v>0</v>
      </c>
    </row>
    <row r="8" spans="1:22" x14ac:dyDescent="0.25">
      <c r="A8" s="29">
        <v>6</v>
      </c>
      <c r="B8" s="81"/>
      <c r="C8" s="26">
        <f>Kelloggs!B31</f>
        <v>150</v>
      </c>
      <c r="D8" s="26">
        <f>Kelloggs!C31</f>
        <v>105.00000000000001</v>
      </c>
      <c r="E8" s="26">
        <f>Kelloggs!D31</f>
        <v>43.643549999999998</v>
      </c>
      <c r="F8" s="26">
        <f>Kelloggs!E31</f>
        <v>20.605500000000003</v>
      </c>
      <c r="G8" s="26">
        <f>Kelloggs!F31</f>
        <v>22.08456</v>
      </c>
      <c r="H8" s="26">
        <f>Kelloggs!G31</f>
        <v>0.20550000000000002</v>
      </c>
      <c r="I8" s="26">
        <f>Kelloggs!H31</f>
        <v>5.1449999999999996</v>
      </c>
      <c r="J8" s="26">
        <f>Kelloggs!I31</f>
        <v>7.4999999999999997E-2</v>
      </c>
      <c r="K8" s="26">
        <f>Kelloggs!J31</f>
        <v>4.7999999999999996E-3</v>
      </c>
      <c r="L8" s="26">
        <f>Kelloggs!K31</f>
        <v>7.5000000000000006E-3</v>
      </c>
      <c r="M8" s="26">
        <f>Kelloggs!L31</f>
        <v>0.10394999999999999</v>
      </c>
      <c r="N8" s="26">
        <f>Kelloggs!M31</f>
        <v>8.8500000000000009E-2</v>
      </c>
      <c r="O8" s="26">
        <f>Kelloggs!N31</f>
        <v>0</v>
      </c>
      <c r="P8" s="26">
        <f>Kelloggs!O31</f>
        <v>0</v>
      </c>
      <c r="Q8" s="26">
        <f>Kelloggs!P31</f>
        <v>55.05</v>
      </c>
      <c r="R8" s="26">
        <f>Kelloggs!Q31</f>
        <v>38.625</v>
      </c>
      <c r="S8" s="26">
        <f>Kelloggs!R31</f>
        <v>0</v>
      </c>
      <c r="T8" s="26">
        <f>Kelloggs!S31</f>
        <v>0</v>
      </c>
      <c r="U8" s="26">
        <f>Kelloggs!T31</f>
        <v>0</v>
      </c>
      <c r="V8" s="26">
        <f>Kelloggs!U31</f>
        <v>0</v>
      </c>
    </row>
    <row r="9" spans="1:22" x14ac:dyDescent="0.25">
      <c r="A9" s="29">
        <v>7</v>
      </c>
      <c r="B9" s="81"/>
      <c r="C9" s="26">
        <f>'ABP '!B31</f>
        <v>35</v>
      </c>
      <c r="D9" s="26">
        <f>'ABP '!C31</f>
        <v>147</v>
      </c>
      <c r="E9" s="26">
        <f>'ABP '!D31</f>
        <v>55.327650000000006</v>
      </c>
      <c r="F9" s="26">
        <f>'ABP '!E31</f>
        <v>5.8201500000000008</v>
      </c>
      <c r="G9" s="26">
        <f>'ABP '!F31</f>
        <v>4.2942199999999993</v>
      </c>
      <c r="H9" s="26">
        <f>'ABP '!G31</f>
        <v>6.055E-2</v>
      </c>
      <c r="I9" s="26">
        <f>'ABP '!H31</f>
        <v>0.54949999999999999</v>
      </c>
      <c r="J9" s="26">
        <f>'ABP '!I31</f>
        <v>1.7500000000000002E-2</v>
      </c>
      <c r="K9" s="26">
        <f>'ABP '!J31</f>
        <v>3.5000000000000005E-4</v>
      </c>
      <c r="L9" s="26">
        <f>'ABP '!K31</f>
        <v>1.75E-3</v>
      </c>
      <c r="M9" s="26">
        <f>'ABP '!L31</f>
        <v>1.3790000000000002E-2</v>
      </c>
      <c r="N9" s="26">
        <f>'ABP '!M31</f>
        <v>2.5830000000000002E-2</v>
      </c>
      <c r="O9" s="26">
        <f>'ABP '!N31</f>
        <v>0</v>
      </c>
      <c r="P9" s="26">
        <f>'ABP '!O31</f>
        <v>0</v>
      </c>
      <c r="Q9" s="26">
        <f>'ABP '!P31</f>
        <v>14.490000000000002</v>
      </c>
      <c r="R9" s="26">
        <f>'ABP '!Q31</f>
        <v>25.374999999999996</v>
      </c>
      <c r="S9" s="26">
        <f>'ABP '!R31</f>
        <v>0</v>
      </c>
      <c r="T9" s="26">
        <f>'ABP '!S31</f>
        <v>0</v>
      </c>
      <c r="U9" s="26">
        <f>'ABP '!T31</f>
        <v>0</v>
      </c>
      <c r="V9" s="26">
        <f>'ABP '!U31</f>
        <v>0</v>
      </c>
    </row>
    <row r="10" spans="1:22" x14ac:dyDescent="0.25">
      <c r="A10" s="29">
        <v>8</v>
      </c>
      <c r="B10" s="81"/>
      <c r="C10" s="26">
        <f>Nimbus!B31</f>
        <v>120</v>
      </c>
      <c r="D10" s="26">
        <f>Nimbus!C31</f>
        <v>144</v>
      </c>
      <c r="E10" s="26">
        <f>Nimbus!D31</f>
        <v>58.283039999999993</v>
      </c>
      <c r="F10" s="26">
        <f>Nimbus!E31</f>
        <v>4.6995000000000005</v>
      </c>
      <c r="G10" s="26">
        <f>Nimbus!F31</f>
        <v>5.9091119999999995</v>
      </c>
      <c r="H10" s="26">
        <f>Nimbus!G31</f>
        <v>9.912E-2</v>
      </c>
      <c r="I10" s="26">
        <f>Nimbus!H31</f>
        <v>0.18840000000000001</v>
      </c>
      <c r="J10" s="26">
        <f>Nimbus!I31</f>
        <v>0.06</v>
      </c>
      <c r="K10" s="26">
        <f>Nimbus!J31</f>
        <v>1.2000000000000001E-3</v>
      </c>
      <c r="L10" s="26">
        <f>Nimbus!K31</f>
        <v>6.0000000000000001E-3</v>
      </c>
      <c r="M10" s="26">
        <f>Nimbus!L31</f>
        <v>2.4E-2</v>
      </c>
      <c r="N10" s="26">
        <f>Nimbus!M31</f>
        <v>4.4520000000000004E-2</v>
      </c>
      <c r="O10" s="26">
        <f>Nimbus!N31</f>
        <v>0</v>
      </c>
      <c r="P10" s="26">
        <f>Nimbus!O31</f>
        <v>0</v>
      </c>
      <c r="Q10" s="26">
        <f>Nimbus!P31</f>
        <v>51.24</v>
      </c>
      <c r="R10" s="26">
        <f>Nimbus!Q31</f>
        <v>96.899999999999991</v>
      </c>
      <c r="S10" s="26">
        <f>Nimbus!R31</f>
        <v>0</v>
      </c>
      <c r="T10" s="26">
        <f>Nimbus!S31</f>
        <v>0</v>
      </c>
      <c r="U10" s="26">
        <f>Nimbus!T31</f>
        <v>0</v>
      </c>
      <c r="V10" s="26">
        <f>Nimbus!U31</f>
        <v>0</v>
      </c>
    </row>
    <row r="11" spans="1:22" x14ac:dyDescent="0.25">
      <c r="A11" s="29">
        <v>9</v>
      </c>
      <c r="B11" s="81"/>
      <c r="C11" s="26">
        <f>Roberts!B31</f>
        <v>39</v>
      </c>
      <c r="D11" s="26">
        <f>Roberts!C31</f>
        <v>148.19999999999999</v>
      </c>
      <c r="E11" s="26">
        <f>Roberts!D31</f>
        <v>49.409996999999997</v>
      </c>
      <c r="F11" s="26">
        <f>Roberts!E31</f>
        <v>15.273375000000001</v>
      </c>
      <c r="G11" s="26">
        <f>Roberts!F31</f>
        <v>3.7891932000000002</v>
      </c>
      <c r="H11" s="26">
        <f>Roberts!G31</f>
        <v>4.8750000000000002E-2</v>
      </c>
      <c r="I11" s="26">
        <f>Roberts!H31</f>
        <v>0.30263999999999996</v>
      </c>
      <c r="J11" s="26">
        <f>Roberts!I31</f>
        <v>1.95E-2</v>
      </c>
      <c r="K11" s="26">
        <f>Roberts!J31</f>
        <v>3.9000000000000005E-4</v>
      </c>
      <c r="L11" s="26">
        <f>Roberts!K31</f>
        <v>1.9500000000000001E-3</v>
      </c>
      <c r="M11" s="26">
        <f>Roberts!L31</f>
        <v>1.4703000000000001E-2</v>
      </c>
      <c r="N11" s="26">
        <f>Roberts!M31</f>
        <v>2.4414000000000002E-2</v>
      </c>
      <c r="O11" s="26">
        <f>Roberts!N31</f>
        <v>0</v>
      </c>
      <c r="P11" s="26">
        <f>Roberts!O31</f>
        <v>0</v>
      </c>
      <c r="Q11" s="26">
        <f>Roberts!P31</f>
        <v>14.937000000000001</v>
      </c>
      <c r="R11" s="26">
        <f>Roberts!Q31</f>
        <v>18.329999999999998</v>
      </c>
      <c r="S11" s="26">
        <f>Roberts!R31</f>
        <v>0</v>
      </c>
      <c r="T11" s="26">
        <f>Roberts!S31</f>
        <v>0</v>
      </c>
      <c r="U11" s="26">
        <f>Roberts!T31</f>
        <v>0</v>
      </c>
      <c r="V11" s="26">
        <f>Roberts!U31</f>
        <v>0</v>
      </c>
    </row>
    <row r="12" spans="1:22" x14ac:dyDescent="0.25">
      <c r="A12" s="29">
        <v>10</v>
      </c>
      <c r="B12" s="81"/>
      <c r="C12" s="26">
        <f>'Village bakery '!B31</f>
        <v>150</v>
      </c>
      <c r="D12" s="26">
        <f>'Village bakery '!C31</f>
        <v>105.00000000000001</v>
      </c>
      <c r="E12" s="26">
        <f>'Village bakery '!D31</f>
        <v>21.787409999999998</v>
      </c>
      <c r="F12" s="26">
        <f>'Village bakery '!E31</f>
        <v>7.3203750000000003</v>
      </c>
      <c r="G12" s="26">
        <f>'Village bakery '!F31</f>
        <v>3.1336200000000001</v>
      </c>
      <c r="H12" s="26">
        <f>'Village bakery '!G31</f>
        <v>3.0000000000000002E-2</v>
      </c>
      <c r="I12" s="26">
        <f>'Village bakery '!H31</f>
        <v>0.84899999999999998</v>
      </c>
      <c r="J12" s="26">
        <f>'Village bakery '!I31</f>
        <v>7.4999999999999997E-2</v>
      </c>
      <c r="K12" s="26">
        <f>'Village bakery '!J31</f>
        <v>1.5E-3</v>
      </c>
      <c r="L12" s="26">
        <f>'Village bakery '!K31</f>
        <v>7.5000000000000006E-3</v>
      </c>
      <c r="M12" s="26">
        <f>'Village bakery '!L31</f>
        <v>3.0000000000000001E-3</v>
      </c>
      <c r="N12" s="26">
        <f>'Village bakery '!M31</f>
        <v>3.0000000000000002E-2</v>
      </c>
      <c r="O12" s="26">
        <f>'Village bakery '!N31</f>
        <v>0</v>
      </c>
      <c r="P12" s="26">
        <f>'Village bakery '!O31</f>
        <v>0</v>
      </c>
      <c r="Q12" s="26">
        <f>'Village bakery '!P31</f>
        <v>49.050000000000004</v>
      </c>
      <c r="R12" s="26">
        <f>'Village bakery '!Q31</f>
        <v>23.174999999999997</v>
      </c>
      <c r="S12" s="26">
        <f>'Village bakery '!R31</f>
        <v>0</v>
      </c>
      <c r="T12" s="26">
        <f>'Village bakery '!S31</f>
        <v>0</v>
      </c>
      <c r="U12" s="26">
        <f>'Village bakery '!T31</f>
        <v>0</v>
      </c>
      <c r="V12" s="26">
        <f>'Village bakery '!U31</f>
        <v>0</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'Secanim '!B43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'Secanim '!B44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92</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68</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68</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f t="shared" si="7"/>
        <v>70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5">
      <c r="A21" s="75">
        <v>5</v>
      </c>
      <c r="B21" s="76">
        <f t="shared" ref="B21:C21" si="9">B7</f>
        <v>0</v>
      </c>
      <c r="C21" s="77">
        <f t="shared" si="9"/>
        <v>50</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5">
      <c r="A22" s="75">
        <v>6</v>
      </c>
      <c r="B22" s="76">
        <f t="shared" ref="B22:C22" si="11">B8</f>
        <v>0</v>
      </c>
      <c r="C22" s="77">
        <f t="shared" si="11"/>
        <v>150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5">
      <c r="A23" s="75">
        <v>7</v>
      </c>
      <c r="B23" s="76">
        <f t="shared" ref="B23:C23" si="13">B9</f>
        <v>0</v>
      </c>
      <c r="C23" s="77">
        <f t="shared" si="13"/>
        <v>35</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5">
      <c r="A24" s="75">
        <v>8</v>
      </c>
      <c r="B24" s="76">
        <f t="shared" ref="B24:C24" si="15">B10</f>
        <v>0</v>
      </c>
      <c r="C24" s="77">
        <f t="shared" si="15"/>
        <v>120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5">
      <c r="A25" s="75">
        <v>9</v>
      </c>
      <c r="B25" s="76">
        <f t="shared" ref="B25:C25" si="17">B11</f>
        <v>0</v>
      </c>
      <c r="C25" s="77">
        <f t="shared" si="17"/>
        <v>39</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5">
      <c r="A26" s="75">
        <v>10</v>
      </c>
      <c r="B26" s="76">
        <f t="shared" ref="B26:C26" si="19">B12</f>
        <v>0</v>
      </c>
      <c r="C26" s="77">
        <f t="shared" si="19"/>
        <v>150</v>
      </c>
      <c r="D26" s="78">
        <f>D12*$B$12</f>
        <v>0</v>
      </c>
      <c r="E26" s="78">
        <f t="shared" ref="E26:V26" si="20">E12*$B$12</f>
        <v>0</v>
      </c>
      <c r="F26" s="78">
        <f t="shared" si="20"/>
        <v>0</v>
      </c>
      <c r="G26" s="78">
        <f t="shared" si="20"/>
        <v>0</v>
      </c>
      <c r="H26" s="78">
        <f t="shared" si="20"/>
        <v>0</v>
      </c>
      <c r="I26" s="78">
        <f t="shared" si="20"/>
        <v>0</v>
      </c>
      <c r="J26" s="78">
        <f t="shared" si="20"/>
        <v>0</v>
      </c>
      <c r="K26" s="78">
        <f t="shared" si="20"/>
        <v>0</v>
      </c>
      <c r="L26" s="78">
        <f t="shared" si="20"/>
        <v>0</v>
      </c>
      <c r="M26" s="78">
        <f t="shared" si="20"/>
        <v>0</v>
      </c>
      <c r="N26" s="78">
        <f t="shared" si="20"/>
        <v>0</v>
      </c>
      <c r="O26" s="78">
        <f t="shared" si="20"/>
        <v>0</v>
      </c>
      <c r="P26" s="78">
        <f t="shared" si="20"/>
        <v>0</v>
      </c>
      <c r="Q26" s="78">
        <f t="shared" si="20"/>
        <v>0</v>
      </c>
      <c r="R26" s="78">
        <f t="shared" si="20"/>
        <v>0</v>
      </c>
      <c r="S26" s="78">
        <f t="shared" si="20"/>
        <v>0</v>
      </c>
      <c r="T26" s="78">
        <f t="shared" si="20"/>
        <v>0</v>
      </c>
      <c r="U26" s="78">
        <f t="shared" si="20"/>
        <v>0</v>
      </c>
      <c r="V26" s="78">
        <f t="shared" si="20"/>
        <v>0</v>
      </c>
    </row>
    <row r="27" spans="1:22" s="80" customFormat="1" ht="15.5" x14ac:dyDescent="0.35">
      <c r="A27" s="133" t="s">
        <v>85</v>
      </c>
      <c r="B27" s="133"/>
      <c r="C27" s="133"/>
      <c r="D27" s="79">
        <f>SUM(D17:D26)</f>
        <v>0</v>
      </c>
      <c r="E27" s="79">
        <f t="shared" ref="E27:V27" si="21">SUM(E17:E26)</f>
        <v>0</v>
      </c>
      <c r="F27" s="79">
        <f t="shared" si="21"/>
        <v>0</v>
      </c>
      <c r="G27" s="79">
        <f t="shared" si="21"/>
        <v>0</v>
      </c>
      <c r="H27" s="79">
        <f t="shared" si="21"/>
        <v>0</v>
      </c>
      <c r="I27" s="79">
        <f t="shared" si="21"/>
        <v>0</v>
      </c>
      <c r="J27" s="79">
        <f t="shared" si="21"/>
        <v>0</v>
      </c>
      <c r="K27" s="79">
        <f t="shared" si="21"/>
        <v>0</v>
      </c>
      <c r="L27" s="79">
        <f t="shared" si="21"/>
        <v>0</v>
      </c>
      <c r="M27" s="79">
        <f t="shared" si="21"/>
        <v>0</v>
      </c>
      <c r="N27" s="79">
        <f t="shared" si="21"/>
        <v>0</v>
      </c>
      <c r="O27" s="79">
        <f t="shared" si="21"/>
        <v>0</v>
      </c>
      <c r="P27" s="79">
        <f t="shared" si="21"/>
        <v>0</v>
      </c>
      <c r="Q27" s="79">
        <f t="shared" si="21"/>
        <v>0</v>
      </c>
      <c r="R27" s="79">
        <f t="shared" si="21"/>
        <v>0</v>
      </c>
      <c r="S27" s="79">
        <f t="shared" si="21"/>
        <v>0</v>
      </c>
      <c r="T27" s="79">
        <f t="shared" si="21"/>
        <v>0</v>
      </c>
      <c r="U27" s="79">
        <f t="shared" si="21"/>
        <v>0</v>
      </c>
      <c r="V27" s="7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REGU-415-1632047</_dlc_DocId>
    <_dlc_DocIdUrl xmlns="9be56660-2c31-41ef-bc00-23e72f632f2a">
      <Url>https://cyfoethnaturiolcymru.sharepoint.com/teams/Regulatory/Permitting/_layouts/15/DocIdRedir.aspx?ID=REGU-415-1632047</Url>
      <Description>REGU-415-1632047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Mr R&amp;R Piggott, 22 Coniston Drive, Frodsham, Cheshire, WA6 7LR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2024-10-10T23:00:00+00:00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lcf76f155ced4ddcb4097134ff3c332f xmlns="dfa7b5af-bd1f-4e1a-a117-ad96be72b59f"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ba3d3f646c51d9da4950b9a6e7b784ce">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6de5245ddb57d651dd1da83624696544"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797E6A-9749-4301-8AB6-21033F5C51D5}"/>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schemas.microsoft.com/office/2006/documentManagement/types"/>
    <ds:schemaRef ds:uri="http://purl.org/dc/elements/1.1/"/>
    <ds:schemaRef ds:uri="http://www.w3.org/XML/1998/namespace"/>
    <ds:schemaRef ds:uri="9be56660-2c31-41ef-bc00-23e72f632f2a"/>
    <ds:schemaRef ds:uri="http://schemas.openxmlformats.org/package/2006/metadata/core-properties"/>
    <ds:schemaRef ds:uri="http://purl.org/dc/terms/"/>
    <ds:schemaRef ds:uri="http://schemas.microsoft.com/office/infopath/2007/PartnerControl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5735BD44-D02A-4BA5-9BDD-1705BDB09A1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 </vt:lpstr>
      <vt:lpstr>Croda Goole</vt:lpstr>
      <vt:lpstr>Croda Widnes</vt:lpstr>
      <vt:lpstr>Maelor Foods</vt:lpstr>
      <vt:lpstr>D Wise</vt:lpstr>
      <vt:lpstr>Kelloggs</vt:lpstr>
      <vt:lpstr>ABP </vt:lpstr>
      <vt:lpstr>Nimbus</vt:lpstr>
      <vt:lpstr>Roberts</vt:lpstr>
      <vt:lpstr>Village bakery </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2024-10-04T15:56:37Z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ab7ca89a-5589-4b86-a160-28946df86b18</vt:lpwstr>
  </property>
  <property fmtid="{D5CDD505-2E9C-101B-9397-08002B2CF9AE}" pid="4" name="Order">
    <vt:r8>163204700</vt:r8>
  </property>
  <property fmtid="{D5CDD505-2E9C-101B-9397-08002B2CF9AE}" pid="5" name="MediaServiceImageTags">
    <vt:lpwstr/>
  </property>
</Properties>
</file>