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6719/"/>
    </mc:Choice>
  </mc:AlternateContent>
  <xr:revisionPtr revIDLastSave="0" documentId="13_ncr:1_{CDE377ED-9509-40F5-9012-264D191981EC}" xr6:coauthVersionLast="47" xr6:coauthVersionMax="47" xr10:uidLastSave="{00000000-0000-0000-0000-000000000000}"/>
  <bookViews>
    <workbookView xWindow="19090" yWindow="-110" windowWidth="22780" windowHeight="145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N65" i="1" l="1"/>
  <c r="P65" i="1"/>
  <c r="Q65" i="1"/>
  <c r="R65" i="1"/>
  <c r="S65" i="1"/>
  <c r="T65" i="1"/>
  <c r="U65" i="1"/>
  <c r="N65" i="21"/>
  <c r="P65" i="21"/>
  <c r="Q65" i="21"/>
  <c r="R65" i="21"/>
  <c r="S65" i="21"/>
  <c r="T65" i="21"/>
  <c r="U65" i="21"/>
  <c r="N65" i="27"/>
  <c r="P65" i="27"/>
  <c r="Q65" i="27"/>
  <c r="R65" i="27"/>
  <c r="S65" i="27"/>
  <c r="T65" i="27"/>
  <c r="U65" i="27"/>
  <c r="N65" i="28"/>
  <c r="P65" i="28"/>
  <c r="Q65" i="28"/>
  <c r="R65" i="28"/>
  <c r="S65" i="28"/>
  <c r="T65" i="28"/>
  <c r="U65" i="28"/>
  <c r="N65" i="30"/>
  <c r="P65" i="30"/>
  <c r="Q65" i="30"/>
  <c r="R65" i="30"/>
  <c r="S65" i="30"/>
  <c r="T65" i="30"/>
  <c r="U65" i="30"/>
  <c r="N65" i="26"/>
  <c r="P65" i="26"/>
  <c r="Q65" i="26"/>
  <c r="R65" i="26"/>
  <c r="S65" i="26"/>
  <c r="T65" i="26"/>
  <c r="U65" i="26"/>
  <c r="N65" i="24"/>
  <c r="P65" i="24"/>
  <c r="Q65" i="24"/>
  <c r="R65" i="24"/>
  <c r="S65" i="24"/>
  <c r="T65" i="24"/>
  <c r="U65" i="24"/>
  <c r="N65" i="29"/>
  <c r="P65" i="29"/>
  <c r="Q65" i="29"/>
  <c r="R65" i="29"/>
  <c r="S65" i="29"/>
  <c r="T65" i="29"/>
  <c r="U65" i="29"/>
  <c r="N65" i="23"/>
  <c r="P65" i="23"/>
  <c r="Q65" i="23"/>
  <c r="R65" i="23"/>
  <c r="S65" i="23"/>
  <c r="T65" i="23"/>
  <c r="U65" i="23"/>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V20" i="30"/>
  <c r="U20" i="30"/>
  <c r="T20" i="30"/>
  <c r="S20" i="30"/>
  <c r="R20" i="30"/>
  <c r="Q20" i="30"/>
  <c r="P20" i="30"/>
  <c r="O20" i="30"/>
  <c r="N20" i="30"/>
  <c r="V18" i="30"/>
  <c r="Q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V20" i="29"/>
  <c r="U20" i="29"/>
  <c r="T20" i="29"/>
  <c r="S20" i="29"/>
  <c r="R20" i="29"/>
  <c r="Q20" i="29"/>
  <c r="P20" i="29"/>
  <c r="O20" i="29"/>
  <c r="N20" i="29"/>
  <c r="H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V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V20" i="27"/>
  <c r="U20" i="27"/>
  <c r="T20" i="27"/>
  <c r="S20" i="27"/>
  <c r="R20" i="27"/>
  <c r="Q20" i="27"/>
  <c r="P20" i="27"/>
  <c r="O20" i="27"/>
  <c r="N20" i="27"/>
  <c r="U18" i="27"/>
  <c r="K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0" i="26"/>
  <c r="U20" i="26"/>
  <c r="T20" i="26"/>
  <c r="S20" i="26"/>
  <c r="R20" i="26"/>
  <c r="Q20" i="26"/>
  <c r="P20" i="26"/>
  <c r="O20" i="26"/>
  <c r="N20"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Q22" i="24"/>
  <c r="E22" i="24"/>
  <c r="V20" i="24"/>
  <c r="U20" i="24"/>
  <c r="T20" i="24"/>
  <c r="S20" i="24"/>
  <c r="R20" i="24"/>
  <c r="Q20" i="24"/>
  <c r="P20" i="24"/>
  <c r="O20" i="24"/>
  <c r="N20" i="24"/>
  <c r="U18" i="24"/>
  <c r="P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V20" i="23"/>
  <c r="U20" i="23"/>
  <c r="T20" i="23"/>
  <c r="S20" i="23"/>
  <c r="R20" i="23"/>
  <c r="Q20" i="23"/>
  <c r="P20" i="23"/>
  <c r="O20" i="23"/>
  <c r="N20"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G22" i="22"/>
  <c r="V20" i="22"/>
  <c r="U20" i="22"/>
  <c r="T20" i="22"/>
  <c r="S20" i="22"/>
  <c r="R20" i="22"/>
  <c r="Q20" i="22"/>
  <c r="P20" i="22"/>
  <c r="O20" i="22"/>
  <c r="N20" i="22"/>
  <c r="U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H10" i="19" l="1"/>
  <c r="H24"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D64" i="21" s="1"/>
  <c r="D65"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19" i="26" s="1"/>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J23" i="21" s="1"/>
  <c r="J24" i="21" s="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23" i="22" s="1"/>
  <c r="L24" i="22" s="1"/>
  <c r="L17" i="22"/>
  <c r="L19" i="22" s="1"/>
  <c r="L20" i="22" s="1"/>
  <c r="G12" i="20"/>
  <c r="H12" i="19"/>
  <c r="H26" i="19" s="1"/>
  <c r="J4" i="20"/>
  <c r="K4" i="19"/>
  <c r="K18" i="19" s="1"/>
  <c r="U63" i="21"/>
  <c r="N63" i="21"/>
  <c r="F63" i="21"/>
  <c r="P59" i="21"/>
  <c r="Q21" i="21"/>
  <c r="Q23" i="21" s="1"/>
  <c r="Q24" i="21" s="1"/>
  <c r="Q17" i="21"/>
  <c r="I17" i="21"/>
  <c r="I21" i="21"/>
  <c r="I23" i="21" s="1"/>
  <c r="I24" i="21" s="1"/>
  <c r="D59" i="22"/>
  <c r="E21" i="22"/>
  <c r="E23" i="22" s="1"/>
  <c r="E24" i="22" s="1"/>
  <c r="E17" i="22"/>
  <c r="E19" i="22" s="1"/>
  <c r="E20" i="22" s="1"/>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19" i="22" s="1"/>
  <c r="J20" i="22" s="1"/>
  <c r="J21" i="22"/>
  <c r="J23" i="22" s="1"/>
  <c r="J24" i="22" s="1"/>
  <c r="K59" i="23"/>
  <c r="L17" i="23"/>
  <c r="L21" i="23"/>
  <c r="M57" i="21"/>
  <c r="R59" i="21"/>
  <c r="S21" i="21"/>
  <c r="S23" i="21" s="1"/>
  <c r="S24" i="21" s="1"/>
  <c r="S17" i="21"/>
  <c r="J59" i="21"/>
  <c r="K21" i="21"/>
  <c r="K23" i="21" s="1"/>
  <c r="K24" i="21" s="1"/>
  <c r="K17" i="21"/>
  <c r="K19" i="21" s="1"/>
  <c r="K20" i="21" s="1"/>
  <c r="J59" i="22"/>
  <c r="K17" i="22"/>
  <c r="K19" i="22" s="1"/>
  <c r="K20" i="22" s="1"/>
  <c r="K21" i="22"/>
  <c r="K23" i="22" s="1"/>
  <c r="K24" i="22" s="1"/>
  <c r="R59" i="22"/>
  <c r="S17" i="22"/>
  <c r="S21" i="22"/>
  <c r="S23" i="22" s="1"/>
  <c r="S24" i="22" s="1"/>
  <c r="D59" i="23"/>
  <c r="E17" i="23"/>
  <c r="E19" i="23" s="1"/>
  <c r="E20" i="23" s="1"/>
  <c r="E21" i="23"/>
  <c r="E23" i="23" s="1"/>
  <c r="E24" i="23" s="1"/>
  <c r="L59" i="23"/>
  <c r="M17" i="23"/>
  <c r="M19" i="23" s="1"/>
  <c r="M20" i="23" s="1"/>
  <c r="M21" i="23"/>
  <c r="M23" i="23" s="1"/>
  <c r="M24" i="23" s="1"/>
  <c r="T59" i="23"/>
  <c r="U17" i="23"/>
  <c r="U19" i="23" s="1"/>
  <c r="U21" i="23"/>
  <c r="U23" i="23" s="1"/>
  <c r="U24" i="23" s="1"/>
  <c r="H21" i="24"/>
  <c r="H17" i="24"/>
  <c r="H19" i="24" s="1"/>
  <c r="H20" i="24" s="1"/>
  <c r="P17" i="24"/>
  <c r="P21" i="24"/>
  <c r="C59" i="26"/>
  <c r="D21" i="26"/>
  <c r="D23" i="26" s="1"/>
  <c r="D24" i="26" s="1"/>
  <c r="D17" i="26"/>
  <c r="D19" i="26" s="1"/>
  <c r="D20" i="26" s="1"/>
  <c r="K59" i="26"/>
  <c r="L21" i="26"/>
  <c r="L23" i="26" s="1"/>
  <c r="L24" i="26" s="1"/>
  <c r="L17" i="26"/>
  <c r="L19" i="26" s="1"/>
  <c r="L20" i="26" s="1"/>
  <c r="S59" i="26"/>
  <c r="T21" i="26"/>
  <c r="T17" i="26"/>
  <c r="N63" i="26"/>
  <c r="J59" i="27"/>
  <c r="K17" i="27"/>
  <c r="K19" i="27" s="1"/>
  <c r="K20" i="27" s="1"/>
  <c r="R59" i="27"/>
  <c r="S17" i="27"/>
  <c r="S19" i="27" s="1"/>
  <c r="J59" i="28"/>
  <c r="K17" i="28"/>
  <c r="K19" i="28" s="1"/>
  <c r="K20" i="28" s="1"/>
  <c r="K21" i="28"/>
  <c r="K23" i="28" s="1"/>
  <c r="K24" i="28" s="1"/>
  <c r="R59" i="28"/>
  <c r="S17" i="28"/>
  <c r="S21" i="28"/>
  <c r="S23" i="28" s="1"/>
  <c r="S24" i="28" s="1"/>
  <c r="I59" i="29"/>
  <c r="J17" i="29"/>
  <c r="J21" i="29"/>
  <c r="J23" i="29" s="1"/>
  <c r="J24" i="29" s="1"/>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F20" i="23" s="1"/>
  <c r="M59" i="23"/>
  <c r="N21" i="23"/>
  <c r="N17" i="23"/>
  <c r="N19" i="23" s="1"/>
  <c r="U59" i="23"/>
  <c r="V21" i="23"/>
  <c r="V23" i="23" s="1"/>
  <c r="V24" i="23" s="1"/>
  <c r="V17" i="23"/>
  <c r="I17" i="24"/>
  <c r="I19" i="24" s="1"/>
  <c r="I20" i="24" s="1"/>
  <c r="I21" i="24"/>
  <c r="I23" i="24" s="1"/>
  <c r="I24" i="24" s="1"/>
  <c r="Q17" i="24"/>
  <c r="Q19" i="24" s="1"/>
  <c r="Q21" i="24"/>
  <c r="Q23" i="24" s="1"/>
  <c r="D59" i="26"/>
  <c r="E21" i="26"/>
  <c r="E23" i="26" s="1"/>
  <c r="E24" i="26" s="1"/>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N19" i="22" s="1"/>
  <c r="U59" i="22"/>
  <c r="V17" i="22"/>
  <c r="V21" i="22"/>
  <c r="C18" i="22"/>
  <c r="H21" i="23"/>
  <c r="H23" i="23" s="1"/>
  <c r="H24" i="23" s="1"/>
  <c r="H17" i="23"/>
  <c r="H19" i="23" s="1"/>
  <c r="H20" i="23" s="1"/>
  <c r="P17" i="23"/>
  <c r="P19" i="23" s="1"/>
  <c r="P21" i="23"/>
  <c r="J59" i="24"/>
  <c r="K21" i="24"/>
  <c r="K17" i="24"/>
  <c r="K19" i="24" s="1"/>
  <c r="K20" i="24" s="1"/>
  <c r="R59" i="24"/>
  <c r="S21" i="24"/>
  <c r="S23" i="24" s="1"/>
  <c r="S17" i="24"/>
  <c r="G21" i="26"/>
  <c r="G23" i="26" s="1"/>
  <c r="G24" i="26" s="1"/>
  <c r="G17" i="26"/>
  <c r="O17" i="26"/>
  <c r="O21" i="26"/>
  <c r="E59" i="27"/>
  <c r="F17" i="27"/>
  <c r="F19" i="27" s="1"/>
  <c r="F20" i="27" s="1"/>
  <c r="M59" i="27"/>
  <c r="N17" i="27"/>
  <c r="N19" i="27" s="1"/>
  <c r="U59" i="27"/>
  <c r="V17" i="27"/>
  <c r="E59" i="28"/>
  <c r="F17" i="28"/>
  <c r="F19" i="28" s="1"/>
  <c r="F20" i="28" s="1"/>
  <c r="F21" i="28"/>
  <c r="F23" i="28" s="1"/>
  <c r="F24" i="28" s="1"/>
  <c r="M59" i="28"/>
  <c r="N17" i="28"/>
  <c r="N19" i="28" s="1"/>
  <c r="N21" i="28"/>
  <c r="U59" i="28"/>
  <c r="V17" i="28"/>
  <c r="V21" i="28"/>
  <c r="D59" i="29"/>
  <c r="E17" i="29"/>
  <c r="E21" i="29"/>
  <c r="E23" i="29" s="1"/>
  <c r="E24" i="29" s="1"/>
  <c r="L59" i="29"/>
  <c r="M17" i="29"/>
  <c r="M19" i="29" s="1"/>
  <c r="M20" i="29" s="1"/>
  <c r="M21" i="29"/>
  <c r="M23" i="29" s="1"/>
  <c r="M24" i="29" s="1"/>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7" i="22"/>
  <c r="G21" i="22"/>
  <c r="O17" i="22"/>
  <c r="O19" i="22" s="1"/>
  <c r="O21" i="22"/>
  <c r="O23" i="22" s="1"/>
  <c r="O24" i="22" s="1"/>
  <c r="H59" i="23"/>
  <c r="I21" i="23"/>
  <c r="I23" i="23" s="1"/>
  <c r="I24" i="23" s="1"/>
  <c r="I17" i="23"/>
  <c r="P59" i="23"/>
  <c r="Q17" i="23"/>
  <c r="Q21" i="23"/>
  <c r="Q23" i="23" s="1"/>
  <c r="Q24" i="23" s="1"/>
  <c r="C59" i="24"/>
  <c r="D17" i="24"/>
  <c r="D19" i="24" s="1"/>
  <c r="D20" i="24" s="1"/>
  <c r="D21" i="24"/>
  <c r="D23" i="24" s="1"/>
  <c r="D24" i="24" s="1"/>
  <c r="K59" i="24"/>
  <c r="L21" i="24"/>
  <c r="L23" i="24" s="1"/>
  <c r="L24" i="24" s="1"/>
  <c r="L17" i="24"/>
  <c r="L19" i="24" s="1"/>
  <c r="L20"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19" i="29" s="1"/>
  <c r="F20" i="29" s="1"/>
  <c r="F21" i="29"/>
  <c r="F23" i="29" s="1"/>
  <c r="F24" i="29" s="1"/>
  <c r="M59" i="29"/>
  <c r="N17" i="29"/>
  <c r="N21" i="29"/>
  <c r="N23" i="29" s="1"/>
  <c r="N24" i="29" s="1"/>
  <c r="U59" i="29"/>
  <c r="V17" i="29"/>
  <c r="V21" i="29"/>
  <c r="V23" i="29" s="1"/>
  <c r="V24" i="29" s="1"/>
  <c r="D59" i="30"/>
  <c r="E17" i="30"/>
  <c r="E19" i="30" s="1"/>
  <c r="E20" i="30" s="1"/>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17" i="22"/>
  <c r="H19" i="22" s="1"/>
  <c r="H20" i="22" s="1"/>
  <c r="I59" i="23"/>
  <c r="J21" i="23"/>
  <c r="J23" i="23" s="1"/>
  <c r="J24" i="23" s="1"/>
  <c r="J17" i="23"/>
  <c r="J19" i="23" s="1"/>
  <c r="J20" i="23" s="1"/>
  <c r="Q59" i="23"/>
  <c r="R21" i="23"/>
  <c r="R17" i="23"/>
  <c r="D59" i="24"/>
  <c r="E17" i="24"/>
  <c r="E19" i="24" s="1"/>
  <c r="E20" i="24" s="1"/>
  <c r="E21" i="24"/>
  <c r="E23" i="24" s="1"/>
  <c r="E24" i="24" s="1"/>
  <c r="L59" i="24"/>
  <c r="M17" i="24"/>
  <c r="M19" i="24" s="1"/>
  <c r="M20" i="24" s="1"/>
  <c r="M21" i="24"/>
  <c r="M23" i="24" s="1"/>
  <c r="M24" i="24" s="1"/>
  <c r="T59" i="24"/>
  <c r="U21" i="24"/>
  <c r="U17" i="24"/>
  <c r="H59" i="26"/>
  <c r="H64" i="26" s="1"/>
  <c r="I17" i="26"/>
  <c r="I21" i="26"/>
  <c r="I23" i="26" s="1"/>
  <c r="I24" i="26" s="1"/>
  <c r="P59" i="26"/>
  <c r="Q17" i="26"/>
  <c r="Q19" i="26" s="1"/>
  <c r="Q21" i="26"/>
  <c r="E63" i="26"/>
  <c r="H17" i="27"/>
  <c r="H19" i="27" s="1"/>
  <c r="H20" i="27" s="1"/>
  <c r="P17" i="27"/>
  <c r="P19" i="27" s="1"/>
  <c r="H21" i="28"/>
  <c r="H23" i="28" s="1"/>
  <c r="H24" i="28" s="1"/>
  <c r="H17" i="28"/>
  <c r="H19" i="28" s="1"/>
  <c r="H20" i="28" s="1"/>
  <c r="P21" i="28"/>
  <c r="P17" i="28"/>
  <c r="P19" i="28" s="1"/>
  <c r="G17" i="29"/>
  <c r="G19" i="29" s="1"/>
  <c r="G20" i="29" s="1"/>
  <c r="G21" i="29"/>
  <c r="G23" i="29" s="1"/>
  <c r="G24" i="29" s="1"/>
  <c r="O17" i="29"/>
  <c r="O21" i="29"/>
  <c r="E59" i="30"/>
  <c r="F21" i="30"/>
  <c r="F17" i="30"/>
  <c r="F19" i="30" s="1"/>
  <c r="F20" i="30" s="1"/>
  <c r="M59" i="30"/>
  <c r="N21" i="30"/>
  <c r="N23" i="30" s="1"/>
  <c r="N24" i="30" s="1"/>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19" i="21" s="1"/>
  <c r="M20" i="21" s="1"/>
  <c r="M21" i="21"/>
  <c r="E17" i="21"/>
  <c r="E19" i="21" s="1"/>
  <c r="E20" i="21" s="1"/>
  <c r="E21" i="21"/>
  <c r="E23" i="21" s="1"/>
  <c r="E24" i="21" s="1"/>
  <c r="H59" i="22"/>
  <c r="I17" i="22"/>
  <c r="I19" i="22" s="1"/>
  <c r="I20" i="22" s="1"/>
  <c r="I21" i="22"/>
  <c r="I23" i="22" s="1"/>
  <c r="I24" i="22" s="1"/>
  <c r="P59" i="22"/>
  <c r="Q17" i="22"/>
  <c r="Q19" i="22" s="1"/>
  <c r="Q21" i="22"/>
  <c r="J59" i="23"/>
  <c r="K17" i="23"/>
  <c r="K19" i="23" s="1"/>
  <c r="K20" i="23" s="1"/>
  <c r="K21" i="23"/>
  <c r="K23" i="23" s="1"/>
  <c r="K24" i="23" s="1"/>
  <c r="R59" i="23"/>
  <c r="S17" i="23"/>
  <c r="S19" i="23" s="1"/>
  <c r="S21" i="23"/>
  <c r="E59" i="24"/>
  <c r="F21" i="24"/>
  <c r="F23" i="24" s="1"/>
  <c r="F24" i="24" s="1"/>
  <c r="F17" i="24"/>
  <c r="F19" i="24" s="1"/>
  <c r="F20" i="24" s="1"/>
  <c r="M59" i="24"/>
  <c r="N21" i="24"/>
  <c r="N23"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H19" i="29" s="1"/>
  <c r="H20" i="29" s="1"/>
  <c r="P21" i="29"/>
  <c r="P23" i="29" s="1"/>
  <c r="P24"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G23" i="22"/>
  <c r="G24" i="22" s="1"/>
  <c r="K58" i="21"/>
  <c r="K61" i="21" s="1"/>
  <c r="K64" i="21" s="1"/>
  <c r="R19" i="24"/>
  <c r="I21" i="27"/>
  <c r="I23" i="27" s="1"/>
  <c r="I24" i="27" s="1"/>
  <c r="Q21" i="27"/>
  <c r="R58" i="21"/>
  <c r="R61" i="21" s="1"/>
  <c r="R64" i="21" s="1"/>
  <c r="O57" i="21"/>
  <c r="A43" i="21"/>
  <c r="J58" i="21"/>
  <c r="J61" i="21" s="1"/>
  <c r="D58" i="29"/>
  <c r="D61" i="29" s="1"/>
  <c r="P23" i="26"/>
  <c r="P24" i="26" s="1"/>
  <c r="G21" i="27"/>
  <c r="G23" i="27" s="1"/>
  <c r="G24" i="27" s="1"/>
  <c r="O21" i="27"/>
  <c r="O23" i="27" s="1"/>
  <c r="O24" i="27" s="1"/>
  <c r="D58" i="30"/>
  <c r="D61" i="30" s="1"/>
  <c r="D64"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I58" i="23"/>
  <c r="I61" i="23" s="1"/>
  <c r="Q58" i="23"/>
  <c r="Q61" i="23" s="1"/>
  <c r="L58" i="29"/>
  <c r="L61" i="29" s="1"/>
  <c r="T58" i="29"/>
  <c r="T61" i="29" s="1"/>
  <c r="T64" i="29" s="1"/>
  <c r="Q23" i="30"/>
  <c r="Q24" i="30" s="1"/>
  <c r="U23" i="30"/>
  <c r="U24" i="30" s="1"/>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L58" i="27"/>
  <c r="L61" i="27" s="1"/>
  <c r="T58" i="27"/>
  <c r="T61" i="27" s="1"/>
  <c r="T64" i="27" s="1"/>
  <c r="J58" i="30"/>
  <c r="J61" i="30" s="1"/>
  <c r="J64" i="30" s="1"/>
  <c r="R58" i="30"/>
  <c r="R61" i="30" s="1"/>
  <c r="R64" i="30" s="1"/>
  <c r="P57" i="30"/>
  <c r="J57" i="21"/>
  <c r="H59" i="21"/>
  <c r="Q23" i="22"/>
  <c r="Q24" i="22" s="1"/>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T23" i="30"/>
  <c r="T24" i="30" s="1"/>
  <c r="G58" i="30"/>
  <c r="G61" i="30" s="1"/>
  <c r="O58" i="30"/>
  <c r="O61" i="30" s="1"/>
  <c r="Q57" i="30"/>
  <c r="A36" i="22"/>
  <c r="G58" i="27"/>
  <c r="G61" i="27" s="1"/>
  <c r="T58" i="28"/>
  <c r="T61" i="28" s="1"/>
  <c r="T64" i="28" s="1"/>
  <c r="C58" i="29"/>
  <c r="C61" i="29" s="1"/>
  <c r="H58" i="30"/>
  <c r="H61" i="30" s="1"/>
  <c r="N59" i="30"/>
  <c r="Q57" i="21"/>
  <c r="B58" i="21"/>
  <c r="B61" i="21" s="1"/>
  <c r="I58" i="22"/>
  <c r="I61" i="22" s="1"/>
  <c r="I64"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P58" i="26"/>
  <c r="P61" i="26" s="1"/>
  <c r="F59" i="26"/>
  <c r="O58" i="27"/>
  <c r="O61" i="27" s="1"/>
  <c r="A38" i="21"/>
  <c r="F57" i="22"/>
  <c r="N59" i="22"/>
  <c r="E58" i="23"/>
  <c r="E61" i="23" s="1"/>
  <c r="M58" i="23"/>
  <c r="M61" i="23" s="1"/>
  <c r="U58" i="23"/>
  <c r="U61" i="23" s="1"/>
  <c r="U64" i="23" s="1"/>
  <c r="V19" i="23"/>
  <c r="O23" i="24"/>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P24" i="22" s="1"/>
  <c r="C58" i="22"/>
  <c r="C61" i="22" s="1"/>
  <c r="K58" i="22"/>
  <c r="K61" i="22" s="1"/>
  <c r="S58" i="22"/>
  <c r="S61" i="22" s="1"/>
  <c r="S64" i="22" s="1"/>
  <c r="F57" i="23"/>
  <c r="T23" i="24"/>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L64" i="26" s="1"/>
  <c r="T58" i="26"/>
  <c r="T61" i="26" s="1"/>
  <c r="F57" i="26"/>
  <c r="C58" i="27"/>
  <c r="C61" i="27" s="1"/>
  <c r="K58" i="27"/>
  <c r="K61" i="27" s="1"/>
  <c r="S58" i="27"/>
  <c r="S61" i="27" s="1"/>
  <c r="S64" i="27" s="1"/>
  <c r="P57" i="27"/>
  <c r="N59" i="27"/>
  <c r="H58" i="28"/>
  <c r="H61" i="28" s="1"/>
  <c r="P58" i="28"/>
  <c r="P61" i="28" s="1"/>
  <c r="N57" i="28"/>
  <c r="L23" i="29"/>
  <c r="L24" i="29" s="1"/>
  <c r="T23" i="29"/>
  <c r="T24" i="29" s="1"/>
  <c r="G58" i="29"/>
  <c r="G61" i="29" s="1"/>
  <c r="O58" i="29"/>
  <c r="O61" i="29" s="1"/>
  <c r="P59" i="29"/>
  <c r="I57" i="30"/>
  <c r="G57" i="21"/>
  <c r="E58" i="22"/>
  <c r="E61" i="22" s="1"/>
  <c r="E64" i="22" s="1"/>
  <c r="M58" i="22"/>
  <c r="M61" i="22" s="1"/>
  <c r="M64" i="22" s="1"/>
  <c r="M65" i="22" s="1"/>
  <c r="U58" i="22"/>
  <c r="U61" i="22" s="1"/>
  <c r="A45" i="22"/>
  <c r="O57" i="22"/>
  <c r="H58" i="23"/>
  <c r="H61" i="23" s="1"/>
  <c r="H64" i="23" s="1"/>
  <c r="P58" i="23"/>
  <c r="P61" i="23" s="1"/>
  <c r="P64" i="23" s="1"/>
  <c r="I58" i="24"/>
  <c r="I61" i="24" s="1"/>
  <c r="Q58" i="24"/>
  <c r="Q61" i="24" s="1"/>
  <c r="Q64" i="24" s="1"/>
  <c r="E58" i="26"/>
  <c r="E61" i="26" s="1"/>
  <c r="M58" i="26"/>
  <c r="M61" i="26" s="1"/>
  <c r="U58" i="26"/>
  <c r="U61" i="26" s="1"/>
  <c r="N57" i="26"/>
  <c r="P59" i="27"/>
  <c r="I58" i="28"/>
  <c r="I61" i="28" s="1"/>
  <c r="I64" i="28" s="1"/>
  <c r="I65" i="28" s="1"/>
  <c r="Q58" i="28"/>
  <c r="Q61" i="28" s="1"/>
  <c r="Q64" i="28" s="1"/>
  <c r="P23" i="28"/>
  <c r="P24" i="28" s="1"/>
  <c r="H58" i="29"/>
  <c r="H61" i="29" s="1"/>
  <c r="P58" i="29"/>
  <c r="P61" i="29" s="1"/>
  <c r="E58" i="30"/>
  <c r="E61" i="30" s="1"/>
  <c r="M58" i="30"/>
  <c r="M61" i="30" s="1"/>
  <c r="U58" i="30"/>
  <c r="U61" i="30" s="1"/>
  <c r="U64" i="30" s="1"/>
  <c r="U66" i="30" s="1"/>
  <c r="N57" i="30"/>
  <c r="F59" i="30"/>
  <c r="B58" i="30"/>
  <c r="B61" i="30" s="1"/>
  <c r="B64"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R19" i="30"/>
  <c r="F63" i="30"/>
  <c r="N63" i="30"/>
  <c r="S19" i="30"/>
  <c r="S23" i="30"/>
  <c r="S24" i="30" s="1"/>
  <c r="A31" i="30"/>
  <c r="A33" i="30"/>
  <c r="A39" i="30"/>
  <c r="A41" i="30"/>
  <c r="A47" i="30"/>
  <c r="A49" i="30"/>
  <c r="G57" i="30"/>
  <c r="O57" i="30"/>
  <c r="G59" i="30"/>
  <c r="O59" i="30"/>
  <c r="G63" i="30"/>
  <c r="O63" i="30"/>
  <c r="P63" i="30"/>
  <c r="I63" i="30"/>
  <c r="Q63" i="30"/>
  <c r="T19" i="30"/>
  <c r="V19" i="30"/>
  <c r="F23" i="30"/>
  <c r="F24" i="30" s="1"/>
  <c r="B63" i="30"/>
  <c r="J63" i="30"/>
  <c r="R63" i="30"/>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E19" i="29"/>
  <c r="E20" i="29" s="1"/>
  <c r="U19" i="29"/>
  <c r="U23" i="29"/>
  <c r="U24" i="29" s="1"/>
  <c r="I57" i="29"/>
  <c r="Q57" i="29"/>
  <c r="I63" i="29"/>
  <c r="Q63" i="29"/>
  <c r="N19" i="29"/>
  <c r="V19" i="29"/>
  <c r="B63" i="29"/>
  <c r="J63" i="29"/>
  <c r="R63" i="29"/>
  <c r="L19" i="29"/>
  <c r="L20" i="29" s="1"/>
  <c r="O19" i="29"/>
  <c r="A32" i="29"/>
  <c r="A34" i="29"/>
  <c r="A40" i="29"/>
  <c r="A42" i="29"/>
  <c r="A48" i="29"/>
  <c r="A50" i="29"/>
  <c r="C63" i="29"/>
  <c r="K63" i="29"/>
  <c r="S63" i="29"/>
  <c r="P19" i="29"/>
  <c r="D63" i="29"/>
  <c r="L63" i="29"/>
  <c r="T63" i="29"/>
  <c r="E63" i="29"/>
  <c r="M63" i="29"/>
  <c r="S19" i="28"/>
  <c r="A31" i="28"/>
  <c r="A33" i="28"/>
  <c r="A37" i="28"/>
  <c r="A39" i="28"/>
  <c r="A41" i="28"/>
  <c r="A45" i="28"/>
  <c r="A47" i="28"/>
  <c r="A49" i="28"/>
  <c r="G57" i="28"/>
  <c r="O57" i="28"/>
  <c r="G59" i="28"/>
  <c r="O59" i="28"/>
  <c r="G63" i="28"/>
  <c r="O63" i="28"/>
  <c r="L19" i="28"/>
  <c r="L20" i="28" s="1"/>
  <c r="L23" i="28"/>
  <c r="L24" i="28" s="1"/>
  <c r="T23" i="28"/>
  <c r="T24" i="28" s="1"/>
  <c r="H59" i="28"/>
  <c r="P59" i="28"/>
  <c r="H63" i="28"/>
  <c r="P63" i="28"/>
  <c r="M19" i="28"/>
  <c r="M20" i="28" s="1"/>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Q19" i="27"/>
  <c r="E63" i="27"/>
  <c r="M63" i="27"/>
  <c r="U64" i="26"/>
  <c r="U66" i="26" s="1"/>
  <c r="O23" i="26"/>
  <c r="O24" i="26" s="1"/>
  <c r="C19" i="26"/>
  <c r="C20" i="26" s="1"/>
  <c r="K23" i="26"/>
  <c r="K24" i="26" s="1"/>
  <c r="A31" i="26"/>
  <c r="A33" i="26"/>
  <c r="A37" i="26"/>
  <c r="A39" i="26"/>
  <c r="A41" i="26"/>
  <c r="A45" i="26"/>
  <c r="A47" i="26"/>
  <c r="A49" i="26"/>
  <c r="G57" i="26"/>
  <c r="O57" i="26"/>
  <c r="G59" i="26"/>
  <c r="O59" i="26"/>
  <c r="G63" i="26"/>
  <c r="O63" i="26"/>
  <c r="T19" i="26"/>
  <c r="T23" i="26"/>
  <c r="T24" i="26" s="1"/>
  <c r="H63" i="26"/>
  <c r="P63" i="26"/>
  <c r="M19" i="26"/>
  <c r="M20" i="26" s="1"/>
  <c r="M23" i="26"/>
  <c r="M24" i="26" s="1"/>
  <c r="I57" i="26"/>
  <c r="Q57" i="26"/>
  <c r="I59" i="26"/>
  <c r="Q59" i="26"/>
  <c r="Q64" i="26" s="1"/>
  <c r="I63" i="26"/>
  <c r="Q63" i="26"/>
  <c r="V23" i="26"/>
  <c r="V24" i="26" s="1"/>
  <c r="B63" i="26"/>
  <c r="J63" i="26"/>
  <c r="R63" i="26"/>
  <c r="G19" i="26"/>
  <c r="G20" i="26" s="1"/>
  <c r="O19" i="26"/>
  <c r="A32" i="26"/>
  <c r="A34" i="26"/>
  <c r="A40" i="26"/>
  <c r="A42" i="26"/>
  <c r="A48" i="26"/>
  <c r="A50" i="26"/>
  <c r="C63" i="26"/>
  <c r="K63" i="26"/>
  <c r="S63" i="26"/>
  <c r="P19" i="26"/>
  <c r="D63" i="26"/>
  <c r="L63" i="26"/>
  <c r="I19" i="26"/>
  <c r="I20" i="26" s="1"/>
  <c r="H23" i="24"/>
  <c r="H24" i="24" s="1"/>
  <c r="P23" i="24"/>
  <c r="S19" i="24"/>
  <c r="K23" i="24"/>
  <c r="K24" i="24" s="1"/>
  <c r="A31" i="24"/>
  <c r="A33" i="24"/>
  <c r="A37" i="24"/>
  <c r="A39" i="24"/>
  <c r="A41" i="24"/>
  <c r="A45" i="24"/>
  <c r="A47" i="24"/>
  <c r="A49" i="24"/>
  <c r="G57" i="24"/>
  <c r="O57" i="24"/>
  <c r="G59" i="24"/>
  <c r="O59" i="24"/>
  <c r="G63" i="24"/>
  <c r="O63" i="24"/>
  <c r="H59" i="24"/>
  <c r="P59" i="24"/>
  <c r="H63" i="24"/>
  <c r="P63" i="24"/>
  <c r="U19"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S23" i="23"/>
  <c r="S24" i="23" s="1"/>
  <c r="A31" i="23"/>
  <c r="A33" i="23"/>
  <c r="A37" i="23"/>
  <c r="A39" i="23"/>
  <c r="A41" i="23"/>
  <c r="A45" i="23"/>
  <c r="A47" i="23"/>
  <c r="A49" i="23"/>
  <c r="G57" i="23"/>
  <c r="O57" i="23"/>
  <c r="G59" i="23"/>
  <c r="O59" i="23"/>
  <c r="L19" i="23"/>
  <c r="L20" i="23" s="1"/>
  <c r="T19" i="23"/>
  <c r="L23" i="23"/>
  <c r="L24" i="23" s="1"/>
  <c r="T23" i="23"/>
  <c r="T24" i="23" s="1"/>
  <c r="I57" i="23"/>
  <c r="Q57" i="23"/>
  <c r="N23" i="23"/>
  <c r="N24" i="23" s="1"/>
  <c r="O19" i="23"/>
  <c r="A32" i="23"/>
  <c r="A34" i="23"/>
  <c r="A40" i="23"/>
  <c r="A42" i="23"/>
  <c r="A48" i="23"/>
  <c r="A50" i="23"/>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T19" i="22"/>
  <c r="T23" i="22"/>
  <c r="T24" i="22" s="1"/>
  <c r="A31" i="22"/>
  <c r="A33" i="22"/>
  <c r="A41" i="22"/>
  <c r="A47" i="22"/>
  <c r="M19" i="22"/>
  <c r="M20" i="22" s="1"/>
  <c r="U23" i="22"/>
  <c r="U24" i="22" s="1"/>
  <c r="I57" i="22"/>
  <c r="Q57" i="22"/>
  <c r="A39" i="22"/>
  <c r="A49" i="22"/>
  <c r="V19" i="22"/>
  <c r="V23" i="22"/>
  <c r="V24" i="22" s="1"/>
  <c r="G19" i="22"/>
  <c r="G20" i="22" s="1"/>
  <c r="A32" i="22"/>
  <c r="A34" i="22"/>
  <c r="A40" i="22"/>
  <c r="A42" i="22"/>
  <c r="A48" i="22"/>
  <c r="A50" i="22"/>
  <c r="P19" i="22"/>
  <c r="P64" i="21"/>
  <c r="A33" i="21"/>
  <c r="A37" i="21"/>
  <c r="A41" i="21"/>
  <c r="A45" i="21"/>
  <c r="A49" i="21"/>
  <c r="E58" i="21"/>
  <c r="E61" i="21" s="1"/>
  <c r="M58" i="21"/>
  <c r="M61" i="21" s="1"/>
  <c r="U58" i="21"/>
  <c r="U61" i="21" s="1"/>
  <c r="U64" i="21" s="1"/>
  <c r="U66" i="21" s="1"/>
  <c r="S19" i="21"/>
  <c r="M23" i="21"/>
  <c r="M24" i="21" s="1"/>
  <c r="C57" i="21"/>
  <c r="K57" i="21"/>
  <c r="S57" i="21"/>
  <c r="G19" i="21"/>
  <c r="G20" i="21" s="1"/>
  <c r="Q19" i="21"/>
  <c r="R23" i="21"/>
  <c r="R24" i="21" s="1"/>
  <c r="I19" i="21"/>
  <c r="I20" i="21" s="1"/>
  <c r="L19" i="21"/>
  <c r="L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2" l="1"/>
  <c r="E65" i="22"/>
  <c r="H65" i="23"/>
  <c r="C19" i="29"/>
  <c r="C20" i="29" s="1"/>
  <c r="D65" i="24"/>
  <c r="L65" i="26"/>
  <c r="H65" i="26"/>
  <c r="L65" i="30"/>
  <c r="J65" i="30"/>
  <c r="H65" i="30"/>
  <c r="D65" i="30"/>
  <c r="B65" i="30"/>
  <c r="L65" i="28"/>
  <c r="J65" i="28"/>
  <c r="D65" i="28"/>
  <c r="J65" i="27"/>
  <c r="E65" i="27"/>
  <c r="L65" i="21"/>
  <c r="K65" i="21"/>
  <c r="C23" i="21"/>
  <c r="C24" i="21" s="1"/>
  <c r="G64" i="30"/>
  <c r="G65" i="30" s="1"/>
  <c r="O64" i="21"/>
  <c r="O65" i="21" s="1"/>
  <c r="I64" i="27"/>
  <c r="I65" i="27" s="1"/>
  <c r="L64" i="24"/>
  <c r="L65" i="24" s="1"/>
  <c r="K64" i="22"/>
  <c r="K65" i="22" s="1"/>
  <c r="K64" i="28"/>
  <c r="K65" i="28" s="1"/>
  <c r="I64" i="26"/>
  <c r="I65" i="26" s="1"/>
  <c r="I64" i="23"/>
  <c r="I65" i="23" s="1"/>
  <c r="K64" i="27"/>
  <c r="K65" i="27" s="1"/>
  <c r="K64" i="30"/>
  <c r="K65" i="30" s="1"/>
  <c r="I64" i="30"/>
  <c r="I65" i="30" s="1"/>
  <c r="L64" i="23"/>
  <c r="L65" i="23" s="1"/>
  <c r="H64" i="22"/>
  <c r="H65" i="22" s="1"/>
  <c r="F64" i="26"/>
  <c r="M64" i="26"/>
  <c r="E64" i="30"/>
  <c r="E65" i="30" s="1"/>
  <c r="E64" i="23"/>
  <c r="E65" i="23" s="1"/>
  <c r="C64" i="29"/>
  <c r="C65" i="29" s="1"/>
  <c r="C64" i="21"/>
  <c r="C65" i="21" s="1"/>
  <c r="C64" i="22"/>
  <c r="C65" i="22" s="1"/>
  <c r="C64" i="27"/>
  <c r="C65" i="27" s="1"/>
  <c r="C64" i="26"/>
  <c r="C65" i="26" s="1"/>
  <c r="D64" i="27"/>
  <c r="D65" i="27" s="1"/>
  <c r="M66" i="26"/>
  <c r="M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L65" i="29" s="1"/>
  <c r="G64" i="24"/>
  <c r="H64" i="24"/>
  <c r="D64" i="23"/>
  <c r="D65" i="23" s="1"/>
  <c r="K64" i="24"/>
  <c r="K65" i="24" s="1"/>
  <c r="P64" i="24"/>
  <c r="U64" i="29"/>
  <c r="U66" i="29" s="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T66" i="24"/>
  <c r="U66" i="23"/>
  <c r="P64" i="30"/>
  <c r="P66" i="30" s="1"/>
  <c r="C66" i="23"/>
  <c r="P66" i="23"/>
  <c r="E66" i="22"/>
  <c r="T66" i="23"/>
  <c r="Q66" i="21"/>
  <c r="P66" i="21"/>
  <c r="G64" i="23"/>
  <c r="Q66" i="24"/>
  <c r="R66" i="27"/>
  <c r="H66" i="23"/>
  <c r="J66" i="27"/>
  <c r="G64" i="27"/>
  <c r="J66" i="30"/>
  <c r="F64" i="27"/>
  <c r="T66" i="27"/>
  <c r="Q66" i="22"/>
  <c r="J66" i="26"/>
  <c r="T66" i="21"/>
  <c r="S66" i="23"/>
  <c r="H66" i="30"/>
  <c r="S66" i="24"/>
  <c r="L66" i="21"/>
  <c r="S66" i="26"/>
  <c r="L66" i="28"/>
  <c r="L66" i="26"/>
  <c r="T66" i="30"/>
  <c r="C66" i="29"/>
  <c r="H66" i="22"/>
  <c r="R66" i="28"/>
  <c r="N64" i="26"/>
  <c r="N66" i="26" s="1"/>
  <c r="O64" i="29"/>
  <c r="P64" i="29"/>
  <c r="P66" i="29" s="1"/>
  <c r="S64" i="1"/>
  <c r="R66" i="26"/>
  <c r="N64" i="29"/>
  <c r="N66" i="29" s="1"/>
  <c r="R66" i="30"/>
  <c r="O66" i="22"/>
  <c r="R64" i="1"/>
  <c r="J66" i="23"/>
  <c r="Q64" i="1"/>
  <c r="U64" i="1"/>
  <c r="P64" i="1"/>
  <c r="E66" i="27"/>
  <c r="J66" i="24"/>
  <c r="Q66" i="29"/>
  <c r="F64" i="29"/>
  <c r="O64" i="23"/>
  <c r="O64" i="30"/>
  <c r="N64" i="24"/>
  <c r="N66" i="24" s="1"/>
  <c r="B66" i="30"/>
  <c r="B66" i="24"/>
  <c r="C66" i="30"/>
  <c r="R66" i="29"/>
  <c r="I66" i="29"/>
  <c r="S66" i="29"/>
  <c r="T66" i="28"/>
  <c r="D66" i="28"/>
  <c r="Q66" i="28"/>
  <c r="I66" i="28"/>
  <c r="S66" i="28"/>
  <c r="Q66" i="27"/>
  <c r="I66" i="27"/>
  <c r="P66" i="27"/>
  <c r="Q66" i="26"/>
  <c r="P66" i="26"/>
  <c r="I66" i="26"/>
  <c r="H66" i="26"/>
  <c r="P66" i="24"/>
  <c r="D66" i="24"/>
  <c r="N66" i="23"/>
  <c r="I66" i="22"/>
  <c r="M66" i="22"/>
  <c r="S66" i="22"/>
  <c r="K66" i="22"/>
  <c r="T66" i="22"/>
  <c r="H66" i="21"/>
  <c r="M66" i="21"/>
  <c r="K66" i="21"/>
  <c r="D66" i="21"/>
  <c r="R66" i="21"/>
  <c r="N64" i="1"/>
  <c r="M64" i="1"/>
  <c r="M65" i="1" s="1"/>
  <c r="T64" i="1"/>
  <c r="L64" i="1"/>
  <c r="J64" i="1"/>
  <c r="K64" i="1"/>
  <c r="O64" i="1"/>
  <c r="O65" i="1" s="1"/>
  <c r="C64" i="1"/>
  <c r="I64" i="1"/>
  <c r="H64" i="1"/>
  <c r="G64" i="1"/>
  <c r="G65" i="1" s="1"/>
  <c r="F64" i="1"/>
  <c r="F65" i="1" s="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I65" i="1" l="1"/>
  <c r="K65" i="1"/>
  <c r="J65" i="1"/>
  <c r="L65" i="1"/>
  <c r="H65" i="1"/>
  <c r="C65" i="1"/>
  <c r="B65" i="1"/>
  <c r="K66" i="27"/>
  <c r="K66" i="28"/>
  <c r="G66" i="30"/>
  <c r="C66" i="22"/>
  <c r="D66" i="29"/>
  <c r="C66" i="21"/>
  <c r="I66" i="24"/>
  <c r="L66" i="24"/>
  <c r="E66" i="30"/>
  <c r="C66" i="26"/>
  <c r="C66" i="27"/>
  <c r="O66" i="28"/>
  <c r="O65" i="28"/>
  <c r="O66" i="27"/>
  <c r="O65" i="27"/>
  <c r="O66" i="26"/>
  <c r="O65" i="26"/>
  <c r="O66" i="24"/>
  <c r="O65" i="24"/>
  <c r="O66" i="30"/>
  <c r="O65" i="30"/>
  <c r="O66" i="23"/>
  <c r="O65" i="23"/>
  <c r="O66" i="21"/>
  <c r="O66" i="29"/>
  <c r="O65" i="29"/>
  <c r="K66" i="29"/>
  <c r="K65" i="29"/>
  <c r="L66" i="22"/>
  <c r="J66" i="21"/>
  <c r="J65" i="21"/>
  <c r="L66" i="27"/>
  <c r="L65" i="27"/>
  <c r="J66" i="22"/>
  <c r="J65" i="22"/>
  <c r="L66" i="23"/>
  <c r="L66" i="29"/>
  <c r="K66" i="26"/>
  <c r="K65" i="26"/>
  <c r="K66" i="23"/>
  <c r="K65" i="23"/>
  <c r="I66" i="21"/>
  <c r="I65" i="21"/>
  <c r="I66" i="30"/>
  <c r="I66" i="23"/>
  <c r="K66" i="24"/>
  <c r="K66" i="30"/>
  <c r="J66" i="29"/>
  <c r="J65" i="29"/>
  <c r="H66" i="24"/>
  <c r="H65" i="24"/>
  <c r="H66" i="27"/>
  <c r="H65" i="27"/>
  <c r="H66" i="29"/>
  <c r="H65" i="29"/>
  <c r="H66" i="28"/>
  <c r="H65" i="28"/>
  <c r="G66" i="23"/>
  <c r="G65" i="23"/>
  <c r="G66" i="29"/>
  <c r="G65" i="29"/>
  <c r="G66" i="26"/>
  <c r="G65" i="26"/>
  <c r="G66" i="22"/>
  <c r="G65" i="22"/>
  <c r="G66" i="27"/>
  <c r="G65" i="27"/>
  <c r="G66" i="28"/>
  <c r="G65" i="28"/>
  <c r="G66" i="24"/>
  <c r="G65" i="24"/>
  <c r="G66" i="21"/>
  <c r="G65" i="21"/>
  <c r="F66" i="23"/>
  <c r="F65" i="23"/>
  <c r="F66" i="29"/>
  <c r="F65" i="29"/>
  <c r="F66" i="22"/>
  <c r="F65" i="22"/>
  <c r="F66" i="28"/>
  <c r="F65" i="28"/>
  <c r="F66" i="21"/>
  <c r="F65" i="21"/>
  <c r="F66" i="27"/>
  <c r="F65" i="27"/>
  <c r="F66" i="30"/>
  <c r="F65" i="30"/>
  <c r="F66" i="24"/>
  <c r="F65" i="24"/>
  <c r="F66" i="26"/>
  <c r="F65" i="26"/>
  <c r="M66" i="29"/>
  <c r="M66" i="24"/>
  <c r="E66" i="28"/>
  <c r="E65" i="28"/>
  <c r="E66" i="29"/>
  <c r="E65" i="29"/>
  <c r="E66" i="24"/>
  <c r="E65" i="24"/>
  <c r="E66" i="21"/>
  <c r="E65" i="21"/>
  <c r="E66" i="23"/>
  <c r="E66" i="26"/>
  <c r="E65" i="26"/>
  <c r="D66" i="26"/>
  <c r="D66" i="23"/>
  <c r="D66" i="22"/>
  <c r="C66" i="24"/>
  <c r="C65" i="24"/>
  <c r="D66" i="27"/>
  <c r="C66" i="28"/>
  <c r="C65" i="28"/>
  <c r="M66" i="27"/>
  <c r="M65" i="27"/>
  <c r="M66" i="23"/>
  <c r="M65" i="23"/>
  <c r="M66" i="30"/>
  <c r="M65" i="30"/>
  <c r="M66" i="28"/>
  <c r="B66" i="21"/>
  <c r="B65" i="21"/>
  <c r="B66" i="26"/>
  <c r="B65" i="26"/>
  <c r="B66" i="27"/>
  <c r="B65" i="27"/>
  <c r="B66" i="23"/>
  <c r="B65" i="23"/>
  <c r="B66" i="28"/>
  <c r="B65" i="28"/>
  <c r="B66" i="29"/>
  <c r="B65" i="29"/>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<sst xmlns="http://schemas.openxmlformats.org/spreadsheetml/2006/main" count="2285" uniqueCount="179">
  <si>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</si>
  <si>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</si>
  <si>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</si>
  <si>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</si>
  <si>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</si>
  <si>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</si>
  <si>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</si>
  <si>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</si>
  <si>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</si>
  <si>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</si>
  <si>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</si>
  <si>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</si>
  <si>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</si>
  <si>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</si>
  <si>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</si>
  <si>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</si>
  <si>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</si>
  <si>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</si>
  <si>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</si>
  <si>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</si>
  <si>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</si>
  <si>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</si>
  <si>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</si>
  <si>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</si>
  <si>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</si>
  <si>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</si>
  <si>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</si>
  <si>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</si>
  <si>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</si>
  <si>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</si>
  <si>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</si>
  <si>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</si>
  <si>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</si>
  <si>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</si>
  <si>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</si>
  <si>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</si>
  <si>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</si>
  <si>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</si>
  <si>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</si>
  <si>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</si>
  <si>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</si>
  <si>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</si>
  <si>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</si>
  <si>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</si>
  <si>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</si>
  <si>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</si>
  <si>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</si>
  <si>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</si>
  <si>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</si>
  <si>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</si>
  <si>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</si>
  <si>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</si>
  <si>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</si>
  <si>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</si>
  <si>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</si>
  <si>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</si>
  <si>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</si>
  <si>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</si>
  <si>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</si>
  <si>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</si>
  <si>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</si>
  <si>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</si>
  <si>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</si>
  <si>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</si>
  <si>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</si>
  <si>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</si>
  <si>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</si>
  <si>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</si>
  <si>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</si>
  <si>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</si>
  <si>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</si>
  <si>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</si>
  <si>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</si>
  <si>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</si>
  <si>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</si>
  <si>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</si>
  <si>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</si>
  <si>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</si>
  <si>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</si>
  <si>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</si>
  <si>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</si>
  <si>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</si>
  <si>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</si>
  <si>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</si>
  <si>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</si>
  <si>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</si>
  <si>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</si>
  <si>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</si>
  <si>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</si>
  <si>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</si>
  <si>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</si>
  <si>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</si>
  <si>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</si>
  <si>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</si>
  <si>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</si>
  <si>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</si>
  <si>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</si>
  <si>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</si>
  <si>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</si>
  <si>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</si>
  <si>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</si>
  <si>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</si>
  <si>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</si>
  <si>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</si>
  <si>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</si>
  <si>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</si>
  <si>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</si>
  <si>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</si>
  <si>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</si>
  <si>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</si>
  <si>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</si>
  <si>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</si>
  <si>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</si>
  <si>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</si>
  <si>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</si>
  <si>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</si>
  <si>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</si>
  <si>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</si>
  <si>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</si>
  <si>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</si>
  <si>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</si>
  <si>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</si>
  <si>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</si>
  <si>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</si>
  <si>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</si>
  <si>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</si>
  <si>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</si>
  <si>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</si>
  <si>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</si>
  <si>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</si>
  <si>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</si>
  <si>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</si>
  <si>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</si>
  <si>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</si>
  <si>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</si>
  <si>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</si>
  <si>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</si>
  <si>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</si>
  <si>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</si>
  <si>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</si>
  <si>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</si>
  <si>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</si>
  <si>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</si>
  <si>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</si>
  <si>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</si>
  <si>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</si>
  <si>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</si>
  <si>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</si>
  <si>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</si>
  <si>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</si>
  <si>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</si>
  <si>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</si>
  <si>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</si>
  <si>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</si>
  <si>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</si>
  <si>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</si>
  <si>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</si>
  <si>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</si>
  <si>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</si>
  <si>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</si>
  <si>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PAN-026719</t>
  </si>
  <si>
    <t>EPR/AB3891CX</t>
  </si>
  <si>
    <t>Stepside Agri</t>
  </si>
  <si>
    <t>Castell Malgwyn Farm, Llechryd, Cardigan, Ceredigion, SA43 2QB</t>
  </si>
  <si>
    <t>Ethan Banfield</t>
  </si>
  <si>
    <t>Moderate</t>
  </si>
  <si>
    <t>02 05 02</t>
  </si>
  <si>
    <t>Dairy Partners</t>
  </si>
  <si>
    <t>Volac</t>
  </si>
  <si>
    <t>First milk</t>
  </si>
  <si>
    <t>02 07 02</t>
  </si>
  <si>
    <t xml:space="preserve">Penderyn </t>
  </si>
  <si>
    <t>Llechryd</t>
  </si>
  <si>
    <t>19 09 02</t>
  </si>
  <si>
    <t xml:space="preserve">Bolton hill liquid </t>
  </si>
  <si>
    <t>Bolton Hill Cake</t>
  </si>
  <si>
    <t xml:space="preserve">Preseli </t>
  </si>
  <si>
    <t>Strata Florida</t>
  </si>
  <si>
    <t>Bont Goch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</si>
</sst>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9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360F44E4-7249-415F-8D5E-41D249F9A162}" name="Crop" dataDxfId="384"/>
    <tableColumn id="2" xr3:uid="{55E07717-B4EC-4E8A-B9A9-34F3CF85E32D}" name="P Offtake" dataDxfId="383"/>
    <tableColumn id="3" xr3:uid="{7B25FA52-8104-4FE3-AED4-B53CBFDF89B2}" name="K Offtake" dataDxfId="382"/>
    <tableColumn id="4" xr3:uid="{0DBAE461-2D09-43C8-9342-3980D552AE4D}" name="Order" dataDxfId="381"/>
    <tableColumn id="5" xr3:uid="{52CACE7B-0CBA-46FC-9F24-02CBD6100239}" name="Lime pH requirement" dataDxfId="380"/>
    <tableColumn id="6" xr3:uid="{F1432630-9B16-4266-8147-CE754A715307}" name="Column1" dataDxfId="3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7E96A84B-948F-445F-BD6E-30CC8E6E6DD1}" name="Crop" dataDxfId="373"/>
    <tableColumn id="2" xr3:uid="{12657DDB-F680-47DE-ABB1-8675D5F91E41}" name="P Offtake" dataDxfId="372"/>
    <tableColumn id="3" xr3:uid="{DEB99109-D325-4F98-8A71-E70C03433437}" name="K Offtake" dataDxfId="371"/>
    <tableColumn id="4" xr3:uid="{E96A561F-7E7F-4FB3-97AA-0B35D8C8E93A}" name="Order" dataDxfId="370"/>
    <tableColumn id="5" xr3:uid="{181DD475-0A71-4C52-AF1A-8BFF46F5A827}" name="Lime pH requirement" dataDxfId="369"/>
    <tableColumn id="6" xr3:uid="{AC3FA7E8-D76B-43A3-B715-04446DFF63C6}" name="Column1" dataDxfId="36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06008BA1-A1E9-4286-B67A-352533C06A26}" name="Crop" dataDxfId="362"/>
    <tableColumn id="2" xr3:uid="{2AEB5EEB-C9D1-41DC-913E-953A33D1A4AF}" name="P Offtake" dataDxfId="361"/>
    <tableColumn id="3" xr3:uid="{8FA16A0B-1017-4CEE-862E-0A8CBD8EB3D3}" name="K Offtake" dataDxfId="360"/>
    <tableColumn id="4" xr3:uid="{E7A3B8CD-4036-47F4-B818-C3F22E80C749}" name="Order" dataDxfId="359"/>
    <tableColumn id="5" xr3:uid="{8F3EBD84-7904-4559-9B5C-63088B792C98}" name="Lime pH requirement" dataDxfId="358"/>
    <tableColumn id="6" xr3:uid="{A21DD95A-C955-4510-9114-E3F1CB645370}" name="Column1" dataDxfId="35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11579FCC-3D9F-49AD-888D-5D79B801F6AE}" name="Crop" dataDxfId="351"/>
    <tableColumn id="2" xr3:uid="{05C08116-56D5-4CC6-A649-B06AF891B931}" name="P Offtake" dataDxfId="350"/>
    <tableColumn id="3" xr3:uid="{59CDE959-192B-4757-9203-A0F691CF0F96}" name="K Offtake" dataDxfId="349"/>
    <tableColumn id="4" xr3:uid="{9FB8E4F7-B91F-4CE0-AF39-D4895D0ECF2F}" name="Order" dataDxfId="348"/>
    <tableColumn id="5" xr3:uid="{688FF2A4-D7C6-4425-A915-A9ADD700A9EE}" name="Lime pH requirement" dataDxfId="347"/>
    <tableColumn id="6" xr3:uid="{05FC5CFF-3D81-4B5F-87C7-2364076F2714}" name="Column1" dataDxfId="34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973D7FFB-D248-4199-9B2E-B3C6CC09D382}" name="Crop" dataDxfId="340"/>
    <tableColumn id="2" xr3:uid="{7F2A3986-EC86-4CF9-BD10-791170BA6682}" name="P Offtake" dataDxfId="339"/>
    <tableColumn id="3" xr3:uid="{D6129C35-9DC6-42E5-AE3F-EA3A083168E6}" name="K Offtake" dataDxfId="338"/>
    <tableColumn id="4" xr3:uid="{C1CC42B5-564A-4DE7-B817-B7D686FE9A11}" name="Order" dataDxfId="337"/>
    <tableColumn id="5" xr3:uid="{620F3ABD-564C-411A-8DEA-CE1A34F9FC36}" name="Lime pH requirement" dataDxfId="336"/>
    <tableColumn id="6" xr3:uid="{76C9BC4F-4FF3-4AFB-8E7B-16DC0CC3E97C}" name="Column1" dataDxfId="33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D13A12FC-EAE6-4280-A219-C2622262E5F4}" name="Crop" dataDxfId="329"/>
    <tableColumn id="2" xr3:uid="{FD06C4A3-4B75-490D-88CF-232C7DC3EFC6}" name="P Offtake" dataDxfId="328"/>
    <tableColumn id="3" xr3:uid="{B043BEFF-10D4-4840-989B-BB13A502ECDF}" name="K Offtake" dataDxfId="327"/>
    <tableColumn id="4" xr3:uid="{48481FDC-5D20-466C-B554-D45886EA366A}" name="Order" dataDxfId="326"/>
    <tableColumn id="5" xr3:uid="{9E0852D2-9D0D-44AB-98B7-FBA51F331ACF}" name="Lime pH requirement" dataDxfId="325"/>
    <tableColumn id="6" xr3:uid="{29F9C4A5-6854-4F37-8BD1-0DD9B6024A55}" name="Column1" dataDxfId="32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1B554ED3-7AAF-4192-827C-B071945474B8}" name="Crop" dataDxfId="318"/>
    <tableColumn id="2" xr3:uid="{35F435E0-8D8E-44D1-84BD-C2FF51C3F944}" name="P Offtake" dataDxfId="317"/>
    <tableColumn id="3" xr3:uid="{38465C9D-AA8F-443A-80F5-96D1F6258317}" name="K Offtake" dataDxfId="316"/>
    <tableColumn id="4" xr3:uid="{E0C0E6AF-5628-4BC3-9625-81A87B93D279}" name="Order" dataDxfId="315"/>
    <tableColumn id="5" xr3:uid="{ACDE1D9A-7F94-4404-BDDC-1235C32C758F}" name="Lime pH requirement" dataDxfId="314"/>
    <tableColumn id="6" xr3:uid="{B093C9DF-C4CF-4906-9658-89F446EB9C12}" name="Column1" dataDxfId="31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C4B2E6E9-5990-417D-9E04-7933BDF1FC69}" name="Crop" dataDxfId="307"/>
    <tableColumn id="2" xr3:uid="{E74EF8D0-6C68-49B8-AE52-40C276CA5FC9}" name="P Offtake" dataDxfId="306"/>
    <tableColumn id="3" xr3:uid="{9E0A7857-36E3-482D-B4B2-65B90760417F}" name="K Offtake" dataDxfId="305"/>
    <tableColumn id="4" xr3:uid="{A78867D2-7566-4070-AF99-15EE4CEB1699}" name="Order" dataDxfId="304"/>
    <tableColumn id="5" xr3:uid="{240FD5FA-5659-468E-8544-C93086800EC9}" name="Lime pH requirement" dataDxfId="303"/>
    <tableColumn id="6" xr3:uid="{D5C8E9C3-9076-473B-AE62-DA32692BAABC}" name="Column1" dataDxfId="30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82F1A1D2-F5AA-4D76-98E8-3C18592FB8CF}" name="Crop" dataDxfId="296"/>
    <tableColumn id="2" xr3:uid="{17F60BEE-3BBA-4198-AA21-518EC4696EB6}" name="P Offtake" dataDxfId="295"/>
    <tableColumn id="3" xr3:uid="{95D820EB-2583-433A-A070-6E8356E186E7}" name="K Offtake" dataDxfId="294"/>
    <tableColumn id="4" xr3:uid="{F3AE1839-F59F-4A70-B11A-A32E3FDD1A00}" name="Order" dataDxfId="293"/>
    <tableColumn id="5" xr3:uid="{C52880C5-B266-4CF0-9A11-778ABC47F9F0}" name="Lime pH requirement" dataDxfId="292"/>
    <tableColumn id="6" xr3:uid="{233F7657-9414-44B1-9E43-A91A69CB97ED}" name="Column1" dataDxfId="29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34C99CE0-FFE9-4282-9A7F-89014FFD2010}" name="Crop" dataDxfId="285"/>
    <tableColumn id="2" xr3:uid="{D81725A7-3522-491F-9BAF-35ADAADB5C49}" name="P Offtake" dataDxfId="284"/>
    <tableColumn id="3" xr3:uid="{E1F3CA70-D73E-4B9D-9A9F-F209536EAEFF}" name="K Offtake" dataDxfId="283"/>
    <tableColumn id="4" xr3:uid="{41F03B60-DF58-4AA1-9642-EF87A44AF9EC}" name="Order" dataDxfId="282"/>
    <tableColumn id="5" xr3:uid="{F3D9EC0E-6F67-4466-B24D-F47864B8CBA4}" name="Lime pH requirement" dataDxfId="281"/>
    <tableColumn id="6" xr3:uid="{D49CA6DF-7C49-4445-A0D2-0F2C2FDFB7ED}" name="Column1" dataDxfId="28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7" zoomScale="90" zoomScaleNormal="90" workbookViewId="0">
      <selection activeCell="R28" sqref="R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14" t="s">
        <v>41</v>
      </c>
      <c r="B1" s="114"/>
      <c r="C1" s="108" t="s">
        <v>160</v>
      </c>
      <c r="D1" s="109"/>
      <c r="E1" s="83" t="s">
        <v>45</v>
      </c>
      <c r="F1" s="86">
        <v>49.7</v>
      </c>
      <c r="G1" s="110" t="s">
        <v>43</v>
      </c>
      <c r="H1" s="111"/>
      <c r="I1" s="86">
        <v>5.62</v>
      </c>
      <c r="J1" s="114" t="s">
        <v>153</v>
      </c>
      <c r="K1" s="114"/>
      <c r="L1" s="86">
        <v>109</v>
      </c>
      <c r="AB1" s="14"/>
      <c r="AC1" s="14"/>
      <c r="AD1" s="23" t="s">
        <v>126</v>
      </c>
      <c r="AE1" s="14"/>
      <c r="AF1" s="14"/>
      <c r="AG1" s="14"/>
      <c r="AH1" s="14"/>
      <c r="AI1" s="33" t="s">
        <v>79</v>
      </c>
      <c r="AJ1" s="34" t="s">
        <v>94</v>
      </c>
      <c r="AK1" s="35" t="s">
        <v>95</v>
      </c>
      <c r="AL1" s="36" t="s">
        <v>125</v>
      </c>
      <c r="AM1" s="36" t="s">
        <v>131</v>
      </c>
      <c r="AN1" s="36" t="s">
        <v>111</v>
      </c>
    </row>
    <row r="2" spans="1:40" x14ac:dyDescent="0.2">
      <c r="A2" s="114" t="s">
        <v>87</v>
      </c>
      <c r="B2" s="114"/>
      <c r="C2" s="106" t="s">
        <v>161</v>
      </c>
      <c r="D2" s="107"/>
      <c r="E2" s="83" t="s">
        <v>109</v>
      </c>
      <c r="F2" s="86" t="s">
        <v>166</v>
      </c>
      <c r="G2" s="112" t="s">
        <v>110</v>
      </c>
      <c r="H2" s="113"/>
      <c r="I2" s="86">
        <v>477</v>
      </c>
      <c r="J2" s="114" t="s">
        <v>158</v>
      </c>
      <c r="K2" s="114"/>
      <c r="L2" s="86">
        <v>0.13</v>
      </c>
      <c r="AB2" s="23" t="s">
        <v>56</v>
      </c>
      <c r="AC2" s="14"/>
      <c r="AD2" s="23" t="s">
        <v>70</v>
      </c>
      <c r="AE2" s="14"/>
      <c r="AF2" s="14"/>
      <c r="AG2" s="37" t="s">
        <v>76</v>
      </c>
      <c r="AH2" s="14"/>
      <c r="AI2" s="38" t="s">
        <v>126</v>
      </c>
      <c r="AJ2" s="39">
        <v>0</v>
      </c>
      <c r="AK2" s="40">
        <v>0</v>
      </c>
      <c r="AL2" s="7">
        <v>0</v>
      </c>
      <c r="AM2" s="9">
        <v>0</v>
      </c>
      <c r="AN2" s="9">
        <v>0</v>
      </c>
    </row>
    <row r="3" spans="1:40" x14ac:dyDescent="0.2">
      <c r="A3" s="110" t="s">
        <v>42</v>
      </c>
      <c r="B3" s="111"/>
      <c r="C3" s="106" t="s">
        <v>162</v>
      </c>
      <c r="D3" s="107"/>
      <c r="E3" s="83" t="s">
        <v>108</v>
      </c>
      <c r="F3" s="24" t="s">
        <v>78</v>
      </c>
      <c r="G3" s="114" t="s">
        <v>159</v>
      </c>
      <c r="H3" s="114"/>
      <c r="I3" s="86">
        <v>5420</v>
      </c>
      <c r="J3" s="110" t="s">
        <v>154</v>
      </c>
      <c r="K3" s="111"/>
      <c r="L3" s="86">
        <f>(L1/(L2*10000))*100</f>
        <v>8.384615384615385</v>
      </c>
      <c r="AB3" s="23" t="s">
        <v>57</v>
      </c>
      <c r="AC3" s="14"/>
      <c r="AD3" s="23" t="s">
        <v>71</v>
      </c>
      <c r="AE3" s="14"/>
      <c r="AF3" s="14"/>
      <c r="AG3" s="37" t="s">
        <v>77</v>
      </c>
      <c r="AH3" s="14"/>
      <c r="AI3" s="41" t="s">
        <v>113</v>
      </c>
      <c r="AJ3" s="42">
        <v>1.7</v>
      </c>
      <c r="AK3" s="43">
        <v>6</v>
      </c>
      <c r="AL3" s="44">
        <v>1</v>
      </c>
      <c r="AM3" s="9">
        <v>6.2</v>
      </c>
      <c r="AN3" s="9" t="s">
        <v>112</v>
      </c>
    </row>
    <row r="4" spans="1:40" x14ac:dyDescent="0.2">
      <c r="A4" s="114" t="s">
        <v>0</v>
      </c>
      <c r="B4" s="114"/>
      <c r="C4" s="108" t="s">
        <v>163</v>
      </c>
      <c r="D4" s="109"/>
      <c r="E4" s="84" t="s">
        <v>1</v>
      </c>
      <c r="F4" s="85" t="s">
        <v>167</v>
      </c>
      <c r="G4" s="114"/>
      <c r="H4" s="114"/>
      <c r="I4" s="86"/>
      <c r="J4" s="110"/>
      <c r="K4" s="111"/>
      <c r="L4" s="86"/>
      <c r="AB4" s="23" t="s">
        <v>52</v>
      </c>
      <c r="AC4" s="14"/>
      <c r="AD4" s="45" t="s">
        <v>72</v>
      </c>
      <c r="AE4" s="14"/>
      <c r="AF4" s="14"/>
      <c r="AG4" s="37" t="s">
        <v>78</v>
      </c>
      <c r="AH4" s="14"/>
      <c r="AI4" s="46" t="s">
        <v>124</v>
      </c>
      <c r="AJ4" s="47">
        <v>7</v>
      </c>
      <c r="AK4" s="48">
        <v>10.5</v>
      </c>
      <c r="AL4" s="9">
        <v>2</v>
      </c>
      <c r="AM4" s="9">
        <v>6.7</v>
      </c>
      <c r="AN4" s="9" t="s">
        <v>135</v>
      </c>
    </row>
    <row r="5" spans="1:40" x14ac:dyDescent="0.2">
      <c r="A5" s="114" t="s">
        <v>47</v>
      </c>
      <c r="B5" s="114"/>
      <c r="C5" s="115" t="s">
        <v>164</v>
      </c>
      <c r="D5" s="115"/>
      <c r="E5" s="84"/>
      <c r="F5" s="85"/>
      <c r="G5" s="114"/>
      <c r="H5" s="114"/>
      <c r="I5" s="86"/>
      <c r="J5" s="110"/>
      <c r="K5" s="111"/>
      <c r="L5" s="86"/>
      <c r="AB5" s="23" t="s">
        <v>53</v>
      </c>
      <c r="AC5" s="14"/>
      <c r="AD5" s="45" t="s">
        <v>73</v>
      </c>
      <c r="AE5" s="14"/>
      <c r="AF5" s="14"/>
      <c r="AG5" s="37" t="s">
        <v>104</v>
      </c>
      <c r="AH5" s="14"/>
      <c r="AI5" s="46" t="s">
        <v>123</v>
      </c>
      <c r="AJ5" s="47">
        <v>6.5</v>
      </c>
      <c r="AK5" s="48">
        <v>5.5</v>
      </c>
      <c r="AL5" s="9">
        <v>3</v>
      </c>
      <c r="AM5" s="9">
        <v>6.7</v>
      </c>
      <c r="AN5" s="9" t="s">
        <v>135</v>
      </c>
    </row>
    <row r="6" spans="1:40"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x14ac:dyDescent="0.2">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x14ac:dyDescent="0.2">
      <c r="A8" s="114" t="s">
        <v>2</v>
      </c>
      <c r="B8" s="114"/>
      <c r="C8" s="12">
        <v>2</v>
      </c>
      <c r="D8" s="12">
        <v>3</v>
      </c>
      <c r="E8" s="12">
        <v>4</v>
      </c>
      <c r="F8" s="12">
        <v>10</v>
      </c>
      <c r="G8" s="12">
        <v>20</v>
      </c>
      <c r="H8" s="12">
        <v>7886</v>
      </c>
      <c r="I8" s="12">
        <v>8440</v>
      </c>
      <c r="J8" s="12">
        <v>8087</v>
      </c>
      <c r="K8" s="12">
        <v>8019</v>
      </c>
      <c r="L8" s="12">
        <v>234</v>
      </c>
      <c r="M8" s="12">
        <v>1735</v>
      </c>
      <c r="N8" s="12"/>
      <c r="O8" s="12"/>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x14ac:dyDescent="0.2">
      <c r="A9" s="114" t="s">
        <v>3</v>
      </c>
      <c r="B9" s="114"/>
      <c r="C9" s="12" t="s">
        <v>165</v>
      </c>
      <c r="D9" s="12" t="s">
        <v>165</v>
      </c>
      <c r="E9" s="12" t="s">
        <v>165</v>
      </c>
      <c r="F9" s="12">
        <v>1</v>
      </c>
      <c r="G9" s="12" t="s">
        <v>165</v>
      </c>
      <c r="H9" s="12">
        <v>1</v>
      </c>
      <c r="I9" s="12" t="s">
        <v>165</v>
      </c>
      <c r="J9" s="12" t="s">
        <v>165</v>
      </c>
      <c r="K9" s="12" t="s">
        <v>165</v>
      </c>
      <c r="L9" s="12" t="s">
        <v>165</v>
      </c>
      <c r="M9" s="12" t="s">
        <v>165</v>
      </c>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x14ac:dyDescent="0.2">
      <c r="A10" s="114" t="s">
        <v>4</v>
      </c>
      <c r="B10" s="114"/>
      <c r="C10" s="12">
        <v>7</v>
      </c>
      <c r="D10" s="12">
        <v>6.4</v>
      </c>
      <c r="E10" s="12">
        <v>6.1</v>
      </c>
      <c r="F10" s="12">
        <v>6.7</v>
      </c>
      <c r="G10" s="12">
        <v>6.3</v>
      </c>
      <c r="H10" s="12">
        <v>6.6</v>
      </c>
      <c r="I10" s="12">
        <v>5.6</v>
      </c>
      <c r="J10" s="12">
        <v>6.2</v>
      </c>
      <c r="K10" s="12">
        <v>6.4</v>
      </c>
      <c r="L10" s="12">
        <v>6.2</v>
      </c>
      <c r="M10" s="12">
        <v>6.3</v>
      </c>
      <c r="N10" s="12"/>
      <c r="O10" s="12"/>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x14ac:dyDescent="0.2">
      <c r="A11" s="114" t="s">
        <v>5</v>
      </c>
      <c r="B11" s="114"/>
      <c r="C11" s="12">
        <v>2</v>
      </c>
      <c r="D11" s="12">
        <v>2</v>
      </c>
      <c r="E11" s="12">
        <v>2</v>
      </c>
      <c r="F11" s="12">
        <v>3</v>
      </c>
      <c r="G11" s="12">
        <v>3</v>
      </c>
      <c r="H11" s="12">
        <v>0</v>
      </c>
      <c r="I11" s="12">
        <v>0</v>
      </c>
      <c r="J11" s="12">
        <v>0</v>
      </c>
      <c r="K11" s="12">
        <v>0</v>
      </c>
      <c r="L11" s="12">
        <v>0</v>
      </c>
      <c r="M11" s="12">
        <v>0</v>
      </c>
      <c r="N11" s="12"/>
      <c r="O11" s="12"/>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x14ac:dyDescent="0.2">
      <c r="A12" s="114" t="s">
        <v>6</v>
      </c>
      <c r="B12" s="114"/>
      <c r="C12" s="12">
        <v>2</v>
      </c>
      <c r="D12" s="12">
        <v>2</v>
      </c>
      <c r="E12" s="12">
        <v>1</v>
      </c>
      <c r="F12" s="12">
        <v>2</v>
      </c>
      <c r="G12" s="12">
        <v>2</v>
      </c>
      <c r="H12" s="12">
        <v>2</v>
      </c>
      <c r="I12" s="12">
        <v>0</v>
      </c>
      <c r="J12" s="12">
        <v>0</v>
      </c>
      <c r="K12" s="12">
        <v>0</v>
      </c>
      <c r="L12" s="12">
        <v>0</v>
      </c>
      <c r="M12" s="12">
        <v>0</v>
      </c>
      <c r="N12" s="12"/>
      <c r="O12" s="12"/>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x14ac:dyDescent="0.2">
      <c r="A13" s="114" t="s">
        <v>7</v>
      </c>
      <c r="B13" s="114"/>
      <c r="C13" s="12">
        <v>2</v>
      </c>
      <c r="D13" s="12">
        <v>3</v>
      </c>
      <c r="E13" s="12">
        <v>3</v>
      </c>
      <c r="F13" s="12">
        <v>3</v>
      </c>
      <c r="G13" s="12">
        <v>2</v>
      </c>
      <c r="H13" s="12">
        <v>2</v>
      </c>
      <c r="I13" s="12">
        <v>3</v>
      </c>
      <c r="J13" s="12">
        <v>3</v>
      </c>
      <c r="K13" s="12">
        <v>3</v>
      </c>
      <c r="L13" s="12">
        <v>3</v>
      </c>
      <c r="M13" s="12">
        <v>3</v>
      </c>
      <c r="N13" s="12"/>
      <c r="O13" s="12"/>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x14ac:dyDescent="0.2">
      <c r="A14" s="123" t="s">
        <v>8</v>
      </c>
      <c r="B14" s="123"/>
      <c r="C14" s="89" t="s">
        <v>113</v>
      </c>
      <c r="D14" s="89" t="s">
        <v>113</v>
      </c>
      <c r="E14" s="89" t="s">
        <v>113</v>
      </c>
      <c r="F14" s="89" t="s">
        <v>68</v>
      </c>
      <c r="G14" s="89" t="s">
        <v>113</v>
      </c>
      <c r="H14" s="89" t="s">
        <v>124</v>
      </c>
      <c r="I14" s="89" t="s">
        <v>113</v>
      </c>
      <c r="J14" s="89" t="s">
        <v>113</v>
      </c>
      <c r="K14" s="89" t="s">
        <v>113</v>
      </c>
      <c r="L14" s="89" t="s">
        <v>113</v>
      </c>
      <c r="M14" s="89" t="s">
        <v>113</v>
      </c>
      <c r="N14" s="89"/>
      <c r="O14" s="89"/>
      <c r="P14" s="89"/>
      <c r="Q14" s="89"/>
      <c r="R14" s="89"/>
      <c r="S14" s="89"/>
      <c r="T14" s="89"/>
      <c r="U14" s="89"/>
      <c r="V14" s="89"/>
      <c r="AD14" s="23" t="s">
        <v>138</v>
      </c>
      <c r="AE14" s="23">
        <v>6</v>
      </c>
      <c r="AI14" s="46" t="s">
        <v>119</v>
      </c>
      <c r="AJ14" s="47">
        <v>0.8</v>
      </c>
      <c r="AK14" s="48">
        <v>1.7</v>
      </c>
      <c r="AL14" s="9">
        <v>12</v>
      </c>
      <c r="AM14" s="9">
        <v>6.7</v>
      </c>
      <c r="AN14" s="9" t="s">
        <v>135</v>
      </c>
    </row>
    <row r="15" spans="1:40" x14ac:dyDescent="0.2">
      <c r="A15" s="122" t="s">
        <v>9</v>
      </c>
      <c r="B15" s="122"/>
      <c r="C15" s="12">
        <v>38</v>
      </c>
      <c r="D15" s="12">
        <v>38</v>
      </c>
      <c r="E15" s="12">
        <v>38</v>
      </c>
      <c r="F15" s="12">
        <v>5.5</v>
      </c>
      <c r="G15" s="12">
        <v>38</v>
      </c>
      <c r="H15" s="12">
        <v>8</v>
      </c>
      <c r="I15" s="12">
        <v>38</v>
      </c>
      <c r="J15" s="12">
        <v>38</v>
      </c>
      <c r="K15" s="12">
        <v>38</v>
      </c>
      <c r="L15" s="12">
        <v>38</v>
      </c>
      <c r="M15" s="12">
        <v>38</v>
      </c>
      <c r="N15" s="12"/>
      <c r="O15" s="12"/>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25">
      <c r="A16" s="124" t="s">
        <v>44</v>
      </c>
      <c r="B16" s="124"/>
      <c r="C16" s="90" t="s">
        <v>72</v>
      </c>
      <c r="D16" s="90" t="s">
        <v>72</v>
      </c>
      <c r="E16" s="90" t="s">
        <v>72</v>
      </c>
      <c r="F16" s="90" t="s">
        <v>72</v>
      </c>
      <c r="G16" s="90" t="s">
        <v>72</v>
      </c>
      <c r="H16" s="90" t="s">
        <v>72</v>
      </c>
      <c r="I16" s="90" t="s">
        <v>72</v>
      </c>
      <c r="J16" s="90" t="s">
        <v>72</v>
      </c>
      <c r="K16" s="90" t="s">
        <v>72</v>
      </c>
      <c r="L16" s="90" t="s">
        <v>72</v>
      </c>
      <c r="M16" s="90" t="s">
        <v>72</v>
      </c>
      <c r="N16" s="90"/>
      <c r="O16" s="90"/>
      <c r="P16" s="90"/>
      <c r="Q16" s="90"/>
      <c r="R16" s="90"/>
      <c r="S16" s="90"/>
      <c r="T16" s="90"/>
      <c r="U16" s="90"/>
      <c r="V16" s="90"/>
      <c r="AD16" s="45" t="s">
        <v>145</v>
      </c>
      <c r="AE16" s="23">
        <v>8</v>
      </c>
      <c r="AI16" s="46" t="s">
        <v>118</v>
      </c>
      <c r="AJ16" s="47">
        <v>8</v>
      </c>
      <c r="AK16" s="48">
        <v>5.5</v>
      </c>
      <c r="AL16" s="7">
        <v>14</v>
      </c>
      <c r="AM16" s="9">
        <v>6.7</v>
      </c>
      <c r="AN16" s="9" t="s">
        <v>135</v>
      </c>
    </row>
    <row r="17" spans="1:40" x14ac:dyDescent="0.2">
      <c r="A17" s="120" t="s">
        <v>69</v>
      </c>
      <c r="B17" s="121"/>
      <c r="C17" s="21">
        <f>(VLOOKUP(C$14,$AI2:$AK26,2,FALSE))*C$15</f>
        <v>64.599999999999994</v>
      </c>
      <c r="D17" s="21">
        <f t="shared" ref="D17:V17" si="0">(VLOOKUP(D$14,$AI2:$AK26,2,FALSE))*D$15</f>
        <v>64.599999999999994</v>
      </c>
      <c r="E17" s="21">
        <f t="shared" si="0"/>
        <v>64.599999999999994</v>
      </c>
      <c r="F17" s="21">
        <f t="shared" si="0"/>
        <v>46.75</v>
      </c>
      <c r="G17" s="21">
        <f t="shared" si="0"/>
        <v>64.599999999999994</v>
      </c>
      <c r="H17" s="21">
        <f t="shared" si="0"/>
        <v>56</v>
      </c>
      <c r="I17" s="21">
        <f t="shared" si="0"/>
        <v>64.599999999999994</v>
      </c>
      <c r="J17" s="21">
        <f t="shared" si="0"/>
        <v>64.599999999999994</v>
      </c>
      <c r="K17" s="21">
        <f t="shared" si="0"/>
        <v>64.599999999999994</v>
      </c>
      <c r="L17" s="21">
        <f t="shared" si="0"/>
        <v>64.599999999999994</v>
      </c>
      <c r="M17" s="21">
        <f t="shared" si="0"/>
        <v>64.599999999999994</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8" t="s">
        <v>23</v>
      </c>
      <c r="B18" s="119"/>
      <c r="C18" s="13">
        <f>$D31</f>
        <v>64.821553999999992</v>
      </c>
      <c r="D18" s="13">
        <f>$D32</f>
        <v>64.821553999999992</v>
      </c>
      <c r="E18" s="13">
        <f>$D33</f>
        <v>64.821553999999992</v>
      </c>
      <c r="F18" s="13">
        <f>$D34</f>
        <v>46.731817999999997</v>
      </c>
      <c r="G18" s="13">
        <f>$D35</f>
        <v>64.821553999999992</v>
      </c>
      <c r="H18" s="13">
        <f>$D36</f>
        <v>113.06085</v>
      </c>
      <c r="I18" s="13">
        <f>$D37</f>
        <v>143.21041</v>
      </c>
      <c r="J18" s="13">
        <f>$D38</f>
        <v>143.21041</v>
      </c>
      <c r="K18" s="13">
        <f>$D39</f>
        <v>143.21041</v>
      </c>
      <c r="L18" s="13">
        <f>$D40</f>
        <v>143.21041</v>
      </c>
      <c r="M18" s="13">
        <f>$D41</f>
        <v>143.21041</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8" t="s">
        <v>90</v>
      </c>
      <c r="B19" s="119"/>
      <c r="C19" s="13">
        <f>C18-C17</f>
        <v>0.22155399999999759</v>
      </c>
      <c r="D19" s="13">
        <f t="shared" ref="D19:V19" si="1">D18-D17</f>
        <v>0.22155399999999759</v>
      </c>
      <c r="E19" s="13">
        <f t="shared" si="1"/>
        <v>0.22155399999999759</v>
      </c>
      <c r="F19" s="13">
        <f t="shared" si="1"/>
        <v>-1.8182000000003029E-2</v>
      </c>
      <c r="G19" s="13">
        <f t="shared" si="1"/>
        <v>0.22155399999999759</v>
      </c>
      <c r="H19" s="13">
        <f t="shared" si="1"/>
        <v>57.060850000000002</v>
      </c>
      <c r="I19" s="13">
        <f t="shared" si="1"/>
        <v>78.610410000000002</v>
      </c>
      <c r="J19" s="13">
        <f t="shared" si="1"/>
        <v>78.610410000000002</v>
      </c>
      <c r="K19" s="13">
        <f t="shared" si="1"/>
        <v>78.610410000000002</v>
      </c>
      <c r="L19" s="13">
        <f t="shared" si="1"/>
        <v>78.610410000000002</v>
      </c>
      <c r="M19" s="13">
        <f t="shared" si="1"/>
        <v>78.610410000000002</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6" t="s">
        <v>91</v>
      </c>
      <c r="B20" s="117"/>
      <c r="C20" s="19" t="str">
        <f>IF($B31="","",IF(C$19&gt;=0,"INCREASE","DECREASE"))</f>
        <v>INCREASE</v>
      </c>
      <c r="D20" s="19" t="str">
        <f>IF($B32="","",IF(D$19&gt;=0,"INCREASE","DECREASE"))</f>
        <v>INCREASE</v>
      </c>
      <c r="E20" s="19" t="str">
        <f>IF($B33="","",IF(E$19&gt;=0,"INCREASE","DECREASE"))</f>
        <v>INCREASE</v>
      </c>
      <c r="F20" s="19" t="str">
        <f>IF($B34="","",IF(F$19&gt;=0,"INCREASE","DECREASE"))</f>
        <v>DECREASE</v>
      </c>
      <c r="G20" s="19" t="str">
        <f>IF($B35="","",IF(G$19&gt;=0,"INCREASE","DECREASE"))</f>
        <v>INCREASE</v>
      </c>
      <c r="H20" s="19" t="str">
        <f>IF($B36="","",IF(H$19&gt;=0,"INCREASE","DECREASE"))</f>
        <v>INCREASE</v>
      </c>
      <c r="I20" s="19" t="str">
        <f>IF($B37="","",IF(I$19&gt;=0,"INCREASE","DECREASE"))</f>
        <v>INCREASE</v>
      </c>
      <c r="J20" s="19" t="str">
        <f>IF($B38="","",IF(J$19&gt;=0,"INCREASE","DECREASE"))</f>
        <v>INCREASE</v>
      </c>
      <c r="K20" s="19" t="str">
        <f>IF($B39="","",IF(K$19&gt;=0,"INCREASE","DECREASE"))</f>
        <v>INCREASE</v>
      </c>
      <c r="L20" s="19" t="str">
        <f>IF($B40="","",IF(L$19&gt;=0,"INCREASE","DECREASE"))</f>
        <v>INCREASE</v>
      </c>
      <c r="M20" s="19" t="str">
        <f>IF($B41="","",IF(M$19&gt;=0,"INCREASE","DECREASE"))</f>
        <v>INCREASE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0" t="s">
        <v>88</v>
      </c>
      <c r="B21" s="121"/>
      <c r="C21" s="21">
        <f>(VLOOKUP(C$14,$AI2:$AK26,3,FALSE))*C$15</f>
        <v>228</v>
      </c>
      <c r="D21" s="21">
        <f t="shared" ref="D21:V21" si="2">(VLOOKUP(D$14,$AI2:$AK26,3,FALSE))*D$15</f>
        <v>228</v>
      </c>
      <c r="E21" s="21">
        <f t="shared" si="2"/>
        <v>228</v>
      </c>
      <c r="F21" s="21">
        <f t="shared" si="2"/>
        <v>66</v>
      </c>
      <c r="G21" s="21">
        <f t="shared" si="2"/>
        <v>228</v>
      </c>
      <c r="H21" s="21">
        <f t="shared" si="2"/>
        <v>84</v>
      </c>
      <c r="I21" s="21">
        <f t="shared" si="2"/>
        <v>228</v>
      </c>
      <c r="J21" s="21">
        <f t="shared" si="2"/>
        <v>228</v>
      </c>
      <c r="K21" s="21">
        <f t="shared" si="2"/>
        <v>228</v>
      </c>
      <c r="L21" s="21">
        <f t="shared" si="2"/>
        <v>228</v>
      </c>
      <c r="M21" s="21">
        <f t="shared" si="2"/>
        <v>228</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8" t="s">
        <v>89</v>
      </c>
      <c r="B22" s="119"/>
      <c r="C22" s="13">
        <f>$E31</f>
        <v>23.524010000000004</v>
      </c>
      <c r="D22" s="13">
        <f>$E32</f>
        <v>23.524010000000004</v>
      </c>
      <c r="E22" s="13">
        <f>$E33</f>
        <v>23.524010000000004</v>
      </c>
      <c r="F22" s="13">
        <f>$E34</f>
        <v>16.95917</v>
      </c>
      <c r="G22" s="13">
        <f>$E35</f>
        <v>23.524010000000004</v>
      </c>
      <c r="H22" s="13">
        <f>$E36</f>
        <v>41.030250000000009</v>
      </c>
      <c r="I22" s="13">
        <f>$E37</f>
        <v>51.971650000000004</v>
      </c>
      <c r="J22" s="13">
        <f>$E38</f>
        <v>51.971650000000004</v>
      </c>
      <c r="K22" s="13">
        <f>$E39</f>
        <v>51.971650000000004</v>
      </c>
      <c r="L22" s="13">
        <f>$E40</f>
        <v>51.971650000000004</v>
      </c>
      <c r="M22" s="13">
        <f>$E41</f>
        <v>51.971650000000004</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8" t="s">
        <v>92</v>
      </c>
      <c r="B23" s="119"/>
      <c r="C23" s="13">
        <f>C22-C21</f>
        <v>-204.47599</v>
      </c>
      <c r="D23" s="13">
        <f t="shared" ref="D23:V23" si="3">D22-D21</f>
        <v>-204.47599</v>
      </c>
      <c r="E23" s="13">
        <f t="shared" si="3"/>
        <v>-204.47599</v>
      </c>
      <c r="F23" s="13">
        <f t="shared" si="3"/>
        <v>-49.04083</v>
      </c>
      <c r="G23" s="13">
        <f t="shared" si="3"/>
        <v>-204.47599</v>
      </c>
      <c r="H23" s="13">
        <f t="shared" si="3"/>
        <v>-42.969749999999991</v>
      </c>
      <c r="I23" s="13">
        <f t="shared" si="3"/>
        <v>-176.02834999999999</v>
      </c>
      <c r="J23" s="13">
        <f t="shared" si="3"/>
        <v>-176.02834999999999</v>
      </c>
      <c r="K23" s="13">
        <f t="shared" si="3"/>
        <v>-176.02834999999999</v>
      </c>
      <c r="L23" s="13">
        <f t="shared" si="3"/>
        <v>-176.02834999999999</v>
      </c>
      <c r="M23" s="13">
        <f t="shared" si="3"/>
        <v>-176.02834999999999</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56</v>
      </c>
      <c r="D27" s="96" t="s">
        <v>54</v>
      </c>
      <c r="E27" s="96" t="s">
        <v>54</v>
      </c>
      <c r="F27" s="96" t="s">
        <v>54</v>
      </c>
      <c r="G27" s="96" t="s">
        <v>54</v>
      </c>
      <c r="H27" s="96" t="s">
        <v>54</v>
      </c>
      <c r="I27" s="96" t="s">
        <v>54</v>
      </c>
      <c r="J27" s="96" t="s">
        <v>54</v>
      </c>
      <c r="K27" s="96" t="s">
        <v>54</v>
      </c>
      <c r="L27" s="96" t="s">
        <v>54</v>
      </c>
      <c r="M27" s="96" t="s">
        <v>54</v>
      </c>
      <c r="N27" s="96" t="s">
        <v>54</v>
      </c>
      <c r="O27" s="96" t="s">
        <v>54</v>
      </c>
      <c r="P27" s="96" t="s">
        <v>54</v>
      </c>
      <c r="Q27" s="96" t="s">
        <v>54</v>
      </c>
      <c r="R27" s="96" t="s">
        <v>54</v>
      </c>
      <c r="S27" s="96" t="s">
        <v>54</v>
      </c>
      <c r="T27" s="96" t="s">
        <v>54</v>
      </c>
      <c r="U27" s="96" t="s">
        <v>54</v>
      </c>
    </row>
    <row r="28" spans="1:40" x14ac:dyDescent="0.25">
      <c r="A28" s="97"/>
      <c r="B28" s="17">
        <v>3.07</v>
      </c>
      <c r="C28" s="12">
        <v>0.13</v>
      </c>
      <c r="D28" s="12">
        <v>329</v>
      </c>
      <c r="E28" s="12">
        <v>227</v>
      </c>
      <c r="F28" s="12">
        <v>32.1</v>
      </c>
      <c r="G28" s="12">
        <v>0.23</v>
      </c>
      <c r="H28" s="12">
        <v>2.19</v>
      </c>
      <c r="I28" s="12">
        <v>0.5</v>
      </c>
      <c r="J28" s="12">
        <v>0.01</v>
      </c>
      <c r="K28" s="16">
        <v>0.05</v>
      </c>
      <c r="L28" s="12">
        <v>0.2</v>
      </c>
      <c r="M28" s="12">
        <v>0.35</v>
      </c>
      <c r="N28" s="12"/>
      <c r="O28" s="12"/>
      <c r="P28" s="12">
        <v>295</v>
      </c>
      <c r="Q28" s="12">
        <v>92.8</v>
      </c>
      <c r="R28" s="12"/>
      <c r="S28" s="12"/>
      <c r="T28" s="12"/>
      <c r="U28" s="12"/>
    </row>
    <row r="29" spans="1:40" s="7" customFormat="1" ht="27" x14ac:dyDescent="0.2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2</v>
      </c>
      <c r="B31" s="12">
        <v>86</v>
      </c>
      <c r="C31" s="68">
        <f>IF(C$27="%w/w SAR",((C$28*10)*$B31),IF(C$27="%w/w DM",(((C$28*10)*($B$28/100))*$B31),IF(C$27="kg/t SAR",(C$28*$B31),IF(C$27="kg/t DM",((C$28*($B$28/100))*$B31),IF(C$27="mg/kg SAR",((C$28*0.001)*$B31),IF(C$27="mg/kg DM",(((C$28*0.001)*($B$28/100))*$B31),0))))))</f>
        <v>111.8</v>
      </c>
      <c r="D31" s="68">
        <f>(IF(D$27="%w/w SAR",((D$28*10)*$B31),IF(D$27="%w/w DM",(((D$28*10)*($B$28/100))*$B31),IF(D$27="kg/t SAR",(D$28*$B31),IF(D$27="kg/t DM",((D$28*($B$28/100))*$B31),IF(D$27="mg/kg SAR",((D$28*0.001)*$B31),IF(D$27="mg/kg DM",(((D$28*0.001)*($B$28/100))*$B31),"0")))))))*2.291</f>
        <v>64.821553999999992</v>
      </c>
      <c r="E31" s="68">
        <f>(IF(E$27="%w/w SAR",((E$28*10)*$B31),IF(E$27="%w/w DM",(((E$28*10)*($B$28/100))*$B31),IF(E$27="kg/t SAR",(E$28*$B31),IF(E$27="kg/t DM",((E$28*($B$28/100))*$B31),IF(E$27="mg/kg SAR",((E$28*0.001)*$B31),IF(E$27="mg/kg DM",(((E$28*0.001)*($B$28/100))*$B31),"0")))))))*1.205</f>
        <v>23.524010000000004</v>
      </c>
      <c r="F31" s="68">
        <f>(IF(F$27="%w/w SAR",((F$28*10)*$B31),IF(F$27="%w/w DM",(((F$28*10)*($B$28/100))*$B31),IF(F$27="kg/t SAR",(F$28*$B31),IF(F$27="kg/t DM",((F$28*($B$28/100))*$B31),IF(F$27="mg/kg SAR",((F$28*0.001)*$B31),IF(F$27="mg/kg DM",(((F$28*0.001)*($B$28/100))*$B31),"0")))))))*1.658</f>
        <v>4.5770748000000001</v>
      </c>
      <c r="G31" s="68">
        <f t="shared" ref="G31:P31" si="5">IF(G$27="%w/w SAR",((G$28*10)*$B31),IF(G$27="%w/w DM",(((G$28*10)*($B$28/100))*$B31),IF(G$27="kg/t SAR",(G$28*$B31),IF(G$27="kg/t DM",((G$28*($B$28/100))*$B31),IF(G$27="mg/kg SAR",((G$28*0.001)*$B31),IF(G$27="mg/kg DM",(((G$28*0.001)*($B$28/100))*$B31),0))))))</f>
        <v>1.9779999999999999E-2</v>
      </c>
      <c r="H31" s="68">
        <f t="shared" si="5"/>
        <v>0.18834000000000001</v>
      </c>
      <c r="I31" s="68">
        <f t="shared" si="5"/>
        <v>4.3000000000000003E-2</v>
      </c>
      <c r="J31" s="68">
        <f t="shared" si="5"/>
        <v>8.6000000000000009E-4</v>
      </c>
      <c r="K31" s="68">
        <f t="shared" si="5"/>
        <v>4.3E-3</v>
      </c>
      <c r="L31" s="68">
        <f t="shared" si="5"/>
        <v>1.72E-2</v>
      </c>
      <c r="M31" s="68">
        <f t="shared" si="5"/>
        <v>3.0099999999999998E-2</v>
      </c>
      <c r="N31" s="68">
        <f t="shared" si="5"/>
        <v>0</v>
      </c>
      <c r="O31" s="68">
        <f t="shared" si="5"/>
        <v>0</v>
      </c>
      <c r="P31" s="68">
        <f t="shared" si="5"/>
        <v>25.369999999999997</v>
      </c>
      <c r="Q31" s="68">
        <f>(IF(Q$27="%w/w SAR",((Q$28*10)*$B31),IF(Q$27="%w/w DM",(((Q$28*10)*($B$28/100))*$B31),IF(Q$27="kg/t SAR",(Q$28*$B31),IF(Q$27="kg/t DM",((Q$28*($B$28/100))*$B31),IF(Q$27="mg/kg SAR",((Q$28*0.001)*$B31),IF(Q$27="mg/kg DM",(((Q$28*0.001)*($B$28/100))*$B31),0)))))))*2.5</f>
        <v>19.951999999999998</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3</v>
      </c>
      <c r="B32" s="12">
        <v>86</v>
      </c>
      <c r="C32" s="68">
        <f t="shared" ref="C32:C50" si="6">IF(C$27="%w/w SAR",((C$28*10)*$B32),IF(C$27="%w/w DM",(((C$28*10)*($B$28/100))*$B32),IF(C$27="kg/t SAR",(C$28*$B32),IF(C$27="kg/t DM",((C$28*($B$28/100))*$B32),IF(C$27="mg/kg SAR",((C$28*0.001)*$B32),IF(C$27="mg/kg DM",(((C$28*0.001)*($B$28/100))*$B32),0))))))</f>
        <v>111.8</v>
      </c>
      <c r="D32" s="68">
        <f t="shared" ref="D32:D50" si="7">(IF(D$27="%w/w SAR",((D$28*10)*$B32),IF(D$27="%w/w DM",(((D$28*10)*($B$28/100))*$B32),IF(D$27="kg/t SAR",(D$28*$B32),IF(D$27="kg/t DM",((D$28*($B$28/100))*$B32),IF(D$27="mg/kg SAR",((D$28*0.001)*$B32),IF(D$27="mg/kg DM",(((D$28*0.001)*($B$28/100))*$B32),"0")))))))*2.291</f>
        <v>64.821553999999992</v>
      </c>
      <c r="E32" s="68">
        <f t="shared" ref="E32:E50" si="8">(IF(E$27="%w/w SAR",((E$28*10)*$B32),IF(E$27="%w/w DM",(((E$28*10)*($B$28/100))*$B32),IF(E$27="kg/t SAR",(E$28*$B32),IF(E$27="kg/t DM",((E$28*($B$28/100))*$B32),IF(E$27="mg/kg SAR",((E$28*0.001)*$B32),IF(E$27="mg/kg DM",(((E$28*0.001)*($B$28/100))*$B32),"0")))))))*1.205</f>
        <v>23.524010000000004</v>
      </c>
      <c r="F32" s="68">
        <f t="shared" ref="F32:F50" si="9">(IF(F$27="%w/w SAR",((F$28*10)*$B32),IF(F$27="%w/w DM",(((F$28*10)*($B$28/100))*$B32),IF(F$27="kg/t SAR",(F$28*$B32),IF(F$27="kg/t DM",((F$28*($B$28/100))*$B32),IF(F$27="mg/kg SAR",((F$28*0.001)*$B32),IF(F$27="mg/kg DM",(((F$28*0.001)*($B$28/100))*$B32),"0")))))))*1.658</f>
        <v>4.5770748000000001</v>
      </c>
      <c r="G32" s="68">
        <f t="shared" ref="G32:P50" si="10">IF(G$27="%w/w SAR",((G$28*10)*$B32),IF(G$27="%w/w DM",(((G$28*10)*($B$28/100))*$B32),IF(G$27="kg/t SAR",(G$28*$B32),IF(G$27="kg/t DM",((G$28*($B$28/100))*$B32),IF(G$27="mg/kg SAR",((G$28*0.001)*$B32),IF(G$27="mg/kg DM",(((G$28*0.001)*($B$28/100))*$B32),0))))))</f>
        <v>1.9779999999999999E-2</v>
      </c>
      <c r="H32" s="68">
        <f t="shared" si="10"/>
        <v>0.18834000000000001</v>
      </c>
      <c r="I32" s="68">
        <f t="shared" si="10"/>
        <v>4.3000000000000003E-2</v>
      </c>
      <c r="J32" s="68">
        <f t="shared" si="10"/>
        <v>8.6000000000000009E-4</v>
      </c>
      <c r="K32" s="68">
        <f t="shared" si="10"/>
        <v>4.3E-3</v>
      </c>
      <c r="L32" s="68">
        <f t="shared" si="10"/>
        <v>1.72E-2</v>
      </c>
      <c r="M32" s="68">
        <f t="shared" si="10"/>
        <v>3.0099999999999998E-2</v>
      </c>
      <c r="N32" s="68">
        <f t="shared" si="10"/>
        <v>0</v>
      </c>
      <c r="O32" s="68">
        <f t="shared" si="10"/>
        <v>0</v>
      </c>
      <c r="P32" s="68">
        <f t="shared" si="10"/>
        <v>25.369999999999997</v>
      </c>
      <c r="Q32" s="68">
        <f t="shared" ref="Q32:Q50" si="11">(IF(Q$27="%w/w SAR",((Q$28*10)*$B32),IF(Q$27="%w/w DM",(((Q$28*10)*($B$28/100))*$B32),IF(Q$27="kg/t SAR",(Q$28*$B32),IF(Q$27="kg/t DM",((Q$28*($B$28/100))*$B32),IF(Q$27="mg/kg SAR",((Q$28*0.001)*$B32),IF(Q$27="mg/kg DM",(((Q$28*0.001)*($B$28/100))*$B32),0)))))))*2.5</f>
        <v>19.951999999999998</v>
      </c>
      <c r="R32" s="68">
        <f t="shared" ref="R32:U50" si="12">IF(R$27="%w/w SAR",((R$28*10)*$B32),IF(R$27="%w/w DM",(((R$28*10)*($B$28/100))*$B32),IF(R$27="kg/t SAR",(R$28*$B32),IF(R$27="kg/t DM",((R$28*($B$28/100))*$B32),IF(R$27="mg/kg SAR",((R$28*0.001)*$B32),IF(R$27="mg/kg DM",(((R$28*0.001)*($B$28/100))*$B32),0))))))</f>
        <v>0</v>
      </c>
      <c r="S32" s="68">
        <f t="shared" si="12"/>
        <v>0</v>
      </c>
      <c r="T32" s="68">
        <f t="shared" si="12"/>
        <v>0</v>
      </c>
      <c r="U32" s="68">
        <f t="shared" si="12"/>
        <v>0</v>
      </c>
    </row>
    <row r="33" spans="1:21" s="51" customFormat="1" x14ac:dyDescent="0.25">
      <c r="A33" s="10">
        <f>E8</f>
        <v>4</v>
      </c>
      <c r="B33" s="12">
        <v>86</v>
      </c>
      <c r="C33" s="68">
        <f t="shared" si="6"/>
        <v>111.8</v>
      </c>
      <c r="D33" s="68">
        <f t="shared" si="7"/>
        <v>64.821553999999992</v>
      </c>
      <c r="E33" s="68">
        <f t="shared" si="8"/>
        <v>23.524010000000004</v>
      </c>
      <c r="F33" s="68">
        <f t="shared" si="9"/>
        <v>4.5770748000000001</v>
      </c>
      <c r="G33" s="68">
        <f t="shared" si="10"/>
        <v>1.9779999999999999E-2</v>
      </c>
      <c r="H33" s="68">
        <f t="shared" si="10"/>
        <v>0.18834000000000001</v>
      </c>
      <c r="I33" s="68">
        <f t="shared" si="10"/>
        <v>4.3000000000000003E-2</v>
      </c>
      <c r="J33" s="68">
        <f t="shared" si="10"/>
        <v>8.6000000000000009E-4</v>
      </c>
      <c r="K33" s="68">
        <f t="shared" si="10"/>
        <v>4.3E-3</v>
      </c>
      <c r="L33" s="68">
        <f t="shared" si="10"/>
        <v>1.72E-2</v>
      </c>
      <c r="M33" s="68">
        <f t="shared" si="10"/>
        <v>3.0099999999999998E-2</v>
      </c>
      <c r="N33" s="68">
        <f t="shared" si="10"/>
        <v>0</v>
      </c>
      <c r="O33" s="68">
        <f t="shared" si="10"/>
        <v>0</v>
      </c>
      <c r="P33" s="68">
        <f t="shared" si="10"/>
        <v>25.369999999999997</v>
      </c>
      <c r="Q33" s="68">
        <f t="shared" si="11"/>
        <v>19.951999999999998</v>
      </c>
      <c r="R33" s="68">
        <f t="shared" si="12"/>
        <v>0</v>
      </c>
      <c r="S33" s="68">
        <f t="shared" si="12"/>
        <v>0</v>
      </c>
      <c r="T33" s="68">
        <f t="shared" si="12"/>
        <v>0</v>
      </c>
      <c r="U33" s="68">
        <f t="shared" si="12"/>
        <v>0</v>
      </c>
    </row>
    <row r="34" spans="1:21" s="51" customFormat="1" x14ac:dyDescent="0.25">
      <c r="A34" s="10">
        <f>F8</f>
        <v>10</v>
      </c>
      <c r="B34" s="12">
        <v>62</v>
      </c>
      <c r="C34" s="68">
        <f t="shared" si="6"/>
        <v>80.600000000000009</v>
      </c>
      <c r="D34" s="68">
        <f t="shared" si="7"/>
        <v>46.731817999999997</v>
      </c>
      <c r="E34" s="68">
        <f t="shared" si="8"/>
        <v>16.95917</v>
      </c>
      <c r="F34" s="68">
        <f t="shared" si="9"/>
        <v>3.2997516</v>
      </c>
      <c r="G34" s="68">
        <f t="shared" si="10"/>
        <v>1.426E-2</v>
      </c>
      <c r="H34" s="68">
        <f t="shared" si="10"/>
        <v>0.13578000000000001</v>
      </c>
      <c r="I34" s="68">
        <f t="shared" si="10"/>
        <v>3.1E-2</v>
      </c>
      <c r="J34" s="68">
        <f t="shared" si="10"/>
        <v>6.2E-4</v>
      </c>
      <c r="K34" s="68">
        <f t="shared" si="10"/>
        <v>3.1000000000000003E-3</v>
      </c>
      <c r="L34" s="68">
        <f t="shared" si="10"/>
        <v>1.2400000000000001E-2</v>
      </c>
      <c r="M34" s="68">
        <f t="shared" si="10"/>
        <v>2.1700000000000001E-2</v>
      </c>
      <c r="N34" s="68">
        <f t="shared" si="10"/>
        <v>0</v>
      </c>
      <c r="O34" s="68">
        <f t="shared" si="10"/>
        <v>0</v>
      </c>
      <c r="P34" s="68">
        <f t="shared" si="10"/>
        <v>18.29</v>
      </c>
      <c r="Q34" s="68">
        <f t="shared" si="11"/>
        <v>14.383999999999999</v>
      </c>
      <c r="R34" s="68">
        <f t="shared" si="12"/>
        <v>0</v>
      </c>
      <c r="S34" s="68">
        <f t="shared" si="12"/>
        <v>0</v>
      </c>
      <c r="T34" s="68">
        <f t="shared" si="12"/>
        <v>0</v>
      </c>
      <c r="U34" s="68">
        <f t="shared" si="12"/>
        <v>0</v>
      </c>
    </row>
    <row r="35" spans="1:21" s="51" customFormat="1" x14ac:dyDescent="0.25">
      <c r="A35" s="10">
        <f>G8</f>
        <v>20</v>
      </c>
      <c r="B35" s="12">
        <v>86</v>
      </c>
      <c r="C35" s="68">
        <f t="shared" si="6"/>
        <v>111.8</v>
      </c>
      <c r="D35" s="68">
        <f t="shared" si="7"/>
        <v>64.821553999999992</v>
      </c>
      <c r="E35" s="68">
        <f t="shared" si="8"/>
        <v>23.524010000000004</v>
      </c>
      <c r="F35" s="68">
        <f t="shared" si="9"/>
        <v>4.5770748000000001</v>
      </c>
      <c r="G35" s="68">
        <f t="shared" si="10"/>
        <v>1.9779999999999999E-2</v>
      </c>
      <c r="H35" s="68">
        <f t="shared" si="10"/>
        <v>0.18834000000000001</v>
      </c>
      <c r="I35" s="68">
        <f t="shared" si="10"/>
        <v>4.3000000000000003E-2</v>
      </c>
      <c r="J35" s="68">
        <f t="shared" si="10"/>
        <v>8.6000000000000009E-4</v>
      </c>
      <c r="K35" s="68">
        <f t="shared" si="10"/>
        <v>4.3E-3</v>
      </c>
      <c r="L35" s="68">
        <f t="shared" si="10"/>
        <v>1.72E-2</v>
      </c>
      <c r="M35" s="68">
        <f t="shared" si="10"/>
        <v>3.0099999999999998E-2</v>
      </c>
      <c r="N35" s="68">
        <f t="shared" si="10"/>
        <v>0</v>
      </c>
      <c r="O35" s="68">
        <f t="shared" si="10"/>
        <v>0</v>
      </c>
      <c r="P35" s="68">
        <f t="shared" si="10"/>
        <v>25.369999999999997</v>
      </c>
      <c r="Q35" s="68">
        <f t="shared" si="11"/>
        <v>19.951999999999998</v>
      </c>
      <c r="R35" s="68">
        <f t="shared" si="12"/>
        <v>0</v>
      </c>
      <c r="S35" s="68">
        <f t="shared" si="12"/>
        <v>0</v>
      </c>
      <c r="T35" s="68">
        <f t="shared" si="12"/>
        <v>0</v>
      </c>
      <c r="U35" s="68">
        <f t="shared" si="12"/>
        <v>0</v>
      </c>
    </row>
    <row r="36" spans="1:21" s="51" customFormat="1" x14ac:dyDescent="0.25">
      <c r="A36" s="10">
        <f>H8</f>
        <v>7886</v>
      </c>
      <c r="B36" s="12">
        <v>150</v>
      </c>
      <c r="C36" s="68">
        <f t="shared" si="6"/>
        <v>195</v>
      </c>
      <c r="D36" s="68">
        <f t="shared" si="7"/>
        <v>113.06085</v>
      </c>
      <c r="E36" s="68">
        <f t="shared" si="8"/>
        <v>41.030250000000009</v>
      </c>
      <c r="F36" s="68">
        <f t="shared" si="9"/>
        <v>7.9832700000000001</v>
      </c>
      <c r="G36" s="68">
        <f t="shared" si="10"/>
        <v>3.4500000000000003E-2</v>
      </c>
      <c r="H36" s="68">
        <f t="shared" si="10"/>
        <v>0.32850000000000001</v>
      </c>
      <c r="I36" s="68">
        <f t="shared" si="10"/>
        <v>7.4999999999999997E-2</v>
      </c>
      <c r="J36" s="68">
        <f t="shared" si="10"/>
        <v>1.5E-3</v>
      </c>
      <c r="K36" s="68">
        <f t="shared" si="10"/>
        <v>7.5000000000000006E-3</v>
      </c>
      <c r="L36" s="68">
        <f t="shared" si="10"/>
        <v>3.0000000000000002E-2</v>
      </c>
      <c r="M36" s="68">
        <f t="shared" si="10"/>
        <v>5.2499999999999998E-2</v>
      </c>
      <c r="N36" s="68">
        <f t="shared" si="10"/>
        <v>0</v>
      </c>
      <c r="O36" s="68">
        <f t="shared" si="10"/>
        <v>0</v>
      </c>
      <c r="P36" s="68">
        <f t="shared" si="10"/>
        <v>44.25</v>
      </c>
      <c r="Q36" s="68">
        <f t="shared" si="11"/>
        <v>34.799999999999997</v>
      </c>
      <c r="R36" s="68">
        <f t="shared" si="12"/>
        <v>0</v>
      </c>
      <c r="S36" s="68">
        <f t="shared" si="12"/>
        <v>0</v>
      </c>
      <c r="T36" s="68">
        <f t="shared" si="12"/>
        <v>0</v>
      </c>
      <c r="U36" s="68">
        <f t="shared" si="12"/>
        <v>0</v>
      </c>
    </row>
    <row r="37" spans="1:21" s="51" customFormat="1" x14ac:dyDescent="0.25">
      <c r="A37" s="10">
        <f>I8</f>
        <v>8440</v>
      </c>
      <c r="B37" s="12">
        <v>190</v>
      </c>
      <c r="C37" s="68">
        <f t="shared" si="6"/>
        <v>247</v>
      </c>
      <c r="D37" s="68">
        <f t="shared" si="7"/>
        <v>143.21041</v>
      </c>
      <c r="E37" s="68">
        <f t="shared" si="8"/>
        <v>51.971650000000004</v>
      </c>
      <c r="F37" s="68">
        <f t="shared" si="9"/>
        <v>10.112142000000002</v>
      </c>
      <c r="G37" s="68">
        <f t="shared" si="10"/>
        <v>4.3700000000000003E-2</v>
      </c>
      <c r="H37" s="68">
        <f t="shared" si="10"/>
        <v>0.41610000000000003</v>
      </c>
      <c r="I37" s="68">
        <f t="shared" si="10"/>
        <v>9.5000000000000001E-2</v>
      </c>
      <c r="J37" s="68">
        <f t="shared" si="10"/>
        <v>1.9000000000000002E-3</v>
      </c>
      <c r="K37" s="68">
        <f t="shared" si="10"/>
        <v>9.4999999999999998E-3</v>
      </c>
      <c r="L37" s="68">
        <f t="shared" si="10"/>
        <v>3.7999999999999999E-2</v>
      </c>
      <c r="M37" s="68">
        <f t="shared" si="10"/>
        <v>6.6500000000000004E-2</v>
      </c>
      <c r="N37" s="68">
        <f t="shared" si="10"/>
        <v>0</v>
      </c>
      <c r="O37" s="68">
        <f t="shared" si="10"/>
        <v>0</v>
      </c>
      <c r="P37" s="68">
        <f t="shared" si="10"/>
        <v>56.05</v>
      </c>
      <c r="Q37" s="68">
        <f t="shared" si="11"/>
        <v>44.08</v>
      </c>
      <c r="R37" s="68">
        <f t="shared" si="12"/>
        <v>0</v>
      </c>
      <c r="S37" s="68">
        <f t="shared" si="12"/>
        <v>0</v>
      </c>
      <c r="T37" s="68">
        <f t="shared" si="12"/>
        <v>0</v>
      </c>
      <c r="U37" s="68">
        <f t="shared" si="12"/>
        <v>0</v>
      </c>
    </row>
    <row r="38" spans="1:21" s="51" customFormat="1" x14ac:dyDescent="0.25">
      <c r="A38" s="10">
        <f>J8</f>
        <v>8087</v>
      </c>
      <c r="B38" s="12">
        <v>190</v>
      </c>
      <c r="C38" s="68">
        <f t="shared" si="6"/>
        <v>247</v>
      </c>
      <c r="D38" s="68">
        <f t="shared" si="7"/>
        <v>143.21041</v>
      </c>
      <c r="E38" s="68">
        <f t="shared" si="8"/>
        <v>51.971650000000004</v>
      </c>
      <c r="F38" s="68">
        <f t="shared" si="9"/>
        <v>10.112142000000002</v>
      </c>
      <c r="G38" s="68">
        <f t="shared" si="10"/>
        <v>4.3700000000000003E-2</v>
      </c>
      <c r="H38" s="68">
        <f t="shared" si="10"/>
        <v>0.41610000000000003</v>
      </c>
      <c r="I38" s="68">
        <f t="shared" si="10"/>
        <v>9.5000000000000001E-2</v>
      </c>
      <c r="J38" s="68">
        <f t="shared" si="10"/>
        <v>1.9000000000000002E-3</v>
      </c>
      <c r="K38" s="68">
        <f t="shared" si="10"/>
        <v>9.4999999999999998E-3</v>
      </c>
      <c r="L38" s="68">
        <f t="shared" si="10"/>
        <v>3.7999999999999999E-2</v>
      </c>
      <c r="M38" s="68">
        <f t="shared" si="10"/>
        <v>6.6500000000000004E-2</v>
      </c>
      <c r="N38" s="68">
        <f t="shared" si="10"/>
        <v>0</v>
      </c>
      <c r="O38" s="68">
        <f t="shared" si="10"/>
        <v>0</v>
      </c>
      <c r="P38" s="68">
        <f t="shared" si="10"/>
        <v>56.05</v>
      </c>
      <c r="Q38" s="68">
        <f t="shared" si="11"/>
        <v>44.08</v>
      </c>
      <c r="R38" s="68">
        <f t="shared" si="12"/>
        <v>0</v>
      </c>
      <c r="S38" s="68">
        <f t="shared" si="12"/>
        <v>0</v>
      </c>
      <c r="T38" s="68">
        <f t="shared" si="12"/>
        <v>0</v>
      </c>
      <c r="U38" s="68">
        <f t="shared" si="12"/>
        <v>0</v>
      </c>
    </row>
    <row r="39" spans="1:21" s="51" customFormat="1" x14ac:dyDescent="0.25">
      <c r="A39" s="10">
        <f>K8</f>
        <v>8019</v>
      </c>
      <c r="B39" s="12">
        <v>190</v>
      </c>
      <c r="C39" s="68">
        <f t="shared" si="6"/>
        <v>247</v>
      </c>
      <c r="D39" s="68">
        <f t="shared" si="7"/>
        <v>143.21041</v>
      </c>
      <c r="E39" s="68">
        <f t="shared" si="8"/>
        <v>51.971650000000004</v>
      </c>
      <c r="F39" s="68">
        <f t="shared" si="9"/>
        <v>10.112142000000002</v>
      </c>
      <c r="G39" s="68">
        <f t="shared" si="10"/>
        <v>4.3700000000000003E-2</v>
      </c>
      <c r="H39" s="68">
        <f t="shared" si="10"/>
        <v>0.41610000000000003</v>
      </c>
      <c r="I39" s="68">
        <f t="shared" si="10"/>
        <v>9.5000000000000001E-2</v>
      </c>
      <c r="J39" s="68">
        <f t="shared" si="10"/>
        <v>1.9000000000000002E-3</v>
      </c>
      <c r="K39" s="68">
        <f t="shared" si="10"/>
        <v>9.4999999999999998E-3</v>
      </c>
      <c r="L39" s="68">
        <f t="shared" si="10"/>
        <v>3.7999999999999999E-2</v>
      </c>
      <c r="M39" s="68">
        <f t="shared" si="10"/>
        <v>6.6500000000000004E-2</v>
      </c>
      <c r="N39" s="68">
        <f t="shared" si="10"/>
        <v>0</v>
      </c>
      <c r="O39" s="68">
        <f t="shared" si="10"/>
        <v>0</v>
      </c>
      <c r="P39" s="68">
        <f t="shared" si="10"/>
        <v>56.05</v>
      </c>
      <c r="Q39" s="68">
        <f t="shared" si="11"/>
        <v>44.08</v>
      </c>
      <c r="R39" s="68">
        <f t="shared" si="12"/>
        <v>0</v>
      </c>
      <c r="S39" s="68">
        <f t="shared" si="12"/>
        <v>0</v>
      </c>
      <c r="T39" s="68">
        <f t="shared" si="12"/>
        <v>0</v>
      </c>
      <c r="U39" s="68">
        <f t="shared" si="12"/>
        <v>0</v>
      </c>
    </row>
    <row r="40" spans="1:21" s="51" customFormat="1" x14ac:dyDescent="0.25">
      <c r="A40" s="10">
        <f>L8</f>
        <v>234</v>
      </c>
      <c r="B40" s="12">
        <v>190</v>
      </c>
      <c r="C40" s="68">
        <f t="shared" si="6"/>
        <v>247</v>
      </c>
      <c r="D40" s="68">
        <f t="shared" si="7"/>
        <v>143.21041</v>
      </c>
      <c r="E40" s="68">
        <f t="shared" si="8"/>
        <v>51.971650000000004</v>
      </c>
      <c r="F40" s="68">
        <f t="shared" si="9"/>
        <v>10.112142000000002</v>
      </c>
      <c r="G40" s="68">
        <f t="shared" si="10"/>
        <v>4.3700000000000003E-2</v>
      </c>
      <c r="H40" s="68">
        <f t="shared" si="10"/>
        <v>0.41610000000000003</v>
      </c>
      <c r="I40" s="68">
        <f t="shared" si="10"/>
        <v>9.5000000000000001E-2</v>
      </c>
      <c r="J40" s="68">
        <f t="shared" si="10"/>
        <v>1.9000000000000002E-3</v>
      </c>
      <c r="K40" s="68">
        <f t="shared" si="10"/>
        <v>9.4999999999999998E-3</v>
      </c>
      <c r="L40" s="68">
        <f t="shared" si="10"/>
        <v>3.7999999999999999E-2</v>
      </c>
      <c r="M40" s="68">
        <f t="shared" si="10"/>
        <v>6.6500000000000004E-2</v>
      </c>
      <c r="N40" s="68">
        <f t="shared" si="10"/>
        <v>0</v>
      </c>
      <c r="O40" s="68">
        <f t="shared" si="10"/>
        <v>0</v>
      </c>
      <c r="P40" s="68">
        <f t="shared" si="10"/>
        <v>56.05</v>
      </c>
      <c r="Q40" s="68">
        <f t="shared" si="11"/>
        <v>44.08</v>
      </c>
      <c r="R40" s="68">
        <f t="shared" si="12"/>
        <v>0</v>
      </c>
      <c r="S40" s="68">
        <f t="shared" si="12"/>
        <v>0</v>
      </c>
      <c r="T40" s="68">
        <f t="shared" si="12"/>
        <v>0</v>
      </c>
      <c r="U40" s="68">
        <f t="shared" si="12"/>
        <v>0</v>
      </c>
    </row>
    <row r="41" spans="1:21" s="51" customFormat="1" x14ac:dyDescent="0.25">
      <c r="A41" s="10">
        <f>M8</f>
        <v>1735</v>
      </c>
      <c r="B41" s="12">
        <v>190</v>
      </c>
      <c r="C41" s="68">
        <f t="shared" si="6"/>
        <v>247</v>
      </c>
      <c r="D41" s="68">
        <f t="shared" si="7"/>
        <v>143.21041</v>
      </c>
      <c r="E41" s="68">
        <f t="shared" si="8"/>
        <v>51.971650000000004</v>
      </c>
      <c r="F41" s="68">
        <f t="shared" si="9"/>
        <v>10.112142000000002</v>
      </c>
      <c r="G41" s="68">
        <f t="shared" si="10"/>
        <v>4.3700000000000003E-2</v>
      </c>
      <c r="H41" s="68">
        <f t="shared" si="10"/>
        <v>0.41610000000000003</v>
      </c>
      <c r="I41" s="68">
        <f t="shared" si="10"/>
        <v>9.5000000000000001E-2</v>
      </c>
      <c r="J41" s="68">
        <f t="shared" si="10"/>
        <v>1.9000000000000002E-3</v>
      </c>
      <c r="K41" s="68">
        <f t="shared" si="10"/>
        <v>9.4999999999999998E-3</v>
      </c>
      <c r="L41" s="68">
        <f t="shared" si="10"/>
        <v>3.7999999999999999E-2</v>
      </c>
      <c r="M41" s="68">
        <f t="shared" si="10"/>
        <v>6.6500000000000004E-2</v>
      </c>
      <c r="N41" s="68">
        <f t="shared" si="10"/>
        <v>0</v>
      </c>
      <c r="O41" s="68">
        <f t="shared" si="10"/>
        <v>0</v>
      </c>
      <c r="P41" s="68">
        <f t="shared" si="10"/>
        <v>56.05</v>
      </c>
      <c r="Q41" s="68">
        <f t="shared" si="11"/>
        <v>44.08</v>
      </c>
      <c r="R41" s="68">
        <f t="shared" si="12"/>
        <v>0</v>
      </c>
      <c r="S41" s="68">
        <f t="shared" si="12"/>
        <v>0</v>
      </c>
      <c r="T41" s="68">
        <f t="shared" si="12"/>
        <v>0</v>
      </c>
      <c r="U41" s="68">
        <f t="shared" si="12"/>
        <v>0</v>
      </c>
    </row>
    <row r="42" spans="1:21" s="51" customFormat="1" x14ac:dyDescent="0.25">
      <c r="A42" s="10">
        <f>N8</f>
        <v>0</v>
      </c>
      <c r="B42" s="12"/>
      <c r="C42" s="68">
        <f t="shared" si="6"/>
        <v>0</v>
      </c>
      <c r="D42" s="68">
        <f t="shared" si="7"/>
        <v>0</v>
      </c>
      <c r="E42" s="68">
        <f t="shared" si="8"/>
        <v>0</v>
      </c>
      <c r="F42" s="68">
        <f t="shared" si="9"/>
        <v>0</v>
      </c>
      <c r="G42" s="68">
        <f t="shared" si="10"/>
        <v>0</v>
      </c>
      <c r="H42" s="68">
        <f t="shared" si="10"/>
        <v>0</v>
      </c>
      <c r="I42" s="68">
        <f t="shared" si="10"/>
        <v>0</v>
      </c>
      <c r="J42" s="68">
        <f t="shared" si="10"/>
        <v>0</v>
      </c>
      <c r="K42" s="68">
        <f t="shared" si="10"/>
        <v>0</v>
      </c>
      <c r="L42" s="68">
        <f t="shared" si="10"/>
        <v>0</v>
      </c>
      <c r="M42" s="68">
        <f t="shared" si="10"/>
        <v>0</v>
      </c>
      <c r="N42" s="68">
        <f t="shared" si="10"/>
        <v>0</v>
      </c>
      <c r="O42" s="68">
        <f t="shared" si="10"/>
        <v>0</v>
      </c>
      <c r="P42" s="68">
        <f t="shared" si="10"/>
        <v>0</v>
      </c>
      <c r="Q42" s="68">
        <f t="shared" si="11"/>
        <v>0</v>
      </c>
      <c r="R42" s="68">
        <f t="shared" si="12"/>
        <v>0</v>
      </c>
      <c r="S42" s="68">
        <f t="shared" si="12"/>
        <v>0</v>
      </c>
      <c r="T42" s="68">
        <f t="shared" si="12"/>
        <v>0</v>
      </c>
      <c r="U42" s="68">
        <f t="shared" si="12"/>
        <v>0</v>
      </c>
    </row>
    <row r="43" spans="1:21" s="51" customFormat="1" x14ac:dyDescent="0.25">
      <c r="A43" s="10">
        <f>O8</f>
        <v>0</v>
      </c>
      <c r="B43" s="12"/>
      <c r="C43" s="68">
        <f t="shared" si="6"/>
        <v>0</v>
      </c>
      <c r="D43" s="68">
        <f t="shared" si="7"/>
        <v>0</v>
      </c>
      <c r="E43" s="68">
        <f t="shared" si="8"/>
        <v>0</v>
      </c>
      <c r="F43" s="68">
        <f t="shared" si="9"/>
        <v>0</v>
      </c>
      <c r="G43" s="68">
        <f t="shared" si="10"/>
        <v>0</v>
      </c>
      <c r="H43" s="68">
        <f t="shared" si="10"/>
        <v>0</v>
      </c>
      <c r="I43" s="68">
        <f t="shared" si="10"/>
        <v>0</v>
      </c>
      <c r="J43" s="68">
        <f t="shared" si="10"/>
        <v>0</v>
      </c>
      <c r="K43" s="68">
        <f t="shared" si="10"/>
        <v>0</v>
      </c>
      <c r="L43" s="68">
        <f t="shared" si="10"/>
        <v>0</v>
      </c>
      <c r="M43" s="68">
        <f t="shared" si="10"/>
        <v>0</v>
      </c>
      <c r="N43" s="68">
        <f t="shared" si="10"/>
        <v>0</v>
      </c>
      <c r="O43" s="68">
        <f t="shared" si="10"/>
        <v>0</v>
      </c>
      <c r="P43" s="68">
        <f t="shared" si="10"/>
        <v>0</v>
      </c>
      <c r="Q43" s="68">
        <f t="shared" si="11"/>
        <v>0</v>
      </c>
      <c r="R43" s="68">
        <f t="shared" si="12"/>
        <v>0</v>
      </c>
      <c r="S43" s="68">
        <f t="shared" si="12"/>
        <v>0</v>
      </c>
      <c r="T43" s="68">
        <f t="shared" si="12"/>
        <v>0</v>
      </c>
      <c r="U43" s="68">
        <f t="shared" si="12"/>
        <v>0</v>
      </c>
    </row>
    <row r="44" spans="1:21" s="51" customFormat="1" x14ac:dyDescent="0.2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x14ac:dyDescent="0.2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x14ac:dyDescent="0.2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x14ac:dyDescent="0.2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x14ac:dyDescent="0.2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x14ac:dyDescent="0.2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3">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2</v>
      </c>
      <c r="C57" s="8">
        <f t="shared" ref="C57:U57" si="13">D8</f>
        <v>3</v>
      </c>
      <c r="D57" s="8">
        <f t="shared" si="13"/>
        <v>4</v>
      </c>
      <c r="E57" s="8">
        <f t="shared" si="13"/>
        <v>10</v>
      </c>
      <c r="F57" s="8">
        <f t="shared" si="13"/>
        <v>20</v>
      </c>
      <c r="G57" s="8">
        <f t="shared" si="13"/>
        <v>7886</v>
      </c>
      <c r="H57" s="8">
        <f t="shared" si="13"/>
        <v>8440</v>
      </c>
      <c r="I57" s="8">
        <f t="shared" si="13"/>
        <v>8087</v>
      </c>
      <c r="J57" s="8">
        <f t="shared" si="13"/>
        <v>8019</v>
      </c>
      <c r="K57" s="8">
        <f t="shared" si="13"/>
        <v>234</v>
      </c>
      <c r="L57" s="8">
        <f t="shared" si="13"/>
        <v>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Arable</v>
      </c>
      <c r="F58" s="10" t="str">
        <f>G16&amp;" I "&amp;(VLOOKUP(G14,Table24[],6,FALSE))</f>
        <v>Medium/Clay I Grass</v>
      </c>
      <c r="G58" s="10" t="str">
        <f>H16&amp;" I "&amp;(VLOOKUP(H14,Table24[],6,FALSE))</f>
        <v>Medium/Clay I Arable</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100" t="s">
        <v>132</v>
      </c>
      <c r="B59" s="67">
        <f>VLOOKUP(C$14,Table24[],5,FALSE)</f>
        <v>6.2</v>
      </c>
      <c r="C59" s="67">
        <f>VLOOKUP(D$14,Table24[],5,FALSE)</f>
        <v>6.2</v>
      </c>
      <c r="D59" s="67">
        <f>VLOOKUP(E$14,Table24[],5,FALSE)</f>
        <v>6.2</v>
      </c>
      <c r="E59" s="67">
        <f>VLOOKUP(F$14,Table24[],5,FALSE)</f>
        <v>6.7</v>
      </c>
      <c r="F59" s="67">
        <f>VLOOKUP(G$14,Table24[],5,FALSE)</f>
        <v>6.2</v>
      </c>
      <c r="G59" s="67">
        <f>VLOOKUP(H$14,Table24[],5,FALSE)</f>
        <v>6.7</v>
      </c>
      <c r="H59" s="67">
        <f>VLOOKUP(I$14,Table24[],5,FALSE)</f>
        <v>6.2</v>
      </c>
      <c r="I59" s="67">
        <f>VLOOKUP(J$14,Table24[],5,FALSE)</f>
        <v>6.2</v>
      </c>
      <c r="J59" s="67">
        <f>VLOOKUP(K$14,Table24[],5,FALSE)</f>
        <v>6.2</v>
      </c>
      <c r="K59" s="67">
        <f>VLOOKUP(L$14,Table24[],5,FALSE)</f>
        <v>6.2</v>
      </c>
      <c r="L59" s="67">
        <f>VLOOKUP(M$14,Table24[],5,FALSE)</f>
        <v>6.2</v>
      </c>
      <c r="M59" s="67" t="e">
        <f>VLOOKUP(N$14,Table24[],5,FALSE)</f>
        <v>#N/A</v>
      </c>
      <c r="N59" s="67" t="e">
        <f>VLOOKUP(O$14,Table24[],5,FALSE)</f>
        <v>#N/A</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x14ac:dyDescent="0.2">
      <c r="A60" s="100" t="s">
        <v>4</v>
      </c>
      <c r="B60" s="67">
        <f>C10</f>
        <v>7</v>
      </c>
      <c r="C60" s="67">
        <f t="shared" ref="C60:U60" si="14">D10</f>
        <v>6.4</v>
      </c>
      <c r="D60" s="67">
        <f t="shared" si="14"/>
        <v>6.1</v>
      </c>
      <c r="E60" s="67">
        <f t="shared" si="14"/>
        <v>6.7</v>
      </c>
      <c r="F60" s="67">
        <f t="shared" si="14"/>
        <v>6.3</v>
      </c>
      <c r="G60" s="67">
        <f t="shared" si="14"/>
        <v>6.6</v>
      </c>
      <c r="H60" s="67">
        <f t="shared" si="14"/>
        <v>5.6</v>
      </c>
      <c r="I60" s="67">
        <f t="shared" si="14"/>
        <v>6.2</v>
      </c>
      <c r="J60" s="67">
        <f t="shared" si="14"/>
        <v>6.4</v>
      </c>
      <c r="K60" s="67">
        <f t="shared" si="14"/>
        <v>6.2</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8</v>
      </c>
      <c r="F61" s="67">
        <f t="shared" si="15"/>
        <v>6</v>
      </c>
      <c r="G61" s="67">
        <f t="shared" si="15"/>
        <v>8</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86</v>
      </c>
      <c r="C62" s="68">
        <f>B32</f>
        <v>86</v>
      </c>
      <c r="D62" s="68">
        <f>B33</f>
        <v>86</v>
      </c>
      <c r="E62" s="68">
        <f>B34</f>
        <v>62</v>
      </c>
      <c r="F62" s="68">
        <f>B35</f>
        <v>86</v>
      </c>
      <c r="G62" s="68">
        <f>B36</f>
        <v>150</v>
      </c>
      <c r="H62" s="68">
        <f>B37</f>
        <v>190</v>
      </c>
      <c r="I62" s="68">
        <f>B38</f>
        <v>190</v>
      </c>
      <c r="J62" s="68">
        <f>B39</f>
        <v>190</v>
      </c>
      <c r="K62" s="68">
        <f>B40</f>
        <v>190</v>
      </c>
      <c r="L62" s="68">
        <f>B41</f>
        <v>190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-4.7999999999999989</v>
      </c>
      <c r="C64" s="68">
        <f t="shared" ref="C64:U64" si="17">(C59-C60)*C61</f>
        <v>-1.2000000000000011</v>
      </c>
      <c r="D64" s="68">
        <f t="shared" si="17"/>
        <v>0.6000000000000032</v>
      </c>
      <c r="E64" s="68">
        <f t="shared" si="17"/>
        <v>0</v>
      </c>
      <c r="F64" s="68">
        <f t="shared" si="17"/>
        <v>-0.59999999999999787</v>
      </c>
      <c r="G64" s="68">
        <f t="shared" si="17"/>
        <v>0.80000000000000426</v>
      </c>
      <c r="H64" s="68">
        <f t="shared" si="17"/>
        <v>3.6000000000000032</v>
      </c>
      <c r="I64" s="68">
        <f t="shared" si="17"/>
        <v>0</v>
      </c>
      <c r="J64" s="68">
        <f t="shared" si="17"/>
        <v>-1.2000000000000011</v>
      </c>
      <c r="K64" s="68">
        <f t="shared" si="17"/>
        <v>0</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4.7999999999999989</v>
      </c>
      <c r="C65" s="68">
        <f t="shared" ref="C65:U65" si="18">C63-C64</f>
        <v>1.2000000000000011</v>
      </c>
      <c r="D65" s="68">
        <f t="shared" si="18"/>
        <v>-0.6000000000000032</v>
      </c>
      <c r="E65" s="68">
        <f t="shared" si="18"/>
        <v>0</v>
      </c>
      <c r="F65" s="68">
        <f t="shared" si="18"/>
        <v>0.59999999999999787</v>
      </c>
      <c r="G65" s="68">
        <f t="shared" si="18"/>
        <v>-0.80000000000000426</v>
      </c>
      <c r="H65" s="68">
        <f t="shared" si="18"/>
        <v>-3.6000000000000032</v>
      </c>
      <c r="I65" s="68">
        <f t="shared" si="18"/>
        <v>0</v>
      </c>
      <c r="J65" s="68">
        <f t="shared" si="18"/>
        <v>1.2000000000000011</v>
      </c>
      <c r="K65" s="68">
        <f t="shared" si="18"/>
        <v>0</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UNDER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79" priority="42" operator="greaterThan">
      <formula>$B$51</formula>
    </cfRule>
  </conditionalFormatting>
  <conditionalFormatting sqref="B66:U66">
    <cfRule type="cellIs" dxfId="278" priority="4" operator="equal">
      <formula>"UNDER"</formula>
    </cfRule>
    <cfRule type="cellIs" dxfId="277" priority="5" operator="equal">
      <formula>"OVER"</formula>
    </cfRule>
  </conditionalFormatting>
  <conditionalFormatting sqref="C31:C50">
    <cfRule type="cellIs" dxfId="276" priority="41" operator="greaterThan">
      <formula>$C$51</formula>
    </cfRule>
  </conditionalFormatting>
  <conditionalFormatting sqref="C17:V19">
    <cfRule type="cellIs" dxfId="275" priority="34" operator="equal">
      <formula>0</formula>
    </cfRule>
  </conditionalFormatting>
  <conditionalFormatting sqref="C20:V21">
    <cfRule type="cellIs" dxfId="274" priority="43" operator="equal">
      <formula>"DECREASE"</formula>
    </cfRule>
    <cfRule type="cellIs" dxfId="273" priority="44" operator="equal">
      <formula>"INCREASE"</formula>
    </cfRule>
  </conditionalFormatting>
  <conditionalFormatting sqref="C21:V21">
    <cfRule type="cellIs" dxfId="272" priority="8" operator="equal">
      <formula>0</formula>
    </cfRule>
  </conditionalFormatting>
  <conditionalFormatting sqref="C22:V23">
    <cfRule type="cellIs" dxfId="271" priority="15" operator="equal">
      <formula>0</formula>
    </cfRule>
  </conditionalFormatting>
  <conditionalFormatting sqref="C24:V24">
    <cfRule type="cellIs" dxfId="270" priority="16" operator="equal">
      <formula>"DECREASE"</formula>
    </cfRule>
    <cfRule type="cellIs" dxfId="269" priority="17" operator="equal">
      <formula>"INCREASE"</formula>
    </cfRule>
  </conditionalFormatting>
  <conditionalFormatting sqref="G31:G50">
    <cfRule type="cellIs" dxfId="268" priority="31" operator="greaterThan">
      <formula>$G$51</formula>
    </cfRule>
  </conditionalFormatting>
  <conditionalFormatting sqref="H31:H50">
    <cfRule type="cellIs" dxfId="267" priority="30" operator="greaterThan">
      <formula>$H$51</formula>
    </cfRule>
  </conditionalFormatting>
  <conditionalFormatting sqref="I1">
    <cfRule type="cellIs" dxfId="266" priority="11" operator="between">
      <formula>0.1</formula>
      <formula>5</formula>
    </cfRule>
  </conditionalFormatting>
  <conditionalFormatting sqref="I2">
    <cfRule type="cellIs" dxfId="265" priority="10" operator="greaterThan">
      <formula>5000.1</formula>
    </cfRule>
  </conditionalFormatting>
  <conditionalFormatting sqref="I3">
    <cfRule type="cellIs" dxfId="264" priority="9" operator="greaterThan">
      <formula>40000.01</formula>
    </cfRule>
  </conditionalFormatting>
  <conditionalFormatting sqref="I31:I50">
    <cfRule type="cellIs" dxfId="263" priority="29" operator="greaterThan">
      <formula>$I$51</formula>
    </cfRule>
  </conditionalFormatting>
  <conditionalFormatting sqref="J31:J50">
    <cfRule type="cellIs" dxfId="262" priority="3" operator="greaterThan">
      <formula>$J$51</formula>
    </cfRule>
  </conditionalFormatting>
  <conditionalFormatting sqref="K31:K50">
    <cfRule type="cellIs" dxfId="261" priority="27" operator="greaterThan">
      <formula>$K$51</formula>
    </cfRule>
  </conditionalFormatting>
  <conditionalFormatting sqref="L3">
    <cfRule type="cellIs" dxfId="260" priority="1" operator="lessThan">
      <formula>30</formula>
    </cfRule>
    <cfRule type="cellIs" dxfId="259" priority="2" operator="greaterThanOrEqual">
      <formula>30</formula>
    </cfRule>
  </conditionalFormatting>
  <conditionalFormatting sqref="L31:L50">
    <cfRule type="cellIs" dxfId="258" priority="26" operator="greaterThan">
      <formula>$L$51</formula>
    </cfRule>
  </conditionalFormatting>
  <conditionalFormatting sqref="M31:M50">
    <cfRule type="cellIs" dxfId="257" priority="25" operator="greaterThan">
      <formula>$M$51</formula>
    </cfRule>
  </conditionalFormatting>
  <conditionalFormatting sqref="P31:P50">
    <cfRule type="cellIs" dxfId="256" priority="24" operator="greaterThan">
      <formula>$P$51</formula>
    </cfRule>
  </conditionalFormatting>
  <conditionalFormatting sqref="R31:R50">
    <cfRule type="cellIs" dxfId="255" priority="23" operator="greaterThan">
      <formula>$R$51</formula>
    </cfRule>
  </conditionalFormatting>
  <conditionalFormatting sqref="S31:S50">
    <cfRule type="cellIs" dxfId="254" priority="22" operator="greaterThan">
      <formula>$S$51</formula>
    </cfRule>
  </conditionalFormatting>
  <conditionalFormatting sqref="T31:T50">
    <cfRule type="cellIs" dxfId="253" priority="21" operator="greaterThan">
      <formula>$T$51</formula>
    </cfRule>
  </conditionalFormatting>
  <conditionalFormatting sqref="U31:U50">
    <cfRule type="cellIs" dxfId="252"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6" zoomScale="90" zoomScaleNormal="90" workbookViewId="0">
      <selection activeCell="K28" sqref="K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7" t="str">
        <f>'Field data and Waste 1'!C1:D1</f>
        <v>PAN-026719</v>
      </c>
      <c r="D1" s="128"/>
      <c r="E1" s="83" t="s">
        <v>45</v>
      </c>
      <c r="F1" s="32">
        <f>'Field data and Waste 1'!F1</f>
        <v>49.7</v>
      </c>
      <c r="G1" s="110" t="s">
        <v>43</v>
      </c>
      <c r="H1" s="111"/>
      <c r="I1" s="86">
        <v>5.95</v>
      </c>
      <c r="J1" s="114" t="s">
        <v>153</v>
      </c>
      <c r="K1" s="114"/>
      <c r="L1" s="86">
        <v>30.6</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29" t="str">
        <f>'Field data and Waste 1'!C2:D2</f>
        <v>EPR/AB3891CX</v>
      </c>
      <c r="D2" s="130"/>
      <c r="E2" s="83" t="s">
        <v>109</v>
      </c>
      <c r="F2" s="86" t="s">
        <v>166</v>
      </c>
      <c r="G2" s="112" t="s">
        <v>110</v>
      </c>
      <c r="H2" s="113"/>
      <c r="I2" s="86">
        <v>4820</v>
      </c>
      <c r="J2" s="114" t="s">
        <v>158</v>
      </c>
      <c r="K2" s="114"/>
      <c r="L2" s="86">
        <v>0.22</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29" t="str">
        <f>'Field data and Waste 1'!C3:D3</f>
        <v>Stepside Agri</v>
      </c>
      <c r="D3" s="130"/>
      <c r="E3" s="83" t="s">
        <v>108</v>
      </c>
      <c r="F3" s="24" t="s">
        <v>78</v>
      </c>
      <c r="G3" s="114" t="s">
        <v>159</v>
      </c>
      <c r="H3" s="114"/>
      <c r="I3" s="86"/>
      <c r="J3" s="110" t="s">
        <v>154</v>
      </c>
      <c r="K3" s="111"/>
      <c r="L3" s="86">
        <f>(L1/(L2*10000))*100</f>
        <v>1.3909090909090909</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7" t="str">
        <f>'Field data and Waste 1'!C4:D4</f>
        <v>Castell Malgwyn Farm, Llechryd, Cardigan, Ceredigion, SA43 2QB</v>
      </c>
      <c r="D4" s="128"/>
      <c r="E4" s="84" t="s">
        <v>1</v>
      </c>
      <c r="F4" s="86" t="s">
        <v>168</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7" t="str">
        <f>'Field data and Waste 1'!C5:D5</f>
        <v>Ethan Banfield</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Waste 1'!C8</f>
        <v>2</v>
      </c>
      <c r="D8" s="52">
        <f>'Field data and Waste 1'!D8</f>
        <v>3</v>
      </c>
      <c r="E8" s="52">
        <f>'Field data and Waste 1'!E8</f>
        <v>4</v>
      </c>
      <c r="F8" s="52">
        <f>'Field data and Waste 1'!F8</f>
        <v>10</v>
      </c>
      <c r="G8" s="52">
        <f>'Field data and Waste 1'!G8</f>
        <v>20</v>
      </c>
      <c r="H8" s="52">
        <f>'Field data and Waste 1'!H8</f>
        <v>7886</v>
      </c>
      <c r="I8" s="52">
        <f>'Field data and Waste 1'!I8</f>
        <v>8440</v>
      </c>
      <c r="J8" s="52">
        <f>'Field data and Waste 1'!J8</f>
        <v>8087</v>
      </c>
      <c r="K8" s="52">
        <f>'Field data and Waste 1'!K8</f>
        <v>8019</v>
      </c>
      <c r="L8" s="52">
        <f>'Field data and Waste 1'!L8</f>
        <v>234</v>
      </c>
      <c r="M8" s="52">
        <f>'Field data and Waste 1'!M8</f>
        <v>1735</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Waste 1'!C9</f>
        <v>Moderate</v>
      </c>
      <c r="D9" s="52" t="str">
        <f>'Field data and Waste 1'!D9</f>
        <v>Moderate</v>
      </c>
      <c r="E9" s="52" t="str">
        <f>'Field data and Waste 1'!E9</f>
        <v>Moderate</v>
      </c>
      <c r="F9" s="52">
        <f>'Field data and Waste 1'!F9</f>
        <v>1</v>
      </c>
      <c r="G9" s="52" t="str">
        <f>'Field data and Waste 1'!G9</f>
        <v>Moderate</v>
      </c>
      <c r="H9" s="52">
        <f>'Field data and Waste 1'!H9</f>
        <v>1</v>
      </c>
      <c r="I9" s="52" t="str">
        <f>'Field data and Waste 1'!I9</f>
        <v>Moderate</v>
      </c>
      <c r="J9" s="52" t="str">
        <f>'Field data and Waste 1'!J9</f>
        <v>Moderate</v>
      </c>
      <c r="K9" s="52" t="str">
        <f>'Field data and Waste 1'!K9</f>
        <v>Moderate</v>
      </c>
      <c r="L9" s="52" t="str">
        <f>'Field data and Waste 1'!L9</f>
        <v>Moderate</v>
      </c>
      <c r="M9" s="52" t="str">
        <f>'Field data and Waste 1'!M9</f>
        <v>Moderate</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Waste 1'!C10</f>
        <v>7</v>
      </c>
      <c r="D10" s="52">
        <f>'Field data and Waste 1'!D10</f>
        <v>6.4</v>
      </c>
      <c r="E10" s="52">
        <f>'Field data and Waste 1'!E10</f>
        <v>6.1</v>
      </c>
      <c r="F10" s="52">
        <f>'Field data and Waste 1'!F10</f>
        <v>6.7</v>
      </c>
      <c r="G10" s="52">
        <f>'Field data and Waste 1'!G10</f>
        <v>6.3</v>
      </c>
      <c r="H10" s="52">
        <f>'Field data and Waste 1'!H10</f>
        <v>6.6</v>
      </c>
      <c r="I10" s="52">
        <f>'Field data and Waste 1'!I10</f>
        <v>5.6</v>
      </c>
      <c r="J10" s="52">
        <f>'Field data and Waste 1'!J10</f>
        <v>6.2</v>
      </c>
      <c r="K10" s="52">
        <f>'Field data and Waste 1'!K10</f>
        <v>6.4</v>
      </c>
      <c r="L10" s="52">
        <f>'Field data and Waste 1'!L10</f>
        <v>6.2</v>
      </c>
      <c r="M10" s="52">
        <f>'Field data and Waste 1'!M10</f>
        <v>6.3</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Waste 1'!C11</f>
        <v>2</v>
      </c>
      <c r="D11" s="52">
        <f>'Field data and Waste 1'!D11</f>
        <v>2</v>
      </c>
      <c r="E11" s="52">
        <f>'Field data and Waste 1'!E11</f>
        <v>2</v>
      </c>
      <c r="F11" s="52">
        <f>'Field data and Waste 1'!F11</f>
        <v>3</v>
      </c>
      <c r="G11" s="52">
        <f>'Field data and Waste 1'!G11</f>
        <v>3</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Waste 1'!C12</f>
        <v>2</v>
      </c>
      <c r="D12" s="52">
        <f>'Field data and Waste 1'!D12</f>
        <v>2</v>
      </c>
      <c r="E12" s="52">
        <f>'Field data and Waste 1'!E12</f>
        <v>1</v>
      </c>
      <c r="F12" s="52">
        <f>'Field data and Waste 1'!F12</f>
        <v>2</v>
      </c>
      <c r="G12" s="52">
        <f>'Field data and Waste 1'!G12</f>
        <v>2</v>
      </c>
      <c r="H12" s="52">
        <f>'Field data and Waste 1'!H12</f>
        <v>2</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Waste 1'!C13</f>
        <v>2</v>
      </c>
      <c r="D13" s="52">
        <f>'Field data and Waste 1'!D13</f>
        <v>3</v>
      </c>
      <c r="E13" s="52">
        <f>'Field data and Waste 1'!E13</f>
        <v>3</v>
      </c>
      <c r="F13" s="52">
        <f>'Field data and Waste 1'!F13</f>
        <v>3</v>
      </c>
      <c r="G13" s="52">
        <f>'Field data and Waste 1'!G13</f>
        <v>2</v>
      </c>
      <c r="H13" s="52">
        <f>'Field data and Waste 1'!H13</f>
        <v>2</v>
      </c>
      <c r="I13" s="52">
        <f>'Field data and Waste 1'!I13</f>
        <v>3</v>
      </c>
      <c r="J13" s="52">
        <f>'Field data and Waste 1'!J13</f>
        <v>3</v>
      </c>
      <c r="K13" s="52">
        <f>'Field data and Waste 1'!K13</f>
        <v>3</v>
      </c>
      <c r="L13" s="52">
        <f>'Field data and Waste 1'!L13</f>
        <v>3</v>
      </c>
      <c r="M13" s="52">
        <f>'Field data and Waste 1'!M13</f>
        <v>3</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3" t="s">
        <v>8</v>
      </c>
      <c r="B14" s="123"/>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Spring wheat/barley</v>
      </c>
      <c r="G14" s="91" t="str">
        <f>'Field data and Waste 1'!G14</f>
        <v xml:space="preserve">Grass Silage (25% DM) </v>
      </c>
      <c r="H14" s="91" t="str">
        <f>'Field data and Waste 1'!H14</f>
        <v>Winter wheat- grain &amp; straw</v>
      </c>
      <c r="I14" s="91" t="str">
        <f>'Field data and Waste 1'!I14</f>
        <v xml:space="preserve">Grass Silage (25% DM) </v>
      </c>
      <c r="J14" s="91" t="str">
        <f>'Field data and Waste 1'!J14</f>
        <v xml:space="preserve">Grass Silage (25% DM) </v>
      </c>
      <c r="K14" s="91" t="str">
        <f>'Field data and Waste 1'!K14</f>
        <v xml:space="preserve">Grass Silage (25% DM) </v>
      </c>
      <c r="L14" s="91" t="str">
        <f>'Field data and Waste 1'!L14</f>
        <v xml:space="preserve">Grass Silage (25% DM) </v>
      </c>
      <c r="M14" s="91" t="str">
        <f>'Field data and Waste 1'!M14</f>
        <v xml:space="preserve">Grass Silage (25% DM) </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22" t="s">
        <v>9</v>
      </c>
      <c r="B15" s="122"/>
      <c r="C15" s="52">
        <f>'Field data and Waste 1'!C15</f>
        <v>38</v>
      </c>
      <c r="D15" s="52">
        <f>'Field data and Waste 1'!D15</f>
        <v>38</v>
      </c>
      <c r="E15" s="52">
        <f>'Field data and Waste 1'!E15</f>
        <v>38</v>
      </c>
      <c r="F15" s="52">
        <f>'Field data and Waste 1'!F15</f>
        <v>5.5</v>
      </c>
      <c r="G15" s="52">
        <f>'Field data and Waste 1'!G15</f>
        <v>38</v>
      </c>
      <c r="H15" s="52">
        <f>'Field data and Waste 1'!H15</f>
        <v>8</v>
      </c>
      <c r="I15" s="52">
        <f>'Field data and Waste 1'!I15</f>
        <v>38</v>
      </c>
      <c r="J15" s="52">
        <f>'Field data and Waste 1'!J15</f>
        <v>38</v>
      </c>
      <c r="K15" s="52">
        <f>'Field data and Waste 1'!K15</f>
        <v>38</v>
      </c>
      <c r="L15" s="52">
        <f>'Field data and Waste 1'!L15</f>
        <v>38</v>
      </c>
      <c r="M15" s="52">
        <f>'Field data and Waste 1'!M15</f>
        <v>38</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24" t="s">
        <v>44</v>
      </c>
      <c r="B16" s="124"/>
      <c r="C16" s="92" t="str">
        <f>'Field data and Waste 1'!C16</f>
        <v>Medium/Clay</v>
      </c>
      <c r="D16" s="92" t="str">
        <f>'Field data and Waste 1'!D16</f>
        <v>Medium/Clay</v>
      </c>
      <c r="E16" s="92" t="str">
        <f>'Field data and Waste 1'!E16</f>
        <v>Medium/Clay</v>
      </c>
      <c r="F16" s="92" t="str">
        <f>'Field data and Waste 1'!F16</f>
        <v>Medium/Clay</v>
      </c>
      <c r="G16" s="92" t="str">
        <f>'Field data and Waste 1'!G16</f>
        <v>Medium/Clay</v>
      </c>
      <c r="H16" s="92" t="str">
        <f>'Field data and Waste 1'!H16</f>
        <v>Medium/Clay</v>
      </c>
      <c r="I16" s="92" t="str">
        <f>'Field data and Waste 1'!I16</f>
        <v>Medium/Clay</v>
      </c>
      <c r="J16" s="92" t="str">
        <f>'Field data and Waste 1'!J16</f>
        <v>Medium/Clay</v>
      </c>
      <c r="K16" s="92" t="str">
        <f>'Field data and Waste 1'!K16</f>
        <v>Medium/Clay</v>
      </c>
      <c r="L16" s="92" t="str">
        <f>'Field data and Waste 1'!L16</f>
        <v>Medium/Clay</v>
      </c>
      <c r="M16" s="92" t="str">
        <f>'Field data and Waste 1'!M16</f>
        <v>Medium/Clay</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20" t="s">
        <v>69</v>
      </c>
      <c r="B17" s="121"/>
      <c r="C17" s="21">
        <f>(VLOOKUP(C$14,$AI2:$AK26,2,FALSE))*C$15</f>
        <v>64.599999999999994</v>
      </c>
      <c r="D17" s="21">
        <f t="shared" ref="D17:V17" si="0">(VLOOKUP(D$14,$AI2:$AK26,2,FALSE))*D$15</f>
        <v>64.599999999999994</v>
      </c>
      <c r="E17" s="21">
        <f t="shared" si="0"/>
        <v>64.599999999999994</v>
      </c>
      <c r="F17" s="21">
        <f t="shared" si="0"/>
        <v>46.75</v>
      </c>
      <c r="G17" s="21">
        <f t="shared" si="0"/>
        <v>64.599999999999994</v>
      </c>
      <c r="H17" s="21">
        <f t="shared" si="0"/>
        <v>56</v>
      </c>
      <c r="I17" s="21">
        <f t="shared" si="0"/>
        <v>64.599999999999994</v>
      </c>
      <c r="J17" s="21">
        <f t="shared" si="0"/>
        <v>64.599999999999994</v>
      </c>
      <c r="K17" s="21">
        <f t="shared" si="0"/>
        <v>64.599999999999994</v>
      </c>
      <c r="L17" s="21">
        <f t="shared" si="0"/>
        <v>64.599999999999994</v>
      </c>
      <c r="M17" s="21">
        <f t="shared" si="0"/>
        <v>64.599999999999994</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8" t="s">
        <v>23</v>
      </c>
      <c r="B18" s="119"/>
      <c r="C18" s="13">
        <f>$D31</f>
        <v>64.182365000000004</v>
      </c>
      <c r="D18" s="13">
        <f>$D32</f>
        <v>64.182365000000004</v>
      </c>
      <c r="E18" s="13">
        <f>$D33</f>
        <v>64.182365000000004</v>
      </c>
      <c r="F18" s="13">
        <f>$D34</f>
        <v>46.408787000000004</v>
      </c>
      <c r="G18" s="13">
        <f>$D35</f>
        <v>64.182365000000004</v>
      </c>
      <c r="H18" s="13">
        <f>$D36</f>
        <v>110.59115199999999</v>
      </c>
      <c r="I18" s="13">
        <f>$D37</f>
        <v>110.59115199999999</v>
      </c>
      <c r="J18" s="13">
        <f>$D38</f>
        <v>110.59115199999999</v>
      </c>
      <c r="K18" s="13">
        <f>$D39</f>
        <v>110.59115199999999</v>
      </c>
      <c r="L18" s="13">
        <f>$D40</f>
        <v>110.59115199999999</v>
      </c>
      <c r="M18" s="13">
        <f>$D41</f>
        <v>110.59115199999999</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8" t="s">
        <v>90</v>
      </c>
      <c r="B19" s="119"/>
      <c r="C19" s="13">
        <f>C18-C17</f>
        <v>-0.41763499999998999</v>
      </c>
      <c r="D19" s="13">
        <f t="shared" ref="D19:V19" si="1">D18-D17</f>
        <v>-0.41763499999998999</v>
      </c>
      <c r="E19" s="13">
        <f t="shared" si="1"/>
        <v>-0.41763499999998999</v>
      </c>
      <c r="F19" s="13">
        <f t="shared" si="1"/>
        <v>-0.34121299999999621</v>
      </c>
      <c r="G19" s="13">
        <f t="shared" si="1"/>
        <v>-0.41763499999998999</v>
      </c>
      <c r="H19" s="13">
        <f t="shared" si="1"/>
        <v>54.591151999999994</v>
      </c>
      <c r="I19" s="13">
        <f t="shared" si="1"/>
        <v>45.991152</v>
      </c>
      <c r="J19" s="13">
        <f t="shared" si="1"/>
        <v>45.991152</v>
      </c>
      <c r="K19" s="13">
        <f t="shared" si="1"/>
        <v>45.991152</v>
      </c>
      <c r="L19" s="13">
        <f t="shared" si="1"/>
        <v>45.991152</v>
      </c>
      <c r="M19" s="13">
        <f t="shared" si="1"/>
        <v>45.991152</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INCREASE</v>
      </c>
      <c r="I20" s="19" t="str">
        <f>IF($B37="","",IF(I$19&gt;=0,"INCREASE","DECREASE"))</f>
        <v>INCREASE</v>
      </c>
      <c r="J20" s="19" t="str">
        <f>IF($B38="","",IF(J$19&gt;=0,"INCREASE","DECREASE"))</f>
        <v>INCREASE</v>
      </c>
      <c r="K20" s="19" t="str">
        <f>IF($B39="","",IF(K$19&gt;=0,"INCREASE","DECREASE"))</f>
        <v>INCREASE</v>
      </c>
      <c r="L20" s="19" t="str">
        <f>IF($B40="","",IF(L$19&gt;=0,"INCREASE","DECREASE"))</f>
        <v>INCREASE</v>
      </c>
      <c r="M20" s="19" t="str">
        <f>IF($B41="","",IF(M$19&gt;=0,"INCREASE","DECREASE"))</f>
        <v>INCREASE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0" t="s">
        <v>88</v>
      </c>
      <c r="B21" s="121"/>
      <c r="C21" s="21">
        <f>(VLOOKUP(C$14,$AI2:$AK26,3,FALSE))*C$15</f>
        <v>228</v>
      </c>
      <c r="D21" s="21">
        <f t="shared" ref="D21:V21" si="2">(VLOOKUP(D$14,$AI2:$AK26,3,FALSE))*D$15</f>
        <v>228</v>
      </c>
      <c r="E21" s="21">
        <f t="shared" si="2"/>
        <v>228</v>
      </c>
      <c r="F21" s="21">
        <f t="shared" si="2"/>
        <v>66</v>
      </c>
      <c r="G21" s="21">
        <f t="shared" si="2"/>
        <v>228</v>
      </c>
      <c r="H21" s="21">
        <f t="shared" si="2"/>
        <v>84</v>
      </c>
      <c r="I21" s="21">
        <f t="shared" si="2"/>
        <v>228</v>
      </c>
      <c r="J21" s="21">
        <f t="shared" si="2"/>
        <v>228</v>
      </c>
      <c r="K21" s="21">
        <f t="shared" si="2"/>
        <v>228</v>
      </c>
      <c r="L21" s="21">
        <f t="shared" si="2"/>
        <v>228</v>
      </c>
      <c r="M21" s="21">
        <f t="shared" si="2"/>
        <v>228</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8" t="s">
        <v>89</v>
      </c>
      <c r="B22" s="119"/>
      <c r="C22" s="13">
        <f>$E31</f>
        <v>16.213275000000003</v>
      </c>
      <c r="D22" s="13">
        <f>$E32</f>
        <v>16.213275000000003</v>
      </c>
      <c r="E22" s="13">
        <f>$E33</f>
        <v>16.213275000000003</v>
      </c>
      <c r="F22" s="13">
        <f>$E34</f>
        <v>11.723445000000002</v>
      </c>
      <c r="G22" s="13">
        <f>$E35</f>
        <v>16.213275000000003</v>
      </c>
      <c r="H22" s="13">
        <f>$E36</f>
        <v>27.936720000000005</v>
      </c>
      <c r="I22" s="13">
        <f>$E37</f>
        <v>27.936720000000005</v>
      </c>
      <c r="J22" s="13">
        <f>$E38</f>
        <v>27.936720000000005</v>
      </c>
      <c r="K22" s="13">
        <f>$E39</f>
        <v>27.936720000000005</v>
      </c>
      <c r="L22" s="13">
        <f>$E40</f>
        <v>27.936720000000005</v>
      </c>
      <c r="M22" s="13">
        <f>$E41</f>
        <v>27.936720000000005</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8" t="s">
        <v>92</v>
      </c>
      <c r="B23" s="119"/>
      <c r="C23" s="13">
        <f>C22-C21</f>
        <v>-211.78672499999999</v>
      </c>
      <c r="D23" s="13">
        <f t="shared" ref="D23:V23" si="3">D22-D21</f>
        <v>-211.78672499999999</v>
      </c>
      <c r="E23" s="13">
        <f t="shared" si="3"/>
        <v>-211.78672499999999</v>
      </c>
      <c r="F23" s="13">
        <f t="shared" si="3"/>
        <v>-54.276555000000002</v>
      </c>
      <c r="G23" s="13">
        <f t="shared" si="3"/>
        <v>-211.78672499999999</v>
      </c>
      <c r="H23" s="13">
        <f t="shared" si="3"/>
        <v>-56.063279999999992</v>
      </c>
      <c r="I23" s="13">
        <f t="shared" si="3"/>
        <v>-200.06327999999999</v>
      </c>
      <c r="J23" s="13">
        <f t="shared" si="3"/>
        <v>-200.06327999999999</v>
      </c>
      <c r="K23" s="13">
        <f t="shared" si="3"/>
        <v>-200.06327999999999</v>
      </c>
      <c r="L23" s="13">
        <f t="shared" si="3"/>
        <v>-200.06327999999999</v>
      </c>
      <c r="M23" s="13">
        <f t="shared" si="3"/>
        <v>-200.06327999999999</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56</v>
      </c>
      <c r="D27" s="96" t="s">
        <v>54</v>
      </c>
      <c r="E27" s="96" t="s">
        <v>54</v>
      </c>
      <c r="F27" s="96" t="s">
        <v>54</v>
      </c>
      <c r="G27" s="96" t="s">
        <v>54</v>
      </c>
      <c r="H27" s="96" t="s">
        <v>54</v>
      </c>
      <c r="I27" s="96" t="s">
        <v>54</v>
      </c>
      <c r="J27" s="96" t="s">
        <v>54</v>
      </c>
      <c r="K27" s="96" t="s">
        <v>54</v>
      </c>
      <c r="L27" s="96" t="s">
        <v>54</v>
      </c>
      <c r="M27" s="96" t="s">
        <v>54</v>
      </c>
      <c r="N27" s="96" t="s">
        <v>54</v>
      </c>
      <c r="O27" s="96" t="s">
        <v>54</v>
      </c>
      <c r="P27" s="96" t="s">
        <v>54</v>
      </c>
      <c r="Q27" s="96" t="s">
        <v>54</v>
      </c>
      <c r="R27" s="96" t="s">
        <v>54</v>
      </c>
      <c r="S27" s="96" t="s">
        <v>54</v>
      </c>
      <c r="T27" s="96" t="s">
        <v>54</v>
      </c>
      <c r="U27" s="96" t="s">
        <v>54</v>
      </c>
    </row>
    <row r="28" spans="1:40" x14ac:dyDescent="0.25">
      <c r="A28" s="97"/>
      <c r="B28" s="17">
        <v>2.37</v>
      </c>
      <c r="C28" s="12">
        <v>0.22</v>
      </c>
      <c r="D28" s="12">
        <v>431</v>
      </c>
      <c r="E28" s="12">
        <v>207</v>
      </c>
      <c r="F28" s="12">
        <v>28.1</v>
      </c>
      <c r="G28" s="12">
        <v>0.2</v>
      </c>
      <c r="H28" s="12">
        <v>1.08</v>
      </c>
      <c r="I28" s="12">
        <v>0.5</v>
      </c>
      <c r="J28" s="12">
        <v>0.01</v>
      </c>
      <c r="K28" s="16">
        <v>0.05</v>
      </c>
      <c r="L28" s="12">
        <v>0.2</v>
      </c>
      <c r="M28" s="12">
        <v>0.2</v>
      </c>
      <c r="N28" s="12"/>
      <c r="O28" s="12"/>
      <c r="P28" s="12">
        <v>297</v>
      </c>
      <c r="Q28" s="12">
        <v>90.5</v>
      </c>
      <c r="R28" s="12"/>
      <c r="S28" s="12"/>
      <c r="T28" s="12"/>
      <c r="U28" s="12"/>
    </row>
    <row r="29" spans="1:40" s="7" customFormat="1" ht="27" x14ac:dyDescent="0.2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2</v>
      </c>
      <c r="B31" s="12">
        <v>65</v>
      </c>
      <c r="C31" s="68">
        <f>IF(C$27="%w/w SAR",((C$28*10)*$B31),IF(C$27="%w/w DM",(((C$28*10)*($B$28/100))*$B31),IF(C$27="kg/t SAR",(C$28*$B31),IF(C$27="kg/t DM",((C$28*($B$28/100))*$B31),IF(C$27="mg/kg SAR",((C$28*0.001)*$B31),IF(C$27="mg/kg DM",(((C$28*0.001)*($B$28/100))*$B31),0))))))</f>
        <v>143</v>
      </c>
      <c r="D31" s="68">
        <f>(IF(D$27="%w/w SAR",((D$28*10)*$B31),IF(D$27="%w/w DM",(((D$28*10)*($B$28/100))*$B31),IF(D$27="kg/t SAR",(D$28*$B31),IF(D$27="kg/t DM",((D$28*($B$28/100))*$B31),IF(D$27="mg/kg SAR",((D$28*0.001)*$B31),IF(D$27="mg/kg DM",(((D$28*0.001)*($B$28/100))*$B31),"0")))))))*2.291</f>
        <v>64.182365000000004</v>
      </c>
      <c r="E31" s="68">
        <f>(IF(E$27="%w/w SAR",((E$28*10)*$B31),IF(E$27="%w/w DM",(((E$28*10)*($B$28/100))*$B31),IF(E$27="kg/t SAR",(E$28*$B31),IF(E$27="kg/t DM",((E$28*($B$28/100))*$B31),IF(E$27="mg/kg SAR",((E$28*0.001)*$B31),IF(E$27="mg/kg DM",(((E$28*0.001)*($B$28/100))*$B31),"0")))))))*1.205</f>
        <v>16.213275000000003</v>
      </c>
      <c r="F31" s="68">
        <f>(IF(F$27="%w/w SAR",((F$28*10)*$B31),IF(F$27="%w/w DM",(((F$28*10)*($B$28/100))*$B31),IF(F$27="kg/t SAR",(F$28*$B31),IF(F$27="kg/t DM",((F$28*($B$28/100))*$B31),IF(F$27="mg/kg SAR",((F$28*0.001)*$B31),IF(F$27="mg/kg DM",(((F$28*0.001)*($B$28/100))*$B31),"0")))))))*1.658</f>
        <v>3.0283370000000001</v>
      </c>
      <c r="G31" s="68">
        <f t="shared" ref="G31:P46" si="5">IF(G$27="%w/w SAR",((G$28*10)*$B31),IF(G$27="%w/w DM",(((G$28*10)*($B$28/100))*$B31),IF(G$27="kg/t SAR",(G$28*$B31),IF(G$27="kg/t DM",((G$28*($B$28/100))*$B31),IF(G$27="mg/kg SAR",((G$28*0.001)*$B31),IF(G$27="mg/kg DM",(((G$28*0.001)*($B$28/100))*$B31),0))))))</f>
        <v>1.3000000000000001E-2</v>
      </c>
      <c r="H31" s="68">
        <f t="shared" si="5"/>
        <v>7.0199999999999999E-2</v>
      </c>
      <c r="I31" s="68">
        <f t="shared" si="5"/>
        <v>3.2500000000000001E-2</v>
      </c>
      <c r="J31" s="68">
        <f t="shared" si="5"/>
        <v>6.5000000000000008E-4</v>
      </c>
      <c r="K31" s="68">
        <f t="shared" si="5"/>
        <v>3.2500000000000003E-3</v>
      </c>
      <c r="L31" s="68">
        <f t="shared" si="5"/>
        <v>1.3000000000000001E-2</v>
      </c>
      <c r="M31" s="68">
        <f t="shared" si="5"/>
        <v>1.3000000000000001E-2</v>
      </c>
      <c r="N31" s="68">
        <f t="shared" si="5"/>
        <v>0</v>
      </c>
      <c r="O31" s="68">
        <f t="shared" si="5"/>
        <v>0</v>
      </c>
      <c r="P31" s="68">
        <f t="shared" si="5"/>
        <v>19.305</v>
      </c>
      <c r="Q31" s="68">
        <f>(IF(Q$27="%w/w SAR",((Q$28*10)*$B31),IF(Q$27="%w/w DM",(((Q$28*10)*($B$28/100))*$B31),IF(Q$27="kg/t SAR",(Q$28*$B31),IF(Q$27="kg/t DM",((Q$28*($B$28/100))*$B31),IF(Q$27="mg/kg SAR",((Q$28*0.001)*$B31),IF(Q$27="mg/kg DM",(((Q$28*0.001)*($B$28/100))*$B31),0)))))))*2.5</f>
        <v>14.706249999999999</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3</v>
      </c>
      <c r="B32" s="12">
        <v>65</v>
      </c>
      <c r="C32" s="68">
        <f t="shared" ref="C32:C50" si="6">IF(C$27="%w/w SAR",((C$28*10)*$B32),IF(C$27="%w/w DM",(((C$28*10)*($B$28/100))*$B32),IF(C$27="kg/t SAR",(C$28*$B32),IF(C$27="kg/t DM",((C$28*($B$28/100))*$B32),IF(C$27="mg/kg SAR",((C$28*0.001)*$B32),IF(C$27="mg/kg DM",(((C$28*0.001)*($B$28/100))*$B32),0))))))</f>
        <v>143</v>
      </c>
      <c r="D32" s="68">
        <f t="shared" ref="D32:D50" si="7">(IF(D$27="%w/w SAR",((D$28*10)*$B32),IF(D$27="%w/w DM",(((D$28*10)*($B$28/100))*$B32),IF(D$27="kg/t SAR",(D$28*$B32),IF(D$27="kg/t DM",((D$28*($B$28/100))*$B32),IF(D$27="mg/kg SAR",((D$28*0.001)*$B32),IF(D$27="mg/kg DM",(((D$28*0.001)*($B$28/100))*$B32),"0")))))))*2.291</f>
        <v>64.182365000000004</v>
      </c>
      <c r="E32" s="68">
        <f t="shared" ref="E32:E50" si="8">(IF(E$27="%w/w SAR",((E$28*10)*$B32),IF(E$27="%w/w DM",(((E$28*10)*($B$28/100))*$B32),IF(E$27="kg/t SAR",(E$28*$B32),IF(E$27="kg/t DM",((E$28*($B$28/100))*$B32),IF(E$27="mg/kg SAR",((E$28*0.001)*$B32),IF(E$27="mg/kg DM",(((E$28*0.001)*($B$28/100))*$B32),"0")))))))*1.205</f>
        <v>16.213275000000003</v>
      </c>
      <c r="F32" s="68">
        <f t="shared" ref="F32:F50" si="9">(IF(F$27="%w/w SAR",((F$28*10)*$B32),IF(F$27="%w/w DM",(((F$28*10)*($B$28/100))*$B32),IF(F$27="kg/t SAR",(F$28*$B32),IF(F$27="kg/t DM",((F$28*($B$28/100))*$B32),IF(F$27="mg/kg SAR",((F$28*0.001)*$B32),IF(F$27="mg/kg DM",(((F$28*0.001)*($B$28/100))*$B32),"0")))))))*1.658</f>
        <v>3.0283370000000001</v>
      </c>
      <c r="G32" s="68">
        <f t="shared" si="5"/>
        <v>1.3000000000000001E-2</v>
      </c>
      <c r="H32" s="68">
        <f t="shared" si="5"/>
        <v>7.0199999999999999E-2</v>
      </c>
      <c r="I32" s="68">
        <f t="shared" si="5"/>
        <v>3.2500000000000001E-2</v>
      </c>
      <c r="J32" s="68">
        <f t="shared" si="5"/>
        <v>6.5000000000000008E-4</v>
      </c>
      <c r="K32" s="68">
        <f t="shared" si="5"/>
        <v>3.2500000000000003E-3</v>
      </c>
      <c r="L32" s="68">
        <f t="shared" si="5"/>
        <v>1.3000000000000001E-2</v>
      </c>
      <c r="M32" s="68">
        <f t="shared" si="5"/>
        <v>1.3000000000000001E-2</v>
      </c>
      <c r="N32" s="68">
        <f t="shared" si="5"/>
        <v>0</v>
      </c>
      <c r="O32" s="68">
        <f t="shared" si="5"/>
        <v>0</v>
      </c>
      <c r="P32" s="68">
        <f t="shared" si="5"/>
        <v>19.305</v>
      </c>
      <c r="Q32" s="68">
        <f t="shared" ref="Q32:Q50" si="10">(IF(Q$27="%w/w SAR",((Q$28*10)*$B32),IF(Q$27="%w/w DM",(((Q$28*10)*($B$28/100))*$B32),IF(Q$27="kg/t SAR",(Q$28*$B32),IF(Q$27="kg/t DM",((Q$28*($B$28/100))*$B32),IF(Q$27="mg/kg SAR",((Q$28*0.001)*$B32),IF(Q$27="mg/kg DM",(((Q$28*0.001)*($B$28/100))*$B32),0)))))))*2.5</f>
        <v>14.706249999999999</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f>E8</f>
        <v>4</v>
      </c>
      <c r="B33" s="12">
        <v>65</v>
      </c>
      <c r="C33" s="68">
        <f t="shared" si="6"/>
        <v>143</v>
      </c>
      <c r="D33" s="68">
        <f t="shared" si="7"/>
        <v>64.182365000000004</v>
      </c>
      <c r="E33" s="68">
        <f t="shared" si="8"/>
        <v>16.213275000000003</v>
      </c>
      <c r="F33" s="68">
        <f t="shared" si="9"/>
        <v>3.0283370000000001</v>
      </c>
      <c r="G33" s="68">
        <f t="shared" si="5"/>
        <v>1.3000000000000001E-2</v>
      </c>
      <c r="H33" s="68">
        <f t="shared" si="5"/>
        <v>7.0199999999999999E-2</v>
      </c>
      <c r="I33" s="68">
        <f t="shared" si="5"/>
        <v>3.2500000000000001E-2</v>
      </c>
      <c r="J33" s="68">
        <f t="shared" si="5"/>
        <v>6.5000000000000008E-4</v>
      </c>
      <c r="K33" s="68">
        <f t="shared" si="5"/>
        <v>3.2500000000000003E-3</v>
      </c>
      <c r="L33" s="68">
        <f t="shared" si="5"/>
        <v>1.3000000000000001E-2</v>
      </c>
      <c r="M33" s="68">
        <f t="shared" si="5"/>
        <v>1.3000000000000001E-2</v>
      </c>
      <c r="N33" s="68">
        <f t="shared" si="5"/>
        <v>0</v>
      </c>
      <c r="O33" s="68">
        <f t="shared" si="5"/>
        <v>0</v>
      </c>
      <c r="P33" s="68">
        <f t="shared" si="5"/>
        <v>19.305</v>
      </c>
      <c r="Q33" s="68">
        <f t="shared" si="10"/>
        <v>14.706249999999999</v>
      </c>
      <c r="R33" s="68">
        <f t="shared" si="11"/>
        <v>0</v>
      </c>
      <c r="S33" s="68">
        <f t="shared" si="11"/>
        <v>0</v>
      </c>
      <c r="T33" s="68">
        <f t="shared" si="11"/>
        <v>0</v>
      </c>
      <c r="U33" s="68">
        <f t="shared" si="11"/>
        <v>0</v>
      </c>
    </row>
    <row r="34" spans="1:21" s="51" customFormat="1" x14ac:dyDescent="0.25">
      <c r="A34" s="10">
        <f>F8</f>
        <v>10</v>
      </c>
      <c r="B34" s="12">
        <v>47</v>
      </c>
      <c r="C34" s="68">
        <f t="shared" si="6"/>
        <v>103.4</v>
      </c>
      <c r="D34" s="68">
        <f t="shared" si="7"/>
        <v>46.408787000000004</v>
      </c>
      <c r="E34" s="68">
        <f t="shared" si="8"/>
        <v>11.723445000000002</v>
      </c>
      <c r="F34" s="68">
        <f t="shared" si="9"/>
        <v>2.1897206000000002</v>
      </c>
      <c r="G34" s="68">
        <f t="shared" si="5"/>
        <v>9.4000000000000004E-3</v>
      </c>
      <c r="H34" s="68">
        <f t="shared" si="5"/>
        <v>5.076E-2</v>
      </c>
      <c r="I34" s="68">
        <f t="shared" si="5"/>
        <v>2.35E-2</v>
      </c>
      <c r="J34" s="68">
        <f t="shared" si="5"/>
        <v>4.7000000000000004E-4</v>
      </c>
      <c r="K34" s="68">
        <f t="shared" si="5"/>
        <v>2.3500000000000001E-3</v>
      </c>
      <c r="L34" s="68">
        <f t="shared" si="5"/>
        <v>9.4000000000000004E-3</v>
      </c>
      <c r="M34" s="68">
        <f t="shared" si="5"/>
        <v>9.4000000000000004E-3</v>
      </c>
      <c r="N34" s="68">
        <f t="shared" si="5"/>
        <v>0</v>
      </c>
      <c r="O34" s="68">
        <f t="shared" si="5"/>
        <v>0</v>
      </c>
      <c r="P34" s="68">
        <f t="shared" si="5"/>
        <v>13.959</v>
      </c>
      <c r="Q34" s="68">
        <f t="shared" si="10"/>
        <v>10.633749999999999</v>
      </c>
      <c r="R34" s="68">
        <f t="shared" si="11"/>
        <v>0</v>
      </c>
      <c r="S34" s="68">
        <f t="shared" si="11"/>
        <v>0</v>
      </c>
      <c r="T34" s="68">
        <f t="shared" si="11"/>
        <v>0</v>
      </c>
      <c r="U34" s="68">
        <f t="shared" si="11"/>
        <v>0</v>
      </c>
    </row>
    <row r="35" spans="1:21" s="51" customFormat="1" x14ac:dyDescent="0.25">
      <c r="A35" s="10">
        <f>G8</f>
        <v>20</v>
      </c>
      <c r="B35" s="12">
        <v>65</v>
      </c>
      <c r="C35" s="68">
        <f t="shared" si="6"/>
        <v>143</v>
      </c>
      <c r="D35" s="68">
        <f t="shared" si="7"/>
        <v>64.182365000000004</v>
      </c>
      <c r="E35" s="68">
        <f t="shared" si="8"/>
        <v>16.213275000000003</v>
      </c>
      <c r="F35" s="68">
        <f t="shared" si="9"/>
        <v>3.0283370000000001</v>
      </c>
      <c r="G35" s="68">
        <f t="shared" si="5"/>
        <v>1.3000000000000001E-2</v>
      </c>
      <c r="H35" s="68">
        <f t="shared" si="5"/>
        <v>7.0199999999999999E-2</v>
      </c>
      <c r="I35" s="68">
        <f t="shared" si="5"/>
        <v>3.2500000000000001E-2</v>
      </c>
      <c r="J35" s="68">
        <f t="shared" si="5"/>
        <v>6.5000000000000008E-4</v>
      </c>
      <c r="K35" s="68">
        <f t="shared" si="5"/>
        <v>3.2500000000000003E-3</v>
      </c>
      <c r="L35" s="68">
        <f t="shared" si="5"/>
        <v>1.3000000000000001E-2</v>
      </c>
      <c r="M35" s="68">
        <f t="shared" si="5"/>
        <v>1.3000000000000001E-2</v>
      </c>
      <c r="N35" s="68">
        <f t="shared" si="5"/>
        <v>0</v>
      </c>
      <c r="O35" s="68">
        <f t="shared" si="5"/>
        <v>0</v>
      </c>
      <c r="P35" s="68">
        <f t="shared" si="5"/>
        <v>19.305</v>
      </c>
      <c r="Q35" s="68">
        <f t="shared" si="10"/>
        <v>14.706249999999999</v>
      </c>
      <c r="R35" s="68">
        <f t="shared" si="11"/>
        <v>0</v>
      </c>
      <c r="S35" s="68">
        <f t="shared" si="11"/>
        <v>0</v>
      </c>
      <c r="T35" s="68">
        <f t="shared" si="11"/>
        <v>0</v>
      </c>
      <c r="U35" s="68">
        <f t="shared" si="11"/>
        <v>0</v>
      </c>
    </row>
    <row r="36" spans="1:21" s="51" customFormat="1" x14ac:dyDescent="0.25">
      <c r="A36" s="10">
        <f>H8</f>
        <v>7886</v>
      </c>
      <c r="B36" s="12">
        <v>112</v>
      </c>
      <c r="C36" s="68">
        <f t="shared" si="6"/>
        <v>246.40000000000003</v>
      </c>
      <c r="D36" s="68">
        <f t="shared" si="7"/>
        <v>110.59115199999999</v>
      </c>
      <c r="E36" s="68">
        <f t="shared" si="8"/>
        <v>27.936720000000005</v>
      </c>
      <c r="F36" s="68">
        <f t="shared" si="9"/>
        <v>5.2180575999999999</v>
      </c>
      <c r="G36" s="68">
        <f t="shared" si="5"/>
        <v>2.24E-2</v>
      </c>
      <c r="H36" s="68">
        <f t="shared" si="5"/>
        <v>0.12096</v>
      </c>
      <c r="I36" s="68">
        <f t="shared" si="5"/>
        <v>5.6000000000000001E-2</v>
      </c>
      <c r="J36" s="68">
        <f t="shared" si="5"/>
        <v>1.1200000000000001E-3</v>
      </c>
      <c r="K36" s="68">
        <f t="shared" si="5"/>
        <v>5.5999999999999999E-3</v>
      </c>
      <c r="L36" s="68">
        <f t="shared" si="5"/>
        <v>2.24E-2</v>
      </c>
      <c r="M36" s="68">
        <f t="shared" si="5"/>
        <v>2.24E-2</v>
      </c>
      <c r="N36" s="68">
        <f t="shared" si="5"/>
        <v>0</v>
      </c>
      <c r="O36" s="68">
        <f t="shared" si="5"/>
        <v>0</v>
      </c>
      <c r="P36" s="68">
        <f t="shared" si="5"/>
        <v>33.263999999999996</v>
      </c>
      <c r="Q36" s="68">
        <f t="shared" si="10"/>
        <v>25.339999999999996</v>
      </c>
      <c r="R36" s="68">
        <f t="shared" si="11"/>
        <v>0</v>
      </c>
      <c r="S36" s="68">
        <f t="shared" si="11"/>
        <v>0</v>
      </c>
      <c r="T36" s="68">
        <f t="shared" si="11"/>
        <v>0</v>
      </c>
      <c r="U36" s="68">
        <f t="shared" si="11"/>
        <v>0</v>
      </c>
    </row>
    <row r="37" spans="1:21" s="51" customFormat="1" x14ac:dyDescent="0.25">
      <c r="A37" s="10">
        <f>I8</f>
        <v>8440</v>
      </c>
      <c r="B37" s="12">
        <v>112</v>
      </c>
      <c r="C37" s="68">
        <f t="shared" si="6"/>
        <v>246.40000000000003</v>
      </c>
      <c r="D37" s="68">
        <f t="shared" si="7"/>
        <v>110.59115199999999</v>
      </c>
      <c r="E37" s="68">
        <f t="shared" si="8"/>
        <v>27.936720000000005</v>
      </c>
      <c r="F37" s="68">
        <f t="shared" si="9"/>
        <v>5.2180575999999999</v>
      </c>
      <c r="G37" s="68">
        <f t="shared" si="5"/>
        <v>2.24E-2</v>
      </c>
      <c r="H37" s="68">
        <f t="shared" si="5"/>
        <v>0.12096</v>
      </c>
      <c r="I37" s="68">
        <f t="shared" si="5"/>
        <v>5.6000000000000001E-2</v>
      </c>
      <c r="J37" s="68">
        <f t="shared" si="5"/>
        <v>1.1200000000000001E-3</v>
      </c>
      <c r="K37" s="68">
        <f t="shared" si="5"/>
        <v>5.5999999999999999E-3</v>
      </c>
      <c r="L37" s="68">
        <f t="shared" si="5"/>
        <v>2.24E-2</v>
      </c>
      <c r="M37" s="68">
        <f t="shared" si="5"/>
        <v>2.24E-2</v>
      </c>
      <c r="N37" s="68">
        <f t="shared" si="5"/>
        <v>0</v>
      </c>
      <c r="O37" s="68">
        <f t="shared" si="5"/>
        <v>0</v>
      </c>
      <c r="P37" s="68">
        <f t="shared" si="5"/>
        <v>33.263999999999996</v>
      </c>
      <c r="Q37" s="68">
        <f t="shared" si="10"/>
        <v>25.339999999999996</v>
      </c>
      <c r="R37" s="68">
        <f t="shared" si="11"/>
        <v>0</v>
      </c>
      <c r="S37" s="68">
        <f t="shared" si="11"/>
        <v>0</v>
      </c>
      <c r="T37" s="68">
        <f t="shared" si="11"/>
        <v>0</v>
      </c>
      <c r="U37" s="68">
        <f t="shared" si="11"/>
        <v>0</v>
      </c>
    </row>
    <row r="38" spans="1:21" s="51" customFormat="1" x14ac:dyDescent="0.25">
      <c r="A38" s="10">
        <f>J8</f>
        <v>8087</v>
      </c>
      <c r="B38" s="12">
        <v>112</v>
      </c>
      <c r="C38" s="68">
        <f t="shared" si="6"/>
        <v>246.40000000000003</v>
      </c>
      <c r="D38" s="68">
        <f t="shared" si="7"/>
        <v>110.59115199999999</v>
      </c>
      <c r="E38" s="68">
        <f t="shared" si="8"/>
        <v>27.936720000000005</v>
      </c>
      <c r="F38" s="68">
        <f t="shared" si="9"/>
        <v>5.2180575999999999</v>
      </c>
      <c r="G38" s="68">
        <f t="shared" si="5"/>
        <v>2.24E-2</v>
      </c>
      <c r="H38" s="68">
        <f t="shared" si="5"/>
        <v>0.12096</v>
      </c>
      <c r="I38" s="68">
        <f t="shared" si="5"/>
        <v>5.6000000000000001E-2</v>
      </c>
      <c r="J38" s="68">
        <f t="shared" si="5"/>
        <v>1.1200000000000001E-3</v>
      </c>
      <c r="K38" s="68">
        <f t="shared" si="5"/>
        <v>5.5999999999999999E-3</v>
      </c>
      <c r="L38" s="68">
        <f t="shared" si="5"/>
        <v>2.24E-2</v>
      </c>
      <c r="M38" s="68">
        <f t="shared" si="5"/>
        <v>2.24E-2</v>
      </c>
      <c r="N38" s="68">
        <f t="shared" si="5"/>
        <v>0</v>
      </c>
      <c r="O38" s="68">
        <f t="shared" si="5"/>
        <v>0</v>
      </c>
      <c r="P38" s="68">
        <f t="shared" si="5"/>
        <v>33.263999999999996</v>
      </c>
      <c r="Q38" s="68">
        <f t="shared" si="10"/>
        <v>25.339999999999996</v>
      </c>
      <c r="R38" s="68">
        <f t="shared" si="11"/>
        <v>0</v>
      </c>
      <c r="S38" s="68">
        <f t="shared" si="11"/>
        <v>0</v>
      </c>
      <c r="T38" s="68">
        <f t="shared" si="11"/>
        <v>0</v>
      </c>
      <c r="U38" s="68">
        <f t="shared" si="11"/>
        <v>0</v>
      </c>
    </row>
    <row r="39" spans="1:21" s="51" customFormat="1" x14ac:dyDescent="0.25">
      <c r="A39" s="10">
        <f>K8</f>
        <v>8019</v>
      </c>
      <c r="B39" s="12">
        <v>112</v>
      </c>
      <c r="C39" s="68">
        <f t="shared" si="6"/>
        <v>246.40000000000003</v>
      </c>
      <c r="D39" s="68">
        <f t="shared" si="7"/>
        <v>110.59115199999999</v>
      </c>
      <c r="E39" s="68">
        <f t="shared" si="8"/>
        <v>27.936720000000005</v>
      </c>
      <c r="F39" s="68">
        <f t="shared" si="9"/>
        <v>5.2180575999999999</v>
      </c>
      <c r="G39" s="68">
        <f t="shared" si="5"/>
        <v>2.24E-2</v>
      </c>
      <c r="H39" s="68">
        <f t="shared" si="5"/>
        <v>0.12096</v>
      </c>
      <c r="I39" s="68">
        <f t="shared" si="5"/>
        <v>5.6000000000000001E-2</v>
      </c>
      <c r="J39" s="68">
        <f t="shared" si="5"/>
        <v>1.1200000000000001E-3</v>
      </c>
      <c r="K39" s="68">
        <f t="shared" si="5"/>
        <v>5.5999999999999999E-3</v>
      </c>
      <c r="L39" s="68">
        <f t="shared" si="5"/>
        <v>2.24E-2</v>
      </c>
      <c r="M39" s="68">
        <f t="shared" si="5"/>
        <v>2.24E-2</v>
      </c>
      <c r="N39" s="68">
        <f t="shared" si="5"/>
        <v>0</v>
      </c>
      <c r="O39" s="68">
        <f t="shared" si="5"/>
        <v>0</v>
      </c>
      <c r="P39" s="68">
        <f t="shared" si="5"/>
        <v>33.263999999999996</v>
      </c>
      <c r="Q39" s="68">
        <f t="shared" si="10"/>
        <v>25.339999999999996</v>
      </c>
      <c r="R39" s="68">
        <f t="shared" si="11"/>
        <v>0</v>
      </c>
      <c r="S39" s="68">
        <f t="shared" si="11"/>
        <v>0</v>
      </c>
      <c r="T39" s="68">
        <f t="shared" si="11"/>
        <v>0</v>
      </c>
      <c r="U39" s="68">
        <f t="shared" si="11"/>
        <v>0</v>
      </c>
    </row>
    <row r="40" spans="1:21" s="51" customFormat="1" x14ac:dyDescent="0.25">
      <c r="A40" s="10">
        <f>L8</f>
        <v>234</v>
      </c>
      <c r="B40" s="12">
        <v>112</v>
      </c>
      <c r="C40" s="68">
        <f t="shared" si="6"/>
        <v>246.40000000000003</v>
      </c>
      <c r="D40" s="68">
        <f t="shared" si="7"/>
        <v>110.59115199999999</v>
      </c>
      <c r="E40" s="68">
        <f t="shared" si="8"/>
        <v>27.936720000000005</v>
      </c>
      <c r="F40" s="68">
        <f t="shared" si="9"/>
        <v>5.2180575999999999</v>
      </c>
      <c r="G40" s="68">
        <f t="shared" si="5"/>
        <v>2.24E-2</v>
      </c>
      <c r="H40" s="68">
        <f t="shared" si="5"/>
        <v>0.12096</v>
      </c>
      <c r="I40" s="68">
        <f t="shared" si="5"/>
        <v>5.6000000000000001E-2</v>
      </c>
      <c r="J40" s="68">
        <f t="shared" si="5"/>
        <v>1.1200000000000001E-3</v>
      </c>
      <c r="K40" s="68">
        <f t="shared" si="5"/>
        <v>5.5999999999999999E-3</v>
      </c>
      <c r="L40" s="68">
        <f t="shared" si="5"/>
        <v>2.24E-2</v>
      </c>
      <c r="M40" s="68">
        <f t="shared" si="5"/>
        <v>2.24E-2</v>
      </c>
      <c r="N40" s="68">
        <f t="shared" si="5"/>
        <v>0</v>
      </c>
      <c r="O40" s="68">
        <f t="shared" si="5"/>
        <v>0</v>
      </c>
      <c r="P40" s="68">
        <f t="shared" si="5"/>
        <v>33.263999999999996</v>
      </c>
      <c r="Q40" s="68">
        <f t="shared" si="10"/>
        <v>25.339999999999996</v>
      </c>
      <c r="R40" s="68">
        <f t="shared" si="11"/>
        <v>0</v>
      </c>
      <c r="S40" s="68">
        <f t="shared" si="11"/>
        <v>0</v>
      </c>
      <c r="T40" s="68">
        <f t="shared" si="11"/>
        <v>0</v>
      </c>
      <c r="U40" s="68">
        <f t="shared" si="11"/>
        <v>0</v>
      </c>
    </row>
    <row r="41" spans="1:21" s="51" customFormat="1" x14ac:dyDescent="0.25">
      <c r="A41" s="10">
        <f>M8</f>
        <v>1735</v>
      </c>
      <c r="B41" s="12">
        <v>112</v>
      </c>
      <c r="C41" s="68">
        <f t="shared" si="6"/>
        <v>246.40000000000003</v>
      </c>
      <c r="D41" s="68">
        <f t="shared" si="7"/>
        <v>110.59115199999999</v>
      </c>
      <c r="E41" s="68">
        <f t="shared" si="8"/>
        <v>27.936720000000005</v>
      </c>
      <c r="F41" s="68">
        <f t="shared" si="9"/>
        <v>5.2180575999999999</v>
      </c>
      <c r="G41" s="68">
        <f t="shared" si="5"/>
        <v>2.24E-2</v>
      </c>
      <c r="H41" s="68">
        <f t="shared" si="5"/>
        <v>0.12096</v>
      </c>
      <c r="I41" s="68">
        <f t="shared" si="5"/>
        <v>5.6000000000000001E-2</v>
      </c>
      <c r="J41" s="68">
        <f t="shared" si="5"/>
        <v>1.1200000000000001E-3</v>
      </c>
      <c r="K41" s="68">
        <f t="shared" si="5"/>
        <v>5.5999999999999999E-3</v>
      </c>
      <c r="L41" s="68">
        <f t="shared" si="5"/>
        <v>2.24E-2</v>
      </c>
      <c r="M41" s="68">
        <f t="shared" si="5"/>
        <v>2.24E-2</v>
      </c>
      <c r="N41" s="68">
        <f t="shared" si="5"/>
        <v>0</v>
      </c>
      <c r="O41" s="68">
        <f t="shared" si="5"/>
        <v>0</v>
      </c>
      <c r="P41" s="68">
        <f t="shared" si="5"/>
        <v>33.263999999999996</v>
      </c>
      <c r="Q41" s="68">
        <f t="shared" si="10"/>
        <v>25.339999999999996</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2</v>
      </c>
      <c r="C57" s="8">
        <f t="shared" ref="C57:U57" si="13">D8</f>
        <v>3</v>
      </c>
      <c r="D57" s="8">
        <f t="shared" si="13"/>
        <v>4</v>
      </c>
      <c r="E57" s="8">
        <f t="shared" si="13"/>
        <v>10</v>
      </c>
      <c r="F57" s="8">
        <f t="shared" si="13"/>
        <v>20</v>
      </c>
      <c r="G57" s="8">
        <f t="shared" si="13"/>
        <v>7886</v>
      </c>
      <c r="H57" s="8">
        <f t="shared" si="13"/>
        <v>8440</v>
      </c>
      <c r="I57" s="8">
        <f t="shared" si="13"/>
        <v>8087</v>
      </c>
      <c r="J57" s="8">
        <f t="shared" si="13"/>
        <v>8019</v>
      </c>
      <c r="K57" s="8">
        <f t="shared" si="13"/>
        <v>234</v>
      </c>
      <c r="L57" s="8">
        <f t="shared" si="13"/>
        <v>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Arable</v>
      </c>
      <c r="F58" s="10" t="str">
        <f>G16&amp;" I "&amp;(VLOOKUP(G14,Table245[],6,FALSE))</f>
        <v>Medium/Clay I Grass</v>
      </c>
      <c r="G58" s="10" t="str">
        <f>H16&amp;" I "&amp;(VLOOKUP(H14,Table245[],6,FALSE))</f>
        <v>Medium/Clay I Arable</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100" t="s">
        <v>132</v>
      </c>
      <c r="B59" s="67">
        <f>VLOOKUP(C$14,Table245[],5,FALSE)</f>
        <v>6.2</v>
      </c>
      <c r="C59" s="67">
        <f>VLOOKUP(D$14,Table245[],5,FALSE)</f>
        <v>6.2</v>
      </c>
      <c r="D59" s="67">
        <f>VLOOKUP(E$14,Table245[],5,FALSE)</f>
        <v>6.2</v>
      </c>
      <c r="E59" s="67">
        <f>VLOOKUP(F$14,Table245[],5,FALSE)</f>
        <v>6.7</v>
      </c>
      <c r="F59" s="67">
        <f>VLOOKUP(G$14,Table245[],5,FALSE)</f>
        <v>6.2</v>
      </c>
      <c r="G59" s="67">
        <f>VLOOKUP(H$14,Table245[],5,FALSE)</f>
        <v>6.7</v>
      </c>
      <c r="H59" s="67">
        <f>VLOOKUP(I$14,Table245[],5,FALSE)</f>
        <v>6.2</v>
      </c>
      <c r="I59" s="67">
        <f>VLOOKUP(J$14,Table245[],5,FALSE)</f>
        <v>6.2</v>
      </c>
      <c r="J59" s="67">
        <f>VLOOKUP(K$14,Table245[],5,FALSE)</f>
        <v>6.2</v>
      </c>
      <c r="K59" s="67">
        <f>VLOOKUP(L$14,Table245[],5,FALSE)</f>
        <v>6.2</v>
      </c>
      <c r="L59" s="67">
        <f>VLOOKUP(M$14,Table245[],5,FALSE)</f>
        <v>6.2</v>
      </c>
      <c r="M59" s="67" t="e">
        <f>VLOOKUP(N$14,Table245[],5,FALSE)</f>
        <v>#N/A</v>
      </c>
      <c r="N59" s="67" t="e">
        <f>VLOOKUP(O$14,Table245[],5,FALSE)</f>
        <v>#N/A</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x14ac:dyDescent="0.2">
      <c r="A60" s="100" t="s">
        <v>4</v>
      </c>
      <c r="B60" s="67">
        <f>C10</f>
        <v>7</v>
      </c>
      <c r="C60" s="67">
        <f t="shared" ref="C60:U60" si="14">D10</f>
        <v>6.4</v>
      </c>
      <c r="D60" s="67">
        <f t="shared" si="14"/>
        <v>6.1</v>
      </c>
      <c r="E60" s="67">
        <f t="shared" si="14"/>
        <v>6.7</v>
      </c>
      <c r="F60" s="67">
        <f t="shared" si="14"/>
        <v>6.3</v>
      </c>
      <c r="G60" s="67">
        <f t="shared" si="14"/>
        <v>6.6</v>
      </c>
      <c r="H60" s="67">
        <f t="shared" si="14"/>
        <v>5.6</v>
      </c>
      <c r="I60" s="67">
        <f t="shared" si="14"/>
        <v>6.2</v>
      </c>
      <c r="J60" s="67">
        <f t="shared" si="14"/>
        <v>6.4</v>
      </c>
      <c r="K60" s="67">
        <f t="shared" si="14"/>
        <v>6.2</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8</v>
      </c>
      <c r="F61" s="67">
        <f t="shared" si="15"/>
        <v>6</v>
      </c>
      <c r="G61" s="67">
        <f t="shared" si="15"/>
        <v>8</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65</v>
      </c>
      <c r="C62" s="68">
        <f>B32</f>
        <v>65</v>
      </c>
      <c r="D62" s="68">
        <f>B33</f>
        <v>65</v>
      </c>
      <c r="E62" s="68">
        <f>B34</f>
        <v>47</v>
      </c>
      <c r="F62" s="68">
        <f>B35</f>
        <v>65</v>
      </c>
      <c r="G62" s="68">
        <f>B36</f>
        <v>112</v>
      </c>
      <c r="H62" s="68">
        <f>B37</f>
        <v>112</v>
      </c>
      <c r="I62" s="68">
        <f>B38</f>
        <v>112</v>
      </c>
      <c r="J62" s="68">
        <f>B39</f>
        <v>112</v>
      </c>
      <c r="K62" s="68">
        <f>B40</f>
        <v>112</v>
      </c>
      <c r="L62" s="68">
        <f>B41</f>
        <v>112</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-4.7999999999999989</v>
      </c>
      <c r="C64" s="68">
        <f t="shared" ref="C64:U64" si="17">(C59-C60)*C61</f>
        <v>-1.2000000000000011</v>
      </c>
      <c r="D64" s="68">
        <f t="shared" si="17"/>
        <v>0.6000000000000032</v>
      </c>
      <c r="E64" s="68">
        <f t="shared" si="17"/>
        <v>0</v>
      </c>
      <c r="F64" s="68">
        <f t="shared" si="17"/>
        <v>-0.59999999999999787</v>
      </c>
      <c r="G64" s="68">
        <f t="shared" si="17"/>
        <v>0.80000000000000426</v>
      </c>
      <c r="H64" s="68">
        <f t="shared" si="17"/>
        <v>3.6000000000000032</v>
      </c>
      <c r="I64" s="68">
        <f t="shared" si="17"/>
        <v>0</v>
      </c>
      <c r="J64" s="68">
        <f t="shared" si="17"/>
        <v>-1.2000000000000011</v>
      </c>
      <c r="K64" s="68">
        <f t="shared" si="17"/>
        <v>0</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4.7999999999999989</v>
      </c>
      <c r="C65" s="68">
        <f t="shared" ref="C65:U65" si="18">C63-C64</f>
        <v>1.2000000000000011</v>
      </c>
      <c r="D65" s="68">
        <f t="shared" si="18"/>
        <v>-0.6000000000000032</v>
      </c>
      <c r="E65" s="68">
        <f t="shared" si="18"/>
        <v>0</v>
      </c>
      <c r="F65" s="68">
        <f t="shared" si="18"/>
        <v>0.59999999999999787</v>
      </c>
      <c r="G65" s="68">
        <f t="shared" si="18"/>
        <v>-0.80000000000000426</v>
      </c>
      <c r="H65" s="68">
        <f t="shared" si="18"/>
        <v>-3.6000000000000032</v>
      </c>
      <c r="I65" s="68">
        <f t="shared" si="18"/>
        <v>0</v>
      </c>
      <c r="J65" s="68">
        <f t="shared" si="18"/>
        <v>1.2000000000000011</v>
      </c>
      <c r="K65" s="68">
        <f t="shared" si="18"/>
        <v>0</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UNDER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51" priority="36" operator="greaterThan">
      <formula>$B$51</formula>
    </cfRule>
  </conditionalFormatting>
  <conditionalFormatting sqref="B66:U66">
    <cfRule type="cellIs" dxfId="250" priority="11" operator="equal">
      <formula>"UNDER"</formula>
    </cfRule>
    <cfRule type="cellIs" dxfId="249" priority="12" operator="equal">
      <formula>"OVER"</formula>
    </cfRule>
  </conditionalFormatting>
  <conditionalFormatting sqref="C31:C50">
    <cfRule type="cellIs" dxfId="248" priority="35" operator="greaterThan">
      <formula>$C$51</formula>
    </cfRule>
  </conditionalFormatting>
  <conditionalFormatting sqref="C17:V19">
    <cfRule type="cellIs" dxfId="247" priority="32" operator="equal">
      <formula>0</formula>
    </cfRule>
  </conditionalFormatting>
  <conditionalFormatting sqref="C20:V21">
    <cfRule type="cellIs" dxfId="246" priority="37" operator="equal">
      <formula>"DECREASE"</formula>
    </cfRule>
    <cfRule type="cellIs" dxfId="245" priority="38" operator="equal">
      <formula>"INCREASE"</formula>
    </cfRule>
  </conditionalFormatting>
  <conditionalFormatting sqref="C21:V21">
    <cfRule type="cellIs" dxfId="244" priority="13" operator="equal">
      <formula>0</formula>
    </cfRule>
  </conditionalFormatting>
  <conditionalFormatting sqref="C22:V23">
    <cfRule type="cellIs" dxfId="243" priority="17" operator="equal">
      <formula>0</formula>
    </cfRule>
  </conditionalFormatting>
  <conditionalFormatting sqref="C24:V24">
    <cfRule type="cellIs" dxfId="242" priority="18" operator="equal">
      <formula>"DECREASE"</formula>
    </cfRule>
    <cfRule type="cellIs" dxfId="241" priority="19" operator="equal">
      <formula>"INCREASE"</formula>
    </cfRule>
  </conditionalFormatting>
  <conditionalFormatting sqref="G31:G50">
    <cfRule type="cellIs" dxfId="240" priority="31" operator="greaterThan">
      <formula>$G$51</formula>
    </cfRule>
  </conditionalFormatting>
  <conditionalFormatting sqref="H31:H50">
    <cfRule type="cellIs" dxfId="239" priority="30" operator="greaterThan">
      <formula>$H$51</formula>
    </cfRule>
  </conditionalFormatting>
  <conditionalFormatting sqref="I1">
    <cfRule type="cellIs" dxfId="238" priority="3" operator="between">
      <formula>0.1</formula>
      <formula>5</formula>
    </cfRule>
  </conditionalFormatting>
  <conditionalFormatting sqref="I2">
    <cfRule type="cellIs" dxfId="237" priority="2" operator="greaterThan">
      <formula>5000.1</formula>
    </cfRule>
  </conditionalFormatting>
  <conditionalFormatting sqref="I3">
    <cfRule type="cellIs" dxfId="236" priority="1" operator="greaterThan">
      <formula>40000.01</formula>
    </cfRule>
  </conditionalFormatting>
  <conditionalFormatting sqref="I31:I50">
    <cfRule type="cellIs" dxfId="235" priority="29" operator="greaterThan">
      <formula>$I$51</formula>
    </cfRule>
  </conditionalFormatting>
  <conditionalFormatting sqref="J31:J50">
    <cfRule type="cellIs" dxfId="234" priority="8" operator="greaterThan">
      <formula>$J$51</formula>
    </cfRule>
  </conditionalFormatting>
  <conditionalFormatting sqref="K31:K50">
    <cfRule type="cellIs" dxfId="233" priority="28" operator="greaterThan">
      <formula>$K$51</formula>
    </cfRule>
  </conditionalFormatting>
  <conditionalFormatting sqref="L3">
    <cfRule type="cellIs" dxfId="232" priority="4" operator="lessThan">
      <formula>30</formula>
    </cfRule>
    <cfRule type="cellIs" dxfId="231" priority="5" operator="greaterThanOrEqual">
      <formula>30</formula>
    </cfRule>
  </conditionalFormatting>
  <conditionalFormatting sqref="L31:L50">
    <cfRule type="cellIs" dxfId="230" priority="27" operator="greaterThan">
      <formula>$L$51</formula>
    </cfRule>
  </conditionalFormatting>
  <conditionalFormatting sqref="M31:M50">
    <cfRule type="cellIs" dxfId="229" priority="26" operator="greaterThan">
      <formula>$M$51</formula>
    </cfRule>
  </conditionalFormatting>
  <conditionalFormatting sqref="P31:P50">
    <cfRule type="cellIs" dxfId="228" priority="25" operator="greaterThan">
      <formula>$P$51</formula>
    </cfRule>
  </conditionalFormatting>
  <conditionalFormatting sqref="R31:R50">
    <cfRule type="cellIs" dxfId="227" priority="24" operator="greaterThan">
      <formula>$R$51</formula>
    </cfRule>
  </conditionalFormatting>
  <conditionalFormatting sqref="S31:S50">
    <cfRule type="cellIs" dxfId="226" priority="23" operator="greaterThan">
      <formula>$S$51</formula>
    </cfRule>
  </conditionalFormatting>
  <conditionalFormatting sqref="T31:T50">
    <cfRule type="cellIs" dxfId="225" priority="22" operator="greaterThan">
      <formula>$T$51</formula>
    </cfRule>
  </conditionalFormatting>
  <conditionalFormatting sqref="U31:U50">
    <cfRule type="cellIs" dxfId="224"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3" zoomScale="90" zoomScaleNormal="90" workbookViewId="0">
      <selection activeCell="C27" sqref="C27"/>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7" t="str">
        <f>'Field data and Waste 1'!C1:D1</f>
        <v>PAN-026719</v>
      </c>
      <c r="D1" s="128"/>
      <c r="E1" s="83" t="s">
        <v>45</v>
      </c>
      <c r="F1" s="32">
        <f>'Field data and Waste 1'!F1</f>
        <v>49.7</v>
      </c>
      <c r="G1" s="110" t="s">
        <v>43</v>
      </c>
      <c r="H1" s="111"/>
      <c r="I1" s="86">
        <v>7.29</v>
      </c>
      <c r="J1" s="114" t="s">
        <v>153</v>
      </c>
      <c r="K1" s="114"/>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29" t="str">
        <f>'Field data and Waste 1'!C2:D2</f>
        <v>EPR/AB3891CX</v>
      </c>
      <c r="D2" s="130"/>
      <c r="E2" s="83" t="s">
        <v>109</v>
      </c>
      <c r="F2" s="86" t="s">
        <v>166</v>
      </c>
      <c r="G2" s="112" t="s">
        <v>110</v>
      </c>
      <c r="H2" s="113"/>
      <c r="I2" s="86"/>
      <c r="J2" s="114" t="s">
        <v>158</v>
      </c>
      <c r="K2" s="114"/>
      <c r="L2" s="86"/>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29" t="str">
        <f>'Field data and Waste 1'!C3:D3</f>
        <v>Stepside Agri</v>
      </c>
      <c r="D3" s="130"/>
      <c r="E3" s="83" t="s">
        <v>108</v>
      </c>
      <c r="F3" s="24" t="s">
        <v>78</v>
      </c>
      <c r="G3" s="114" t="s">
        <v>159</v>
      </c>
      <c r="H3" s="114"/>
      <c r="I3" s="86">
        <v>200</v>
      </c>
      <c r="J3" s="110" t="s">
        <v>154</v>
      </c>
      <c r="K3" s="111"/>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7" t="str">
        <f>'Field data and Waste 1'!C4:D4</f>
        <v>Castell Malgwyn Farm, Llechryd, Cardigan, Ceredigion, SA43 2QB</v>
      </c>
      <c r="D4" s="128"/>
      <c r="E4" s="84" t="s">
        <v>1</v>
      </c>
      <c r="F4" s="86" t="s">
        <v>169</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7" t="str">
        <f>'Field data and Waste 1'!C5:D5</f>
        <v>Ethan Banfield</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Waste 1'!C8</f>
        <v>2</v>
      </c>
      <c r="D8" s="52">
        <f>'Field data and Waste 1'!D8</f>
        <v>3</v>
      </c>
      <c r="E8" s="52">
        <f>'Field data and Waste 1'!E8</f>
        <v>4</v>
      </c>
      <c r="F8" s="52">
        <f>'Field data and Waste 1'!F8</f>
        <v>10</v>
      </c>
      <c r="G8" s="52">
        <f>'Field data and Waste 1'!G8</f>
        <v>20</v>
      </c>
      <c r="H8" s="52">
        <f>'Field data and Waste 1'!H8</f>
        <v>7886</v>
      </c>
      <c r="I8" s="52">
        <f>'Field data and Waste 1'!I8</f>
        <v>8440</v>
      </c>
      <c r="J8" s="52">
        <f>'Field data and Waste 1'!J8</f>
        <v>8087</v>
      </c>
      <c r="K8" s="52">
        <f>'Field data and Waste 1'!K8</f>
        <v>8019</v>
      </c>
      <c r="L8" s="52">
        <f>'Field data and Waste 1'!L8</f>
        <v>234</v>
      </c>
      <c r="M8" s="52">
        <f>'Field data and Waste 1'!M8</f>
        <v>1735</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Waste 1'!C9</f>
        <v>Moderate</v>
      </c>
      <c r="D9" s="52" t="str">
        <f>'Field data and Waste 1'!D9</f>
        <v>Moderate</v>
      </c>
      <c r="E9" s="52" t="str">
        <f>'Field data and Waste 1'!E9</f>
        <v>Moderate</v>
      </c>
      <c r="F9" s="52">
        <f>'Field data and Waste 1'!F9</f>
        <v>1</v>
      </c>
      <c r="G9" s="52" t="str">
        <f>'Field data and Waste 1'!G9</f>
        <v>Moderate</v>
      </c>
      <c r="H9" s="52">
        <f>'Field data and Waste 1'!H9</f>
        <v>1</v>
      </c>
      <c r="I9" s="52" t="str">
        <f>'Field data and Waste 1'!I9</f>
        <v>Moderate</v>
      </c>
      <c r="J9" s="52" t="str">
        <f>'Field data and Waste 1'!J9</f>
        <v>Moderate</v>
      </c>
      <c r="K9" s="52" t="str">
        <f>'Field data and Waste 1'!K9</f>
        <v>Moderate</v>
      </c>
      <c r="L9" s="52" t="str">
        <f>'Field data and Waste 1'!L9</f>
        <v>Moderate</v>
      </c>
      <c r="M9" s="52" t="str">
        <f>'Field data and Waste 1'!M9</f>
        <v>Moderate</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Waste 1'!C10</f>
        <v>7</v>
      </c>
      <c r="D10" s="52">
        <f>'Field data and Waste 1'!D10</f>
        <v>6.4</v>
      </c>
      <c r="E10" s="52">
        <f>'Field data and Waste 1'!E10</f>
        <v>6.1</v>
      </c>
      <c r="F10" s="52">
        <f>'Field data and Waste 1'!F10</f>
        <v>6.7</v>
      </c>
      <c r="G10" s="52">
        <f>'Field data and Waste 1'!G10</f>
        <v>6.3</v>
      </c>
      <c r="H10" s="52">
        <f>'Field data and Waste 1'!H10</f>
        <v>6.6</v>
      </c>
      <c r="I10" s="52">
        <f>'Field data and Waste 1'!I10</f>
        <v>5.6</v>
      </c>
      <c r="J10" s="52">
        <f>'Field data and Waste 1'!J10</f>
        <v>6.2</v>
      </c>
      <c r="K10" s="52">
        <f>'Field data and Waste 1'!K10</f>
        <v>6.4</v>
      </c>
      <c r="L10" s="52">
        <f>'Field data and Waste 1'!L10</f>
        <v>6.2</v>
      </c>
      <c r="M10" s="52">
        <f>'Field data and Waste 1'!M10</f>
        <v>6.3</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Waste 1'!C11</f>
        <v>2</v>
      </c>
      <c r="D11" s="52">
        <f>'Field data and Waste 1'!D11</f>
        <v>2</v>
      </c>
      <c r="E11" s="52">
        <f>'Field data and Waste 1'!E11</f>
        <v>2</v>
      </c>
      <c r="F11" s="52">
        <f>'Field data and Waste 1'!F11</f>
        <v>3</v>
      </c>
      <c r="G11" s="52">
        <f>'Field data and Waste 1'!G11</f>
        <v>3</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Waste 1'!C12</f>
        <v>2</v>
      </c>
      <c r="D12" s="52">
        <f>'Field data and Waste 1'!D12</f>
        <v>2</v>
      </c>
      <c r="E12" s="52">
        <f>'Field data and Waste 1'!E12</f>
        <v>1</v>
      </c>
      <c r="F12" s="52">
        <f>'Field data and Waste 1'!F12</f>
        <v>2</v>
      </c>
      <c r="G12" s="52">
        <f>'Field data and Waste 1'!G12</f>
        <v>2</v>
      </c>
      <c r="H12" s="52">
        <f>'Field data and Waste 1'!H12</f>
        <v>2</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Waste 1'!C13</f>
        <v>2</v>
      </c>
      <c r="D13" s="52">
        <f>'Field data and Waste 1'!D13</f>
        <v>3</v>
      </c>
      <c r="E13" s="52">
        <f>'Field data and Waste 1'!E13</f>
        <v>3</v>
      </c>
      <c r="F13" s="52">
        <f>'Field data and Waste 1'!F13</f>
        <v>3</v>
      </c>
      <c r="G13" s="52">
        <f>'Field data and Waste 1'!G13</f>
        <v>2</v>
      </c>
      <c r="H13" s="52">
        <f>'Field data and Waste 1'!H13</f>
        <v>2</v>
      </c>
      <c r="I13" s="52">
        <f>'Field data and Waste 1'!I13</f>
        <v>3</v>
      </c>
      <c r="J13" s="52">
        <f>'Field data and Waste 1'!J13</f>
        <v>3</v>
      </c>
      <c r="K13" s="52">
        <f>'Field data and Waste 1'!K13</f>
        <v>3</v>
      </c>
      <c r="L13" s="52">
        <f>'Field data and Waste 1'!L13</f>
        <v>3</v>
      </c>
      <c r="M13" s="52">
        <f>'Field data and Waste 1'!M13</f>
        <v>3</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3" t="s">
        <v>8</v>
      </c>
      <c r="B14" s="123"/>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Spring wheat/barley</v>
      </c>
      <c r="G14" s="91" t="str">
        <f>'Field data and Waste 1'!G14</f>
        <v xml:space="preserve">Grass Silage (25% DM) </v>
      </c>
      <c r="H14" s="91" t="str">
        <f>'Field data and Waste 1'!H14</f>
        <v>Winter wheat- grain &amp; straw</v>
      </c>
      <c r="I14" s="91" t="str">
        <f>'Field data and Waste 1'!I14</f>
        <v xml:space="preserve">Grass Silage (25% DM) </v>
      </c>
      <c r="J14" s="91" t="str">
        <f>'Field data and Waste 1'!J14</f>
        <v xml:space="preserve">Grass Silage (25% DM) </v>
      </c>
      <c r="K14" s="91" t="str">
        <f>'Field data and Waste 1'!K14</f>
        <v xml:space="preserve">Grass Silage (25% DM) </v>
      </c>
      <c r="L14" s="91" t="str">
        <f>'Field data and Waste 1'!L14</f>
        <v xml:space="preserve">Grass Silage (25% DM) </v>
      </c>
      <c r="M14" s="91" t="str">
        <f>'Field data and Waste 1'!M14</f>
        <v xml:space="preserve">Grass Silage (25% DM) </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22" t="s">
        <v>9</v>
      </c>
      <c r="B15" s="122"/>
      <c r="C15" s="52">
        <f>'Field data and Waste 1'!C15</f>
        <v>38</v>
      </c>
      <c r="D15" s="52">
        <f>'Field data and Waste 1'!D15</f>
        <v>38</v>
      </c>
      <c r="E15" s="52">
        <f>'Field data and Waste 1'!E15</f>
        <v>38</v>
      </c>
      <c r="F15" s="52">
        <f>'Field data and Waste 1'!F15</f>
        <v>5.5</v>
      </c>
      <c r="G15" s="52">
        <f>'Field data and Waste 1'!G15</f>
        <v>38</v>
      </c>
      <c r="H15" s="52">
        <f>'Field data and Waste 1'!H15</f>
        <v>8</v>
      </c>
      <c r="I15" s="52">
        <f>'Field data and Waste 1'!I15</f>
        <v>38</v>
      </c>
      <c r="J15" s="52">
        <f>'Field data and Waste 1'!J15</f>
        <v>38</v>
      </c>
      <c r="K15" s="52">
        <f>'Field data and Waste 1'!K15</f>
        <v>38</v>
      </c>
      <c r="L15" s="52">
        <f>'Field data and Waste 1'!L15</f>
        <v>38</v>
      </c>
      <c r="M15" s="52">
        <f>'Field data and Waste 1'!M15</f>
        <v>38</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24" t="s">
        <v>44</v>
      </c>
      <c r="B16" s="124"/>
      <c r="C16" s="92" t="str">
        <f>'Field data and Waste 1'!C16</f>
        <v>Medium/Clay</v>
      </c>
      <c r="D16" s="92" t="str">
        <f>'Field data and Waste 1'!D16</f>
        <v>Medium/Clay</v>
      </c>
      <c r="E16" s="92" t="str">
        <f>'Field data and Waste 1'!E16</f>
        <v>Medium/Clay</v>
      </c>
      <c r="F16" s="92" t="str">
        <f>'Field data and Waste 1'!F16</f>
        <v>Medium/Clay</v>
      </c>
      <c r="G16" s="92" t="str">
        <f>'Field data and Waste 1'!G16</f>
        <v>Medium/Clay</v>
      </c>
      <c r="H16" s="92" t="str">
        <f>'Field data and Waste 1'!H16</f>
        <v>Medium/Clay</v>
      </c>
      <c r="I16" s="92" t="str">
        <f>'Field data and Waste 1'!I16</f>
        <v>Medium/Clay</v>
      </c>
      <c r="J16" s="92" t="str">
        <f>'Field data and Waste 1'!J16</f>
        <v>Medium/Clay</v>
      </c>
      <c r="K16" s="92" t="str">
        <f>'Field data and Waste 1'!K16</f>
        <v>Medium/Clay</v>
      </c>
      <c r="L16" s="92" t="str">
        <f>'Field data and Waste 1'!L16</f>
        <v>Medium/Clay</v>
      </c>
      <c r="M16" s="92" t="str">
        <f>'Field data and Waste 1'!M16</f>
        <v>Medium/Clay</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20" t="s">
        <v>69</v>
      </c>
      <c r="B17" s="121"/>
      <c r="C17" s="21">
        <f>(VLOOKUP(C$14,$AI2:$AK26,2,FALSE))*C$15</f>
        <v>64.599999999999994</v>
      </c>
      <c r="D17" s="21">
        <f t="shared" ref="D17:V17" si="0">(VLOOKUP(D$14,$AI2:$AK26,2,FALSE))*D$15</f>
        <v>64.599999999999994</v>
      </c>
      <c r="E17" s="21">
        <f t="shared" si="0"/>
        <v>64.599999999999994</v>
      </c>
      <c r="F17" s="21">
        <f t="shared" si="0"/>
        <v>46.75</v>
      </c>
      <c r="G17" s="21">
        <f t="shared" si="0"/>
        <v>64.599999999999994</v>
      </c>
      <c r="H17" s="21">
        <f t="shared" si="0"/>
        <v>56</v>
      </c>
      <c r="I17" s="21">
        <f t="shared" si="0"/>
        <v>64.599999999999994</v>
      </c>
      <c r="J17" s="21">
        <f t="shared" si="0"/>
        <v>64.599999999999994</v>
      </c>
      <c r="K17" s="21">
        <f t="shared" si="0"/>
        <v>64.599999999999994</v>
      </c>
      <c r="L17" s="21">
        <f t="shared" si="0"/>
        <v>64.599999999999994</v>
      </c>
      <c r="M17" s="21">
        <f t="shared" si="0"/>
        <v>64.599999999999994</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8" t="s">
        <v>23</v>
      </c>
      <c r="B18" s="119"/>
      <c r="C18" s="13">
        <f>$D31</f>
        <v>8.934899999999999</v>
      </c>
      <c r="D18" s="13">
        <f>$D32</f>
        <v>8.934899999999999</v>
      </c>
      <c r="E18" s="13">
        <f>$D33</f>
        <v>8.934899999999999</v>
      </c>
      <c r="F18" s="13">
        <f>$D34</f>
        <v>5.3609399999999994</v>
      </c>
      <c r="G18" s="13">
        <f>$D35</f>
        <v>8.934899999999999</v>
      </c>
      <c r="H18" s="13">
        <f>$D36</f>
        <v>5.3609399999999994</v>
      </c>
      <c r="I18" s="13">
        <f>$D37</f>
        <v>8.934899999999999</v>
      </c>
      <c r="J18" s="13">
        <f>$D38</f>
        <v>8.934899999999999</v>
      </c>
      <c r="K18" s="13">
        <f>$D39</f>
        <v>8.934899999999999</v>
      </c>
      <c r="L18" s="13">
        <f>$D40</f>
        <v>8.934899999999999</v>
      </c>
      <c r="M18" s="13">
        <f>$D41</f>
        <v>8.934899999999999</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8" t="s">
        <v>90</v>
      </c>
      <c r="B19" s="119"/>
      <c r="C19" s="13">
        <f>C18-C17</f>
        <v>-55.665099999999995</v>
      </c>
      <c r="D19" s="13">
        <f t="shared" ref="D19:V19" si="1">D18-D17</f>
        <v>-55.665099999999995</v>
      </c>
      <c r="E19" s="13">
        <f t="shared" si="1"/>
        <v>-55.665099999999995</v>
      </c>
      <c r="F19" s="13">
        <f t="shared" si="1"/>
        <v>-41.389060000000001</v>
      </c>
      <c r="G19" s="13">
        <f t="shared" si="1"/>
        <v>-55.665099999999995</v>
      </c>
      <c r="H19" s="13">
        <f t="shared" si="1"/>
        <v>-50.639060000000001</v>
      </c>
      <c r="I19" s="13">
        <f t="shared" si="1"/>
        <v>-55.665099999999995</v>
      </c>
      <c r="J19" s="13">
        <f t="shared" si="1"/>
        <v>-55.665099999999995</v>
      </c>
      <c r="K19" s="13">
        <f t="shared" si="1"/>
        <v>-55.665099999999995</v>
      </c>
      <c r="L19" s="13">
        <f t="shared" si="1"/>
        <v>-55.665099999999995</v>
      </c>
      <c r="M19" s="13">
        <f t="shared" si="1"/>
        <v>-55.665099999999995</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0" t="s">
        <v>88</v>
      </c>
      <c r="B21" s="121"/>
      <c r="C21" s="21">
        <f>(VLOOKUP(C$14,$AI2:$AK26,3,FALSE))*C$15</f>
        <v>228</v>
      </c>
      <c r="D21" s="21">
        <f t="shared" ref="D21:V21" si="2">(VLOOKUP(D$14,$AI2:$AK24,3,FALSE))*D$15</f>
        <v>228</v>
      </c>
      <c r="E21" s="21">
        <f t="shared" si="2"/>
        <v>228</v>
      </c>
      <c r="F21" s="21">
        <f t="shared" si="2"/>
        <v>66</v>
      </c>
      <c r="G21" s="21">
        <f t="shared" si="2"/>
        <v>228</v>
      </c>
      <c r="H21" s="21">
        <f t="shared" si="2"/>
        <v>84</v>
      </c>
      <c r="I21" s="21">
        <f t="shared" si="2"/>
        <v>228</v>
      </c>
      <c r="J21" s="21">
        <f t="shared" si="2"/>
        <v>228</v>
      </c>
      <c r="K21" s="21">
        <f t="shared" si="2"/>
        <v>228</v>
      </c>
      <c r="L21" s="21">
        <f t="shared" si="2"/>
        <v>228</v>
      </c>
      <c r="M21" s="21">
        <f t="shared" si="2"/>
        <v>228</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8" t="s">
        <v>89</v>
      </c>
      <c r="B22" s="119"/>
      <c r="C22" s="13">
        <f>$E31</f>
        <v>31.631250000000001</v>
      </c>
      <c r="D22" s="13">
        <f>$E32</f>
        <v>31.631250000000001</v>
      </c>
      <c r="E22" s="13">
        <f>$E33</f>
        <v>31.631250000000001</v>
      </c>
      <c r="F22" s="13">
        <f>$E34</f>
        <v>18.978750000000002</v>
      </c>
      <c r="G22" s="13">
        <f>$E35</f>
        <v>31.631250000000001</v>
      </c>
      <c r="H22" s="13">
        <f>$E36</f>
        <v>18.978750000000002</v>
      </c>
      <c r="I22" s="13">
        <f>$E37</f>
        <v>31.631250000000001</v>
      </c>
      <c r="J22" s="13">
        <f>$E38</f>
        <v>31.631250000000001</v>
      </c>
      <c r="K22" s="13">
        <f>$E39</f>
        <v>31.631250000000001</v>
      </c>
      <c r="L22" s="13">
        <f>$E40</f>
        <v>31.631250000000001</v>
      </c>
      <c r="M22" s="13">
        <f>$E41</f>
        <v>31.631250000000001</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8" t="s">
        <v>92</v>
      </c>
      <c r="B23" s="119"/>
      <c r="C23" s="13">
        <f>C22-C21</f>
        <v>-196.36875000000001</v>
      </c>
      <c r="D23" s="13">
        <f t="shared" ref="D23:V23" si="3">D22-D21</f>
        <v>-196.36875000000001</v>
      </c>
      <c r="E23" s="13">
        <f t="shared" si="3"/>
        <v>-196.36875000000001</v>
      </c>
      <c r="F23" s="13">
        <f t="shared" si="3"/>
        <v>-47.021249999999995</v>
      </c>
      <c r="G23" s="13">
        <f t="shared" si="3"/>
        <v>-196.36875000000001</v>
      </c>
      <c r="H23" s="13">
        <f t="shared" si="3"/>
        <v>-65.021249999999995</v>
      </c>
      <c r="I23" s="13">
        <f t="shared" si="3"/>
        <v>-196.36875000000001</v>
      </c>
      <c r="J23" s="13">
        <f t="shared" si="3"/>
        <v>-196.36875000000001</v>
      </c>
      <c r="K23" s="13">
        <f t="shared" si="3"/>
        <v>-196.36875000000001</v>
      </c>
      <c r="L23" s="13">
        <f t="shared" si="3"/>
        <v>-196.36875000000001</v>
      </c>
      <c r="M23" s="13">
        <f t="shared" si="3"/>
        <v>-196.36875000000001</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56</v>
      </c>
      <c r="D27" s="96" t="s">
        <v>54</v>
      </c>
      <c r="E27" s="96" t="s">
        <v>54</v>
      </c>
      <c r="F27" s="96" t="s">
        <v>54</v>
      </c>
      <c r="G27" s="96" t="s">
        <v>54</v>
      </c>
      <c r="H27" s="96" t="s">
        <v>54</v>
      </c>
      <c r="I27" s="96" t="s">
        <v>54</v>
      </c>
      <c r="J27" s="96" t="s">
        <v>54</v>
      </c>
      <c r="K27" s="96" t="s">
        <v>54</v>
      </c>
      <c r="L27" s="96" t="s">
        <v>54</v>
      </c>
      <c r="M27" s="96" t="s">
        <v>54</v>
      </c>
      <c r="N27" s="96" t="s">
        <v>54</v>
      </c>
      <c r="O27" s="96" t="s">
        <v>54</v>
      </c>
      <c r="P27" s="96" t="s">
        <v>54</v>
      </c>
      <c r="Q27" s="96" t="s">
        <v>54</v>
      </c>
      <c r="R27" s="96" t="s">
        <v>54</v>
      </c>
      <c r="S27" s="96" t="s">
        <v>54</v>
      </c>
      <c r="T27" s="96" t="s">
        <v>54</v>
      </c>
      <c r="U27" s="96" t="s">
        <v>54</v>
      </c>
    </row>
    <row r="28" spans="1:40" x14ac:dyDescent="0.25">
      <c r="A28" s="97"/>
      <c r="B28" s="17">
        <v>0.38</v>
      </c>
      <c r="C28" s="12">
        <v>0.01</v>
      </c>
      <c r="D28" s="12">
        <v>15.6</v>
      </c>
      <c r="E28" s="12">
        <v>105</v>
      </c>
      <c r="F28" s="12">
        <v>10</v>
      </c>
      <c r="G28" s="12">
        <v>0.2</v>
      </c>
      <c r="H28" s="12">
        <v>2</v>
      </c>
      <c r="I28" s="12">
        <v>0.5</v>
      </c>
      <c r="J28" s="12">
        <v>0.01</v>
      </c>
      <c r="K28" s="16">
        <v>0.05</v>
      </c>
      <c r="L28" s="12">
        <v>0.2</v>
      </c>
      <c r="M28" s="12">
        <v>0.2</v>
      </c>
      <c r="N28" s="12"/>
      <c r="O28" s="12"/>
      <c r="P28" s="12">
        <v>684</v>
      </c>
      <c r="Q28" s="12">
        <v>28.6</v>
      </c>
      <c r="R28" s="12"/>
      <c r="S28" s="12"/>
      <c r="T28" s="12"/>
      <c r="U28" s="12"/>
    </row>
    <row r="29" spans="1:40" s="7" customFormat="1" ht="27" x14ac:dyDescent="0.2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2</v>
      </c>
      <c r="B31" s="12">
        <v>250</v>
      </c>
      <c r="C31" s="68">
        <f>IF(C$27="%w/w SAR",((C$28*10)*$B31),IF(C$27="%w/w DM",(((C$28*10)*($B$28/100))*$B31),IF(C$27="kg/t SAR",(C$28*$B31),IF(C$27="kg/t DM",((C$28*($B$28/100))*$B31),IF(C$27="mg/kg SAR",((C$28*0.001)*$B31),IF(C$27="mg/kg DM",(((C$28*0.001)*($B$28/100))*$B31),0))))))</f>
        <v>25</v>
      </c>
      <c r="D31" s="68">
        <f>(IF(D$27="%w/w SAR",((D$28*10)*$B31),IF(D$27="%w/w DM",(((D$28*10)*($B$28/100))*$B31),IF(D$27="kg/t SAR",(D$28*$B31),IF(D$27="kg/t DM",((D$28*($B$28/100))*$B31),IF(D$27="mg/kg SAR",((D$28*0.001)*$B31),IF(D$27="mg/kg DM",(((D$28*0.001)*($B$28/100))*$B31),"0")))))))*2.291</f>
        <v>8.934899999999999</v>
      </c>
      <c r="E31" s="68">
        <f>(IF(E$27="%w/w SAR",((E$28*10)*$B31),IF(E$27="%w/w DM",(((E$28*10)*($B$28/100))*$B31),IF(E$27="kg/t SAR",(E$28*$B31),IF(E$27="kg/t DM",((E$28*($B$28/100))*$B31),IF(E$27="mg/kg SAR",((E$28*0.001)*$B31),IF(E$27="mg/kg DM",(((E$28*0.001)*($B$28/100))*$B31),"0")))))))*1.205</f>
        <v>31.631250000000001</v>
      </c>
      <c r="F31" s="68">
        <f>(IF(F$27="%w/w SAR",((F$28*10)*$B31),IF(F$27="%w/w DM",(((F$28*10)*($B$28/100))*$B31),IF(F$27="kg/t SAR",(F$28*$B31),IF(F$27="kg/t DM",((F$28*($B$28/100))*$B31),IF(F$27="mg/kg SAR",((F$28*0.001)*$B31),IF(F$27="mg/kg DM",(((F$28*0.001)*($B$28/100))*$B31),"0")))))))*1.658</f>
        <v>4.1449999999999996</v>
      </c>
      <c r="G31" s="68">
        <f t="shared" ref="G31:P46" si="5">IF(G$27="%w/w SAR",((G$28*10)*$B31),IF(G$27="%w/w DM",(((G$28*10)*($B$28/100))*$B31),IF(G$27="kg/t SAR",(G$28*$B31),IF(G$27="kg/t DM",((G$28*($B$28/100))*$B31),IF(G$27="mg/kg SAR",((G$28*0.001)*$B31),IF(G$27="mg/kg DM",(((G$28*0.001)*($B$28/100))*$B31),0))))))</f>
        <v>0.05</v>
      </c>
      <c r="H31" s="68">
        <f t="shared" si="5"/>
        <v>0.5</v>
      </c>
      <c r="I31" s="68">
        <f t="shared" si="5"/>
        <v>0.125</v>
      </c>
      <c r="J31" s="68">
        <f t="shared" si="5"/>
        <v>2.5000000000000001E-3</v>
      </c>
      <c r="K31" s="68">
        <f t="shared" si="5"/>
        <v>1.2500000000000001E-2</v>
      </c>
      <c r="L31" s="68">
        <f t="shared" si="5"/>
        <v>0.05</v>
      </c>
      <c r="M31" s="68">
        <f t="shared" si="5"/>
        <v>0.05</v>
      </c>
      <c r="N31" s="68">
        <f t="shared" si="5"/>
        <v>0</v>
      </c>
      <c r="O31" s="68">
        <f t="shared" si="5"/>
        <v>0</v>
      </c>
      <c r="P31" s="68">
        <f t="shared" si="5"/>
        <v>171</v>
      </c>
      <c r="Q31" s="68">
        <f>(IF(Q$27="%w/w SAR",((Q$28*10)*$B31),IF(Q$27="%w/w DM",(((Q$28*10)*($B$28/100))*$B31),IF(Q$27="kg/t SAR",(Q$28*$B31),IF(Q$27="kg/t DM",((Q$28*($B$28/100))*$B31),IF(Q$27="mg/kg SAR",((Q$28*0.001)*$B31),IF(Q$27="mg/kg DM",(((Q$28*0.001)*($B$28/100))*$B31),0)))))))*2.5</f>
        <v>17.875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3</v>
      </c>
      <c r="B32" s="12">
        <v>250</v>
      </c>
      <c r="C32" s="68">
        <f t="shared" ref="C32:C50" si="6">IF(C$27="%w/w SAR",((C$28*10)*$B32),IF(C$27="%w/w DM",(((C$28*10)*($B$28/100))*$B32),IF(C$27="kg/t SAR",(C$28*$B32),IF(C$27="kg/t DM",((C$28*($B$28/100))*$B32),IF(C$27="mg/kg SAR",((C$28*0.001)*$B32),IF(C$27="mg/kg DM",(((C$28*0.001)*($B$28/100))*$B32),0))))))</f>
        <v>25</v>
      </c>
      <c r="D32" s="68">
        <f t="shared" ref="D32:D50" si="7">(IF(D$27="%w/w SAR",((D$28*10)*$B32),IF(D$27="%w/w DM",(((D$28*10)*($B$28/100))*$B32),IF(D$27="kg/t SAR",(D$28*$B32),IF(D$27="kg/t DM",((D$28*($B$28/100))*$B32),IF(D$27="mg/kg SAR",((D$28*0.001)*$B32),IF(D$27="mg/kg DM",(((D$28*0.001)*($B$28/100))*$B32),"0")))))))*2.291</f>
        <v>8.934899999999999</v>
      </c>
      <c r="E32" s="68">
        <f t="shared" ref="E32:E50" si="8">(IF(E$27="%w/w SAR",((E$28*10)*$B32),IF(E$27="%w/w DM",(((E$28*10)*($B$28/100))*$B32),IF(E$27="kg/t SAR",(E$28*$B32),IF(E$27="kg/t DM",((E$28*($B$28/100))*$B32),IF(E$27="mg/kg SAR",((E$28*0.001)*$B32),IF(E$27="mg/kg DM",(((E$28*0.001)*($B$28/100))*$B32),"0")))))))*1.205</f>
        <v>31.631250000000001</v>
      </c>
      <c r="F32" s="68">
        <f t="shared" ref="F32:F50" si="9">(IF(F$27="%w/w SAR",((F$28*10)*$B32),IF(F$27="%w/w DM",(((F$28*10)*($B$28/100))*$B32),IF(F$27="kg/t SAR",(F$28*$B32),IF(F$27="kg/t DM",((F$28*($B$28/100))*$B32),IF(F$27="mg/kg SAR",((F$28*0.001)*$B32),IF(F$27="mg/kg DM",(((F$28*0.001)*($B$28/100))*$B32),"0")))))))*1.658</f>
        <v>4.1449999999999996</v>
      </c>
      <c r="G32" s="68">
        <f t="shared" si="5"/>
        <v>0.05</v>
      </c>
      <c r="H32" s="68">
        <f t="shared" si="5"/>
        <v>0.5</v>
      </c>
      <c r="I32" s="68">
        <f t="shared" si="5"/>
        <v>0.125</v>
      </c>
      <c r="J32" s="68">
        <f t="shared" si="5"/>
        <v>2.5000000000000001E-3</v>
      </c>
      <c r="K32" s="68">
        <f t="shared" si="5"/>
        <v>1.2500000000000001E-2</v>
      </c>
      <c r="L32" s="68">
        <f t="shared" si="5"/>
        <v>0.05</v>
      </c>
      <c r="M32" s="68">
        <f t="shared" si="5"/>
        <v>0.05</v>
      </c>
      <c r="N32" s="68">
        <f t="shared" si="5"/>
        <v>0</v>
      </c>
      <c r="O32" s="68">
        <f t="shared" si="5"/>
        <v>0</v>
      </c>
      <c r="P32" s="68">
        <f t="shared" si="5"/>
        <v>171</v>
      </c>
      <c r="Q32" s="68">
        <f t="shared" ref="Q32:Q50" si="10">(IF(Q$27="%w/w SAR",((Q$28*10)*$B32),IF(Q$27="%w/w DM",(((Q$28*10)*($B$28/100))*$B32),IF(Q$27="kg/t SAR",(Q$28*$B32),IF(Q$27="kg/t DM",((Q$28*($B$28/100))*$B32),IF(Q$27="mg/kg SAR",((Q$28*0.001)*$B32),IF(Q$27="mg/kg DM",(((Q$28*0.001)*($B$28/100))*$B32),0)))))))*2.5</f>
        <v>17.875</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f>E8</f>
        <v>4</v>
      </c>
      <c r="B33" s="12">
        <v>250</v>
      </c>
      <c r="C33" s="68">
        <f t="shared" si="6"/>
        <v>25</v>
      </c>
      <c r="D33" s="68">
        <f t="shared" si="7"/>
        <v>8.934899999999999</v>
      </c>
      <c r="E33" s="68">
        <f t="shared" si="8"/>
        <v>31.631250000000001</v>
      </c>
      <c r="F33" s="68">
        <f t="shared" si="9"/>
        <v>4.1449999999999996</v>
      </c>
      <c r="G33" s="68">
        <f t="shared" si="5"/>
        <v>0.05</v>
      </c>
      <c r="H33" s="68">
        <f t="shared" si="5"/>
        <v>0.5</v>
      </c>
      <c r="I33" s="68">
        <f t="shared" si="5"/>
        <v>0.125</v>
      </c>
      <c r="J33" s="68">
        <f t="shared" si="5"/>
        <v>2.5000000000000001E-3</v>
      </c>
      <c r="K33" s="68">
        <f t="shared" si="5"/>
        <v>1.2500000000000001E-2</v>
      </c>
      <c r="L33" s="68">
        <f t="shared" si="5"/>
        <v>0.05</v>
      </c>
      <c r="M33" s="68">
        <f t="shared" si="5"/>
        <v>0.05</v>
      </c>
      <c r="N33" s="68">
        <f t="shared" si="5"/>
        <v>0</v>
      </c>
      <c r="O33" s="68">
        <f t="shared" si="5"/>
        <v>0</v>
      </c>
      <c r="P33" s="68">
        <f t="shared" si="5"/>
        <v>171</v>
      </c>
      <c r="Q33" s="68">
        <f t="shared" si="10"/>
        <v>17.875</v>
      </c>
      <c r="R33" s="68">
        <f t="shared" si="11"/>
        <v>0</v>
      </c>
      <c r="S33" s="68">
        <f t="shared" si="11"/>
        <v>0</v>
      </c>
      <c r="T33" s="68">
        <f t="shared" si="11"/>
        <v>0</v>
      </c>
      <c r="U33" s="68">
        <f t="shared" si="11"/>
        <v>0</v>
      </c>
    </row>
    <row r="34" spans="1:21" s="51" customFormat="1" x14ac:dyDescent="0.25">
      <c r="A34" s="10">
        <f>F8</f>
        <v>10</v>
      </c>
      <c r="B34" s="12">
        <v>150</v>
      </c>
      <c r="C34" s="68">
        <f t="shared" si="6"/>
        <v>15</v>
      </c>
      <c r="D34" s="68">
        <f t="shared" si="7"/>
        <v>5.3609399999999994</v>
      </c>
      <c r="E34" s="68">
        <f t="shared" si="8"/>
        <v>18.978750000000002</v>
      </c>
      <c r="F34" s="68">
        <f t="shared" si="9"/>
        <v>2.4870000000000001</v>
      </c>
      <c r="G34" s="68">
        <f t="shared" si="5"/>
        <v>3.0000000000000002E-2</v>
      </c>
      <c r="H34" s="68">
        <f t="shared" si="5"/>
        <v>0.3</v>
      </c>
      <c r="I34" s="68">
        <f t="shared" si="5"/>
        <v>7.4999999999999997E-2</v>
      </c>
      <c r="J34" s="68">
        <f t="shared" si="5"/>
        <v>1.5E-3</v>
      </c>
      <c r="K34" s="68">
        <f t="shared" si="5"/>
        <v>7.5000000000000006E-3</v>
      </c>
      <c r="L34" s="68">
        <f t="shared" si="5"/>
        <v>3.0000000000000002E-2</v>
      </c>
      <c r="M34" s="68">
        <f t="shared" si="5"/>
        <v>3.0000000000000002E-2</v>
      </c>
      <c r="N34" s="68">
        <f t="shared" si="5"/>
        <v>0</v>
      </c>
      <c r="O34" s="68">
        <f t="shared" si="5"/>
        <v>0</v>
      </c>
      <c r="P34" s="68">
        <f t="shared" si="5"/>
        <v>102.60000000000001</v>
      </c>
      <c r="Q34" s="68">
        <f t="shared" si="10"/>
        <v>10.725</v>
      </c>
      <c r="R34" s="68">
        <f t="shared" si="11"/>
        <v>0</v>
      </c>
      <c r="S34" s="68">
        <f t="shared" si="11"/>
        <v>0</v>
      </c>
      <c r="T34" s="68">
        <f t="shared" si="11"/>
        <v>0</v>
      </c>
      <c r="U34" s="68">
        <f t="shared" si="11"/>
        <v>0</v>
      </c>
    </row>
    <row r="35" spans="1:21" s="51" customFormat="1" x14ac:dyDescent="0.25">
      <c r="A35" s="10">
        <f>G8</f>
        <v>20</v>
      </c>
      <c r="B35" s="12">
        <v>250</v>
      </c>
      <c r="C35" s="68">
        <f t="shared" si="6"/>
        <v>25</v>
      </c>
      <c r="D35" s="68">
        <f t="shared" si="7"/>
        <v>8.934899999999999</v>
      </c>
      <c r="E35" s="68">
        <f t="shared" si="8"/>
        <v>31.631250000000001</v>
      </c>
      <c r="F35" s="68">
        <f t="shared" si="9"/>
        <v>4.1449999999999996</v>
      </c>
      <c r="G35" s="68">
        <f t="shared" si="5"/>
        <v>0.05</v>
      </c>
      <c r="H35" s="68">
        <f t="shared" si="5"/>
        <v>0.5</v>
      </c>
      <c r="I35" s="68">
        <f t="shared" si="5"/>
        <v>0.125</v>
      </c>
      <c r="J35" s="68">
        <f t="shared" si="5"/>
        <v>2.5000000000000001E-3</v>
      </c>
      <c r="K35" s="68">
        <f t="shared" si="5"/>
        <v>1.2500000000000001E-2</v>
      </c>
      <c r="L35" s="68">
        <f t="shared" si="5"/>
        <v>0.05</v>
      </c>
      <c r="M35" s="68">
        <f t="shared" si="5"/>
        <v>0.05</v>
      </c>
      <c r="N35" s="68">
        <f t="shared" si="5"/>
        <v>0</v>
      </c>
      <c r="O35" s="68">
        <f t="shared" si="5"/>
        <v>0</v>
      </c>
      <c r="P35" s="68">
        <f t="shared" si="5"/>
        <v>171</v>
      </c>
      <c r="Q35" s="68">
        <f t="shared" si="10"/>
        <v>17.875</v>
      </c>
      <c r="R35" s="68">
        <f t="shared" si="11"/>
        <v>0</v>
      </c>
      <c r="S35" s="68">
        <f t="shared" si="11"/>
        <v>0</v>
      </c>
      <c r="T35" s="68">
        <f t="shared" si="11"/>
        <v>0</v>
      </c>
      <c r="U35" s="68">
        <f t="shared" si="11"/>
        <v>0</v>
      </c>
    </row>
    <row r="36" spans="1:21" s="51" customFormat="1" x14ac:dyDescent="0.25">
      <c r="A36" s="10">
        <f>H8</f>
        <v>7886</v>
      </c>
      <c r="B36" s="12">
        <v>150</v>
      </c>
      <c r="C36" s="68">
        <f t="shared" si="6"/>
        <v>15</v>
      </c>
      <c r="D36" s="68">
        <f t="shared" si="7"/>
        <v>5.3609399999999994</v>
      </c>
      <c r="E36" s="68">
        <f t="shared" si="8"/>
        <v>18.978750000000002</v>
      </c>
      <c r="F36" s="68">
        <f t="shared" si="9"/>
        <v>2.4870000000000001</v>
      </c>
      <c r="G36" s="68">
        <f t="shared" si="5"/>
        <v>3.0000000000000002E-2</v>
      </c>
      <c r="H36" s="68">
        <f t="shared" si="5"/>
        <v>0.3</v>
      </c>
      <c r="I36" s="68">
        <f t="shared" si="5"/>
        <v>7.4999999999999997E-2</v>
      </c>
      <c r="J36" s="68">
        <f t="shared" si="5"/>
        <v>1.5E-3</v>
      </c>
      <c r="K36" s="68">
        <f t="shared" si="5"/>
        <v>7.5000000000000006E-3</v>
      </c>
      <c r="L36" s="68">
        <f t="shared" si="5"/>
        <v>3.0000000000000002E-2</v>
      </c>
      <c r="M36" s="68">
        <f t="shared" si="5"/>
        <v>3.0000000000000002E-2</v>
      </c>
      <c r="N36" s="68">
        <f t="shared" si="5"/>
        <v>0</v>
      </c>
      <c r="O36" s="68">
        <f t="shared" si="5"/>
        <v>0</v>
      </c>
      <c r="P36" s="68">
        <f t="shared" si="5"/>
        <v>102.60000000000001</v>
      </c>
      <c r="Q36" s="68">
        <f t="shared" si="10"/>
        <v>10.725</v>
      </c>
      <c r="R36" s="68">
        <f t="shared" si="11"/>
        <v>0</v>
      </c>
      <c r="S36" s="68">
        <f t="shared" si="11"/>
        <v>0</v>
      </c>
      <c r="T36" s="68">
        <f t="shared" si="11"/>
        <v>0</v>
      </c>
      <c r="U36" s="68">
        <f t="shared" si="11"/>
        <v>0</v>
      </c>
    </row>
    <row r="37" spans="1:21" s="51" customFormat="1" x14ac:dyDescent="0.25">
      <c r="A37" s="10">
        <f>I8</f>
        <v>8440</v>
      </c>
      <c r="B37" s="12">
        <v>250</v>
      </c>
      <c r="C37" s="68">
        <f t="shared" si="6"/>
        <v>25</v>
      </c>
      <c r="D37" s="68">
        <f t="shared" si="7"/>
        <v>8.934899999999999</v>
      </c>
      <c r="E37" s="68">
        <f t="shared" si="8"/>
        <v>31.631250000000001</v>
      </c>
      <c r="F37" s="68">
        <f t="shared" si="9"/>
        <v>4.1449999999999996</v>
      </c>
      <c r="G37" s="68">
        <f t="shared" si="5"/>
        <v>0.05</v>
      </c>
      <c r="H37" s="68">
        <f t="shared" si="5"/>
        <v>0.5</v>
      </c>
      <c r="I37" s="68">
        <f t="shared" si="5"/>
        <v>0.125</v>
      </c>
      <c r="J37" s="68">
        <f t="shared" si="5"/>
        <v>2.5000000000000001E-3</v>
      </c>
      <c r="K37" s="68">
        <f t="shared" si="5"/>
        <v>1.2500000000000001E-2</v>
      </c>
      <c r="L37" s="68">
        <f t="shared" si="5"/>
        <v>0.05</v>
      </c>
      <c r="M37" s="68">
        <f t="shared" si="5"/>
        <v>0.05</v>
      </c>
      <c r="N37" s="68">
        <f t="shared" si="5"/>
        <v>0</v>
      </c>
      <c r="O37" s="68">
        <f t="shared" si="5"/>
        <v>0</v>
      </c>
      <c r="P37" s="68">
        <f t="shared" si="5"/>
        <v>171</v>
      </c>
      <c r="Q37" s="68">
        <f t="shared" si="10"/>
        <v>17.875</v>
      </c>
      <c r="R37" s="68">
        <f t="shared" si="11"/>
        <v>0</v>
      </c>
      <c r="S37" s="68">
        <f t="shared" si="11"/>
        <v>0</v>
      </c>
      <c r="T37" s="68">
        <f t="shared" si="11"/>
        <v>0</v>
      </c>
      <c r="U37" s="68">
        <f t="shared" si="11"/>
        <v>0</v>
      </c>
    </row>
    <row r="38" spans="1:21" s="51" customFormat="1" x14ac:dyDescent="0.25">
      <c r="A38" s="10">
        <f>J8</f>
        <v>8087</v>
      </c>
      <c r="B38" s="12">
        <v>250</v>
      </c>
      <c r="C38" s="68">
        <f t="shared" si="6"/>
        <v>25</v>
      </c>
      <c r="D38" s="68">
        <f t="shared" si="7"/>
        <v>8.934899999999999</v>
      </c>
      <c r="E38" s="68">
        <f t="shared" si="8"/>
        <v>31.631250000000001</v>
      </c>
      <c r="F38" s="68">
        <f t="shared" si="9"/>
        <v>4.1449999999999996</v>
      </c>
      <c r="G38" s="68">
        <f t="shared" si="5"/>
        <v>0.05</v>
      </c>
      <c r="H38" s="68">
        <f t="shared" si="5"/>
        <v>0.5</v>
      </c>
      <c r="I38" s="68">
        <f t="shared" si="5"/>
        <v>0.125</v>
      </c>
      <c r="J38" s="68">
        <f t="shared" si="5"/>
        <v>2.5000000000000001E-3</v>
      </c>
      <c r="K38" s="68">
        <f t="shared" si="5"/>
        <v>1.2500000000000001E-2</v>
      </c>
      <c r="L38" s="68">
        <f t="shared" si="5"/>
        <v>0.05</v>
      </c>
      <c r="M38" s="68">
        <f t="shared" si="5"/>
        <v>0.05</v>
      </c>
      <c r="N38" s="68">
        <f t="shared" si="5"/>
        <v>0</v>
      </c>
      <c r="O38" s="68">
        <f t="shared" si="5"/>
        <v>0</v>
      </c>
      <c r="P38" s="68">
        <f t="shared" si="5"/>
        <v>171</v>
      </c>
      <c r="Q38" s="68">
        <f t="shared" si="10"/>
        <v>17.875</v>
      </c>
      <c r="R38" s="68">
        <f t="shared" si="11"/>
        <v>0</v>
      </c>
      <c r="S38" s="68">
        <f t="shared" si="11"/>
        <v>0</v>
      </c>
      <c r="T38" s="68">
        <f t="shared" si="11"/>
        <v>0</v>
      </c>
      <c r="U38" s="68">
        <f t="shared" si="11"/>
        <v>0</v>
      </c>
    </row>
    <row r="39" spans="1:21" s="51" customFormat="1" x14ac:dyDescent="0.25">
      <c r="A39" s="10">
        <f>K8</f>
        <v>8019</v>
      </c>
      <c r="B39" s="12">
        <v>250</v>
      </c>
      <c r="C39" s="68">
        <f t="shared" si="6"/>
        <v>25</v>
      </c>
      <c r="D39" s="68">
        <f t="shared" si="7"/>
        <v>8.934899999999999</v>
      </c>
      <c r="E39" s="68">
        <f t="shared" si="8"/>
        <v>31.631250000000001</v>
      </c>
      <c r="F39" s="68">
        <f t="shared" si="9"/>
        <v>4.1449999999999996</v>
      </c>
      <c r="G39" s="68">
        <f t="shared" si="5"/>
        <v>0.05</v>
      </c>
      <c r="H39" s="68">
        <f t="shared" si="5"/>
        <v>0.5</v>
      </c>
      <c r="I39" s="68">
        <f t="shared" si="5"/>
        <v>0.125</v>
      </c>
      <c r="J39" s="68">
        <f t="shared" si="5"/>
        <v>2.5000000000000001E-3</v>
      </c>
      <c r="K39" s="68">
        <f t="shared" si="5"/>
        <v>1.2500000000000001E-2</v>
      </c>
      <c r="L39" s="68">
        <f t="shared" si="5"/>
        <v>0.05</v>
      </c>
      <c r="M39" s="68">
        <f t="shared" si="5"/>
        <v>0.05</v>
      </c>
      <c r="N39" s="68">
        <f t="shared" si="5"/>
        <v>0</v>
      </c>
      <c r="O39" s="68">
        <f t="shared" si="5"/>
        <v>0</v>
      </c>
      <c r="P39" s="68">
        <f t="shared" si="5"/>
        <v>171</v>
      </c>
      <c r="Q39" s="68">
        <f t="shared" si="10"/>
        <v>17.875</v>
      </c>
      <c r="R39" s="68">
        <f t="shared" si="11"/>
        <v>0</v>
      </c>
      <c r="S39" s="68">
        <f t="shared" si="11"/>
        <v>0</v>
      </c>
      <c r="T39" s="68">
        <f t="shared" si="11"/>
        <v>0</v>
      </c>
      <c r="U39" s="68">
        <f t="shared" si="11"/>
        <v>0</v>
      </c>
    </row>
    <row r="40" spans="1:21" s="51" customFormat="1" x14ac:dyDescent="0.25">
      <c r="A40" s="10">
        <f>L8</f>
        <v>234</v>
      </c>
      <c r="B40" s="12">
        <v>250</v>
      </c>
      <c r="C40" s="68">
        <f t="shared" si="6"/>
        <v>25</v>
      </c>
      <c r="D40" s="68">
        <f t="shared" si="7"/>
        <v>8.934899999999999</v>
      </c>
      <c r="E40" s="68">
        <f t="shared" si="8"/>
        <v>31.631250000000001</v>
      </c>
      <c r="F40" s="68">
        <f t="shared" si="9"/>
        <v>4.1449999999999996</v>
      </c>
      <c r="G40" s="68">
        <f t="shared" si="5"/>
        <v>0.05</v>
      </c>
      <c r="H40" s="68">
        <f t="shared" si="5"/>
        <v>0.5</v>
      </c>
      <c r="I40" s="68">
        <f t="shared" si="5"/>
        <v>0.125</v>
      </c>
      <c r="J40" s="68">
        <f t="shared" si="5"/>
        <v>2.5000000000000001E-3</v>
      </c>
      <c r="K40" s="68">
        <f t="shared" si="5"/>
        <v>1.2500000000000001E-2</v>
      </c>
      <c r="L40" s="68">
        <f t="shared" si="5"/>
        <v>0.05</v>
      </c>
      <c r="M40" s="68">
        <f t="shared" si="5"/>
        <v>0.05</v>
      </c>
      <c r="N40" s="68">
        <f t="shared" si="5"/>
        <v>0</v>
      </c>
      <c r="O40" s="68">
        <f t="shared" si="5"/>
        <v>0</v>
      </c>
      <c r="P40" s="68">
        <f t="shared" si="5"/>
        <v>171</v>
      </c>
      <c r="Q40" s="68">
        <f t="shared" si="10"/>
        <v>17.875</v>
      </c>
      <c r="R40" s="68">
        <f t="shared" si="11"/>
        <v>0</v>
      </c>
      <c r="S40" s="68">
        <f t="shared" si="11"/>
        <v>0</v>
      </c>
      <c r="T40" s="68">
        <f t="shared" si="11"/>
        <v>0</v>
      </c>
      <c r="U40" s="68">
        <f t="shared" si="11"/>
        <v>0</v>
      </c>
    </row>
    <row r="41" spans="1:21" s="51" customFormat="1" x14ac:dyDescent="0.25">
      <c r="A41" s="10">
        <f>M8</f>
        <v>1735</v>
      </c>
      <c r="B41" s="12">
        <v>250</v>
      </c>
      <c r="C41" s="68">
        <f t="shared" si="6"/>
        <v>25</v>
      </c>
      <c r="D41" s="68">
        <f t="shared" si="7"/>
        <v>8.934899999999999</v>
      </c>
      <c r="E41" s="68">
        <f t="shared" si="8"/>
        <v>31.631250000000001</v>
      </c>
      <c r="F41" s="68">
        <f t="shared" si="9"/>
        <v>4.1449999999999996</v>
      </c>
      <c r="G41" s="68">
        <f t="shared" si="5"/>
        <v>0.05</v>
      </c>
      <c r="H41" s="68">
        <f t="shared" si="5"/>
        <v>0.5</v>
      </c>
      <c r="I41" s="68">
        <f t="shared" si="5"/>
        <v>0.125</v>
      </c>
      <c r="J41" s="68">
        <f t="shared" si="5"/>
        <v>2.5000000000000001E-3</v>
      </c>
      <c r="K41" s="68">
        <f t="shared" si="5"/>
        <v>1.2500000000000001E-2</v>
      </c>
      <c r="L41" s="68">
        <f t="shared" si="5"/>
        <v>0.05</v>
      </c>
      <c r="M41" s="68">
        <f t="shared" si="5"/>
        <v>0.05</v>
      </c>
      <c r="N41" s="68">
        <f t="shared" si="5"/>
        <v>0</v>
      </c>
      <c r="O41" s="68">
        <f t="shared" si="5"/>
        <v>0</v>
      </c>
      <c r="P41" s="68">
        <f t="shared" si="5"/>
        <v>171</v>
      </c>
      <c r="Q41" s="68">
        <f t="shared" si="10"/>
        <v>17.875</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2</v>
      </c>
      <c r="C57" s="8">
        <f t="shared" ref="C57:U57" si="13">D8</f>
        <v>3</v>
      </c>
      <c r="D57" s="8">
        <f t="shared" si="13"/>
        <v>4</v>
      </c>
      <c r="E57" s="8">
        <f t="shared" si="13"/>
        <v>10</v>
      </c>
      <c r="F57" s="8">
        <f t="shared" si="13"/>
        <v>20</v>
      </c>
      <c r="G57" s="8">
        <f t="shared" si="13"/>
        <v>7886</v>
      </c>
      <c r="H57" s="8">
        <f t="shared" si="13"/>
        <v>8440</v>
      </c>
      <c r="I57" s="8">
        <f t="shared" si="13"/>
        <v>8087</v>
      </c>
      <c r="J57" s="8">
        <f t="shared" si="13"/>
        <v>8019</v>
      </c>
      <c r="K57" s="8">
        <f t="shared" si="13"/>
        <v>234</v>
      </c>
      <c r="L57" s="8">
        <f t="shared" si="13"/>
        <v>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Arable</v>
      </c>
      <c r="F58" s="10" t="str">
        <f>G16&amp;" I "&amp;(VLOOKUP(G14,Table245811[],6,FALSE))</f>
        <v>Medium/Clay I Grass</v>
      </c>
      <c r="G58" s="10" t="str">
        <f>H16&amp;" I "&amp;(VLOOKUP(H14,Table245811[],6,FALSE))</f>
        <v>Medium/Clay I Arable</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100" t="s">
        <v>132</v>
      </c>
      <c r="B59" s="67">
        <f>VLOOKUP(C$14,Table245811[],5,FALSE)</f>
        <v>6.2</v>
      </c>
      <c r="C59" s="67">
        <f>VLOOKUP(D$14,Table245811[],5,FALSE)</f>
        <v>6.2</v>
      </c>
      <c r="D59" s="67">
        <f>VLOOKUP(E$14,Table245811[],5,FALSE)</f>
        <v>6.2</v>
      </c>
      <c r="E59" s="67">
        <f>VLOOKUP(F$14,Table245811[],5,FALSE)</f>
        <v>6.7</v>
      </c>
      <c r="F59" s="67">
        <f>VLOOKUP(G$14,Table245811[],5,FALSE)</f>
        <v>6.2</v>
      </c>
      <c r="G59" s="67">
        <f>VLOOKUP(H$14,Table245811[],5,FALSE)</f>
        <v>6.7</v>
      </c>
      <c r="H59" s="67">
        <f>VLOOKUP(I$14,Table245811[],5,FALSE)</f>
        <v>6.2</v>
      </c>
      <c r="I59" s="67">
        <f>VLOOKUP(J$14,Table245811[],5,FALSE)</f>
        <v>6.2</v>
      </c>
      <c r="J59" s="67">
        <f>VLOOKUP(K$14,Table245811[],5,FALSE)</f>
        <v>6.2</v>
      </c>
      <c r="K59" s="67">
        <f>VLOOKUP(L$14,Table245811[],5,FALSE)</f>
        <v>6.2</v>
      </c>
      <c r="L59" s="67">
        <f>VLOOKUP(M$14,Table245811[],5,FALSE)</f>
        <v>6.2</v>
      </c>
      <c r="M59" s="67" t="e">
        <f>VLOOKUP(N$14,Table245811[],5,FALSE)</f>
        <v>#N/A</v>
      </c>
      <c r="N59" s="67" t="e">
        <f>VLOOKUP(O$14,Table245811[],5,FALSE)</f>
        <v>#N/A</v>
      </c>
      <c r="O59" s="67" t="e">
        <f>VLOOKUP(P$14,Table245811[],5,FALSE)</f>
        <v>#N/A</v>
      </c>
      <c r="P59" s="67" t="e">
        <f>VLOOKUP(Q$14,Table245811[],5,FALSE)</f>
        <v>#N/A</v>
      </c>
      <c r="Q59" s="67" t="e">
        <f>VLOOKUP(R$14,Table245811[],5,FALSE)</f>
        <v>#N/A</v>
      </c>
      <c r="R59" s="67" t="e">
        <f>VLOOKUP(S$14,Table245811[],5,FALSE)</f>
        <v>#N/A</v>
      </c>
      <c r="S59" s="67" t="e">
        <f>VLOOKUP(T$14,Table245811[],5,FALSE)</f>
        <v>#N/A</v>
      </c>
      <c r="T59" s="67" t="e">
        <f>VLOOKUP(U$14,Table245811[],5,FALSE)</f>
        <v>#N/A</v>
      </c>
      <c r="U59" s="67" t="e">
        <f>VLOOKUP(V$14,Table245811[],5,FALSE)</f>
        <v>#N/A</v>
      </c>
    </row>
    <row r="60" spans="1:21" x14ac:dyDescent="0.2">
      <c r="A60" s="100" t="s">
        <v>4</v>
      </c>
      <c r="B60" s="67">
        <f>C10</f>
        <v>7</v>
      </c>
      <c r="C60" s="67">
        <f t="shared" ref="C60:U60" si="14">D10</f>
        <v>6.4</v>
      </c>
      <c r="D60" s="67">
        <f t="shared" si="14"/>
        <v>6.1</v>
      </c>
      <c r="E60" s="67">
        <f t="shared" si="14"/>
        <v>6.7</v>
      </c>
      <c r="F60" s="67">
        <f t="shared" si="14"/>
        <v>6.3</v>
      </c>
      <c r="G60" s="67">
        <f t="shared" si="14"/>
        <v>6.6</v>
      </c>
      <c r="H60" s="67">
        <f t="shared" si="14"/>
        <v>5.6</v>
      </c>
      <c r="I60" s="67">
        <f t="shared" si="14"/>
        <v>6.2</v>
      </c>
      <c r="J60" s="67">
        <f t="shared" si="14"/>
        <v>6.4</v>
      </c>
      <c r="K60" s="67">
        <f t="shared" si="14"/>
        <v>6.2</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8</v>
      </c>
      <c r="F61" s="67">
        <f t="shared" si="15"/>
        <v>6</v>
      </c>
      <c r="G61" s="67">
        <f t="shared" si="15"/>
        <v>8</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250</v>
      </c>
      <c r="C62" s="68">
        <f>B32</f>
        <v>250</v>
      </c>
      <c r="D62" s="68">
        <f>B33</f>
        <v>250</v>
      </c>
      <c r="E62" s="68">
        <f>B34</f>
        <v>150</v>
      </c>
      <c r="F62" s="68">
        <f>B35</f>
        <v>250</v>
      </c>
      <c r="G62" s="68">
        <f>B36</f>
        <v>150</v>
      </c>
      <c r="H62" s="68">
        <f>B37</f>
        <v>250</v>
      </c>
      <c r="I62" s="68">
        <f>B38</f>
        <v>250</v>
      </c>
      <c r="J62" s="68">
        <f>B39</f>
        <v>250</v>
      </c>
      <c r="K62" s="68">
        <f>B40</f>
        <v>250</v>
      </c>
      <c r="L62" s="68">
        <f>B41</f>
        <v>250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-4.7999999999999989</v>
      </c>
      <c r="C64" s="68">
        <f t="shared" ref="C64:U64" si="17">(C59-C60)*C61</f>
        <v>-1.2000000000000011</v>
      </c>
      <c r="D64" s="68">
        <f t="shared" si="17"/>
        <v>0.6000000000000032</v>
      </c>
      <c r="E64" s="68">
        <f t="shared" si="17"/>
        <v>0</v>
      </c>
      <c r="F64" s="68">
        <f t="shared" si="17"/>
        <v>-0.59999999999999787</v>
      </c>
      <c r="G64" s="68">
        <f t="shared" si="17"/>
        <v>0.80000000000000426</v>
      </c>
      <c r="H64" s="68">
        <f t="shared" si="17"/>
        <v>3.6000000000000032</v>
      </c>
      <c r="I64" s="68">
        <f t="shared" si="17"/>
        <v>0</v>
      </c>
      <c r="J64" s="68">
        <f t="shared" si="17"/>
        <v>-1.2000000000000011</v>
      </c>
      <c r="K64" s="68">
        <f t="shared" si="17"/>
        <v>0</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4.7999999999999989</v>
      </c>
      <c r="C65" s="68">
        <f t="shared" ref="C65:U65" si="18">C63-C64</f>
        <v>1.2000000000000011</v>
      </c>
      <c r="D65" s="68">
        <f t="shared" si="18"/>
        <v>-0.6000000000000032</v>
      </c>
      <c r="E65" s="68">
        <f t="shared" si="18"/>
        <v>0</v>
      </c>
      <c r="F65" s="68">
        <f t="shared" si="18"/>
        <v>0.59999999999999787</v>
      </c>
      <c r="G65" s="68">
        <f t="shared" si="18"/>
        <v>-0.80000000000000426</v>
      </c>
      <c r="H65" s="68">
        <f t="shared" si="18"/>
        <v>-3.6000000000000032</v>
      </c>
      <c r="I65" s="68">
        <f t="shared" si="18"/>
        <v>0</v>
      </c>
      <c r="J65" s="68">
        <f t="shared" si="18"/>
        <v>1.2000000000000011</v>
      </c>
      <c r="K65" s="68">
        <f t="shared" si="18"/>
        <v>0</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UNDER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23" priority="36" operator="greaterThan">
      <formula>$B$51</formula>
    </cfRule>
  </conditionalFormatting>
  <conditionalFormatting sqref="B66:U66">
    <cfRule type="cellIs" dxfId="222" priority="11" operator="equal">
      <formula>"UNDER"</formula>
    </cfRule>
    <cfRule type="cellIs" dxfId="221" priority="12" operator="equal">
      <formula>"OVER"</formula>
    </cfRule>
  </conditionalFormatting>
  <conditionalFormatting sqref="C31:C50">
    <cfRule type="cellIs" dxfId="220" priority="35" operator="greaterThan">
      <formula>$C$51</formula>
    </cfRule>
  </conditionalFormatting>
  <conditionalFormatting sqref="C17:V19">
    <cfRule type="cellIs" dxfId="219" priority="32" operator="equal">
      <formula>0</formula>
    </cfRule>
  </conditionalFormatting>
  <conditionalFormatting sqref="C20:V21">
    <cfRule type="cellIs" dxfId="218" priority="37" operator="equal">
      <formula>"DECREASE"</formula>
    </cfRule>
    <cfRule type="cellIs" dxfId="217" priority="38" operator="equal">
      <formula>"INCREASE"</formula>
    </cfRule>
  </conditionalFormatting>
  <conditionalFormatting sqref="C21:V21">
    <cfRule type="cellIs" dxfId="216" priority="13" operator="equal">
      <formula>0</formula>
    </cfRule>
  </conditionalFormatting>
  <conditionalFormatting sqref="C22:V23">
    <cfRule type="cellIs" dxfId="215" priority="17" operator="equal">
      <formula>0</formula>
    </cfRule>
  </conditionalFormatting>
  <conditionalFormatting sqref="C24:V24">
    <cfRule type="cellIs" dxfId="214" priority="18" operator="equal">
      <formula>"DECREASE"</formula>
    </cfRule>
    <cfRule type="cellIs" dxfId="213" priority="19" operator="equal">
      <formula>"INCREASE"</formula>
    </cfRule>
  </conditionalFormatting>
  <conditionalFormatting sqref="G31:G50">
    <cfRule type="cellIs" dxfId="212" priority="31" operator="greaterThan">
      <formula>$G$51</formula>
    </cfRule>
  </conditionalFormatting>
  <conditionalFormatting sqref="H31:H50">
    <cfRule type="cellIs" dxfId="211" priority="30" operator="greaterThan">
      <formula>$H$51</formula>
    </cfRule>
  </conditionalFormatting>
  <conditionalFormatting sqref="I1">
    <cfRule type="cellIs" dxfId="210" priority="3" operator="between">
      <formula>0.1</formula>
      <formula>5</formula>
    </cfRule>
  </conditionalFormatting>
  <conditionalFormatting sqref="I2">
    <cfRule type="cellIs" dxfId="209" priority="2" operator="greaterThan">
      <formula>5000.1</formula>
    </cfRule>
  </conditionalFormatting>
  <conditionalFormatting sqref="I3">
    <cfRule type="cellIs" dxfId="208" priority="1" operator="greaterThan">
      <formula>40000.01</formula>
    </cfRule>
  </conditionalFormatting>
  <conditionalFormatting sqref="I31:I50">
    <cfRule type="cellIs" dxfId="207" priority="29" operator="greaterThan">
      <formula>$I$51</formula>
    </cfRule>
  </conditionalFormatting>
  <conditionalFormatting sqref="J31:J50">
    <cfRule type="cellIs" dxfId="206" priority="8" operator="greaterThan">
      <formula>$J$51</formula>
    </cfRule>
  </conditionalFormatting>
  <conditionalFormatting sqref="K31:K50">
    <cfRule type="cellIs" dxfId="205" priority="28" operator="greaterThan">
      <formula>$K$51</formula>
    </cfRule>
  </conditionalFormatting>
  <conditionalFormatting sqref="L3">
    <cfRule type="cellIs" dxfId="204" priority="4" operator="lessThan">
      <formula>30</formula>
    </cfRule>
    <cfRule type="cellIs" dxfId="203" priority="5" operator="greaterThanOrEqual">
      <formula>30</formula>
    </cfRule>
  </conditionalFormatting>
  <conditionalFormatting sqref="L31:L50">
    <cfRule type="cellIs" dxfId="202" priority="27" operator="greaterThan">
      <formula>$L$51</formula>
    </cfRule>
  </conditionalFormatting>
  <conditionalFormatting sqref="M31:M50">
    <cfRule type="cellIs" dxfId="201" priority="26" operator="greaterThan">
      <formula>$M$51</formula>
    </cfRule>
  </conditionalFormatting>
  <conditionalFormatting sqref="P31:P50">
    <cfRule type="cellIs" dxfId="200" priority="25" operator="greaterThan">
      <formula>$P$51</formula>
    </cfRule>
  </conditionalFormatting>
  <conditionalFormatting sqref="R31:R50">
    <cfRule type="cellIs" dxfId="199" priority="24" operator="greaterThan">
      <formula>$R$51</formula>
    </cfRule>
  </conditionalFormatting>
  <conditionalFormatting sqref="S31:S50">
    <cfRule type="cellIs" dxfId="198" priority="23" operator="greaterThan">
      <formula>$S$51</formula>
    </cfRule>
  </conditionalFormatting>
  <conditionalFormatting sqref="T31:T50">
    <cfRule type="cellIs" dxfId="197" priority="22" operator="greaterThan">
      <formula>$T$51</formula>
    </cfRule>
  </conditionalFormatting>
  <conditionalFormatting sqref="U31:U50">
    <cfRule type="cellIs" dxfId="196"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13" zoomScale="90" zoomScaleNormal="90" workbookViewId="0">
      <selection activeCell="A28" sqref="A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7" t="str">
        <f>'Field data and Waste 1'!C1:D1</f>
        <v>PAN-026719</v>
      </c>
      <c r="D1" s="128"/>
      <c r="E1" s="83" t="s">
        <v>45</v>
      </c>
      <c r="F1" s="32">
        <f>'Field data and Waste 1'!F1</f>
        <v>49.7</v>
      </c>
      <c r="G1" s="110" t="s">
        <v>43</v>
      </c>
      <c r="H1" s="111"/>
      <c r="I1" s="86">
        <v>4.0599999999999996</v>
      </c>
      <c r="J1" s="114" t="s">
        <v>153</v>
      </c>
      <c r="K1" s="114"/>
      <c r="L1" s="86">
        <v>10</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29" t="str">
        <f>'Field data and Waste 1'!C2:D2</f>
        <v>EPR/AB3891CX</v>
      </c>
      <c r="D2" s="130"/>
      <c r="E2" s="83" t="s">
        <v>109</v>
      </c>
      <c r="F2" s="86" t="s">
        <v>170</v>
      </c>
      <c r="G2" s="112" t="s">
        <v>110</v>
      </c>
      <c r="H2" s="113"/>
      <c r="I2" s="86"/>
      <c r="J2" s="114" t="s">
        <v>158</v>
      </c>
      <c r="K2" s="114"/>
      <c r="L2" s="86">
        <v>0.1</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29" t="str">
        <f>'Field data and Waste 1'!C3:D3</f>
        <v>Stepside Agri</v>
      </c>
      <c r="D3" s="130"/>
      <c r="E3" s="83" t="s">
        <v>108</v>
      </c>
      <c r="F3" s="24" t="s">
        <v>78</v>
      </c>
      <c r="G3" s="114" t="s">
        <v>159</v>
      </c>
      <c r="H3" s="114"/>
      <c r="I3" s="86">
        <v>737</v>
      </c>
      <c r="J3" s="110" t="s">
        <v>154</v>
      </c>
      <c r="K3" s="111"/>
      <c r="L3" s="86">
        <f>(L1/(L2*10000))*100</f>
        <v>1</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7" t="str">
        <f>'Field data and Waste 1'!C4:D4</f>
        <v>Castell Malgwyn Farm, Llechryd, Cardigan, Ceredigion, SA43 2QB</v>
      </c>
      <c r="D4" s="128"/>
      <c r="E4" s="84" t="s">
        <v>1</v>
      </c>
      <c r="F4" s="86" t="s">
        <v>171</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7" t="str">
        <f>'Field data and Waste 1'!C5:D5</f>
        <v>Ethan Banfield</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Waste 1'!C8</f>
        <v>2</v>
      </c>
      <c r="D8" s="52">
        <f>'Field data and Waste 1'!D8</f>
        <v>3</v>
      </c>
      <c r="E8" s="52">
        <f>'Field data and Waste 1'!E8</f>
        <v>4</v>
      </c>
      <c r="F8" s="52">
        <f>'Field data and Waste 1'!F8</f>
        <v>10</v>
      </c>
      <c r="G8" s="52">
        <f>'Field data and Waste 1'!G8</f>
        <v>20</v>
      </c>
      <c r="H8" s="52">
        <f>'Field data and Waste 1'!H8</f>
        <v>7886</v>
      </c>
      <c r="I8" s="52">
        <f>'Field data and Waste 1'!I8</f>
        <v>8440</v>
      </c>
      <c r="J8" s="52">
        <f>'Field data and Waste 1'!J8</f>
        <v>8087</v>
      </c>
      <c r="K8" s="52">
        <f>'Field data and Waste 1'!K8</f>
        <v>8019</v>
      </c>
      <c r="L8" s="52">
        <f>'Field data and Waste 1'!L8</f>
        <v>234</v>
      </c>
      <c r="M8" s="52">
        <f>'Field data and Waste 1'!M8</f>
        <v>1735</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Waste 1'!C9</f>
        <v>Moderate</v>
      </c>
      <c r="D9" s="52" t="str">
        <f>'Field data and Waste 1'!D9</f>
        <v>Moderate</v>
      </c>
      <c r="E9" s="52" t="str">
        <f>'Field data and Waste 1'!E9</f>
        <v>Moderate</v>
      </c>
      <c r="F9" s="52">
        <f>'Field data and Waste 1'!F9</f>
        <v>1</v>
      </c>
      <c r="G9" s="52" t="str">
        <f>'Field data and Waste 1'!G9</f>
        <v>Moderate</v>
      </c>
      <c r="H9" s="52">
        <f>'Field data and Waste 1'!H9</f>
        <v>1</v>
      </c>
      <c r="I9" s="52" t="str">
        <f>'Field data and Waste 1'!I9</f>
        <v>Moderate</v>
      </c>
      <c r="J9" s="52" t="str">
        <f>'Field data and Waste 1'!J9</f>
        <v>Moderate</v>
      </c>
      <c r="K9" s="52" t="str">
        <f>'Field data and Waste 1'!K9</f>
        <v>Moderate</v>
      </c>
      <c r="L9" s="52" t="str">
        <f>'Field data and Waste 1'!L9</f>
        <v>Moderate</v>
      </c>
      <c r="M9" s="52" t="str">
        <f>'Field data and Waste 1'!M9</f>
        <v>Moderate</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Waste 1'!C10</f>
        <v>7</v>
      </c>
      <c r="D10" s="52">
        <f>'Field data and Waste 1'!D10</f>
        <v>6.4</v>
      </c>
      <c r="E10" s="52">
        <f>'Field data and Waste 1'!E10</f>
        <v>6.1</v>
      </c>
      <c r="F10" s="52">
        <f>'Field data and Waste 1'!F10</f>
        <v>6.7</v>
      </c>
      <c r="G10" s="52">
        <f>'Field data and Waste 1'!G10</f>
        <v>6.3</v>
      </c>
      <c r="H10" s="52">
        <f>'Field data and Waste 1'!H10</f>
        <v>6.6</v>
      </c>
      <c r="I10" s="52">
        <f>'Field data and Waste 1'!I10</f>
        <v>5.6</v>
      </c>
      <c r="J10" s="52">
        <f>'Field data and Waste 1'!J10</f>
        <v>6.2</v>
      </c>
      <c r="K10" s="52">
        <f>'Field data and Waste 1'!K10</f>
        <v>6.4</v>
      </c>
      <c r="L10" s="52">
        <f>'Field data and Waste 1'!L10</f>
        <v>6.2</v>
      </c>
      <c r="M10" s="52">
        <f>'Field data and Waste 1'!M10</f>
        <v>6.3</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Waste 1'!C11</f>
        <v>2</v>
      </c>
      <c r="D11" s="52">
        <f>'Field data and Waste 1'!D11</f>
        <v>2</v>
      </c>
      <c r="E11" s="52">
        <f>'Field data and Waste 1'!E11</f>
        <v>2</v>
      </c>
      <c r="F11" s="52">
        <f>'Field data and Waste 1'!F11</f>
        <v>3</v>
      </c>
      <c r="G11" s="52">
        <f>'Field data and Waste 1'!G11</f>
        <v>3</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Waste 1'!C12</f>
        <v>2</v>
      </c>
      <c r="D12" s="52">
        <f>'Field data and Waste 1'!D12</f>
        <v>2</v>
      </c>
      <c r="E12" s="52">
        <f>'Field data and Waste 1'!E12</f>
        <v>1</v>
      </c>
      <c r="F12" s="52">
        <f>'Field data and Waste 1'!F12</f>
        <v>2</v>
      </c>
      <c r="G12" s="52">
        <f>'Field data and Waste 1'!G12</f>
        <v>2</v>
      </c>
      <c r="H12" s="52">
        <f>'Field data and Waste 1'!H12</f>
        <v>2</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Waste 1'!C13</f>
        <v>2</v>
      </c>
      <c r="D13" s="52">
        <f>'Field data and Waste 1'!D13</f>
        <v>3</v>
      </c>
      <c r="E13" s="52">
        <f>'Field data and Waste 1'!E13</f>
        <v>3</v>
      </c>
      <c r="F13" s="52">
        <f>'Field data and Waste 1'!F13</f>
        <v>3</v>
      </c>
      <c r="G13" s="52">
        <f>'Field data and Waste 1'!G13</f>
        <v>2</v>
      </c>
      <c r="H13" s="52">
        <f>'Field data and Waste 1'!H13</f>
        <v>2</v>
      </c>
      <c r="I13" s="52">
        <f>'Field data and Waste 1'!I13</f>
        <v>3</v>
      </c>
      <c r="J13" s="52">
        <f>'Field data and Waste 1'!J13</f>
        <v>3</v>
      </c>
      <c r="K13" s="52">
        <f>'Field data and Waste 1'!K13</f>
        <v>3</v>
      </c>
      <c r="L13" s="52">
        <f>'Field data and Waste 1'!L13</f>
        <v>3</v>
      </c>
      <c r="M13" s="52">
        <f>'Field data and Waste 1'!M13</f>
        <v>3</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3" t="s">
        <v>8</v>
      </c>
      <c r="B14" s="123"/>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Spring wheat/barley</v>
      </c>
      <c r="G14" s="91" t="str">
        <f>'Field data and Waste 1'!G14</f>
        <v xml:space="preserve">Grass Silage (25% DM) </v>
      </c>
      <c r="H14" s="91" t="str">
        <f>'Field data and Waste 1'!H14</f>
        <v>Winter wheat- grain &amp; straw</v>
      </c>
      <c r="I14" s="91" t="str">
        <f>'Field data and Waste 1'!I14</f>
        <v xml:space="preserve">Grass Silage (25% DM) </v>
      </c>
      <c r="J14" s="91" t="str">
        <f>'Field data and Waste 1'!J14</f>
        <v xml:space="preserve">Grass Silage (25% DM) </v>
      </c>
      <c r="K14" s="91" t="str">
        <f>'Field data and Waste 1'!K14</f>
        <v xml:space="preserve">Grass Silage (25% DM) </v>
      </c>
      <c r="L14" s="91" t="str">
        <f>'Field data and Waste 1'!L14</f>
        <v xml:space="preserve">Grass Silage (25% DM) </v>
      </c>
      <c r="M14" s="91" t="str">
        <f>'Field data and Waste 1'!M14</f>
        <v xml:space="preserve">Grass Silage (25% DM) </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22" t="s">
        <v>9</v>
      </c>
      <c r="B15" s="122"/>
      <c r="C15" s="52">
        <f>'Field data and Waste 1'!C15</f>
        <v>38</v>
      </c>
      <c r="D15" s="52">
        <f>'Field data and Waste 1'!D15</f>
        <v>38</v>
      </c>
      <c r="E15" s="52">
        <f>'Field data and Waste 1'!E15</f>
        <v>38</v>
      </c>
      <c r="F15" s="52">
        <f>'Field data and Waste 1'!F15</f>
        <v>5.5</v>
      </c>
      <c r="G15" s="52">
        <f>'Field data and Waste 1'!G15</f>
        <v>38</v>
      </c>
      <c r="H15" s="52">
        <f>'Field data and Waste 1'!H15</f>
        <v>8</v>
      </c>
      <c r="I15" s="52">
        <f>'Field data and Waste 1'!I15</f>
        <v>38</v>
      </c>
      <c r="J15" s="52">
        <f>'Field data and Waste 1'!J15</f>
        <v>38</v>
      </c>
      <c r="K15" s="52">
        <f>'Field data and Waste 1'!K15</f>
        <v>38</v>
      </c>
      <c r="L15" s="52">
        <f>'Field data and Waste 1'!L15</f>
        <v>38</v>
      </c>
      <c r="M15" s="52">
        <f>'Field data and Waste 1'!M15</f>
        <v>38</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24" t="s">
        <v>44</v>
      </c>
      <c r="B16" s="124"/>
      <c r="C16" s="92" t="str">
        <f>'Field data and Waste 1'!C16</f>
        <v>Medium/Clay</v>
      </c>
      <c r="D16" s="92" t="str">
        <f>'Field data and Waste 1'!D16</f>
        <v>Medium/Clay</v>
      </c>
      <c r="E16" s="92" t="str">
        <f>'Field data and Waste 1'!E16</f>
        <v>Medium/Clay</v>
      </c>
      <c r="F16" s="92" t="str">
        <f>'Field data and Waste 1'!F16</f>
        <v>Medium/Clay</v>
      </c>
      <c r="G16" s="92" t="str">
        <f>'Field data and Waste 1'!G16</f>
        <v>Medium/Clay</v>
      </c>
      <c r="H16" s="92" t="str">
        <f>'Field data and Waste 1'!H16</f>
        <v>Medium/Clay</v>
      </c>
      <c r="I16" s="92" t="str">
        <f>'Field data and Waste 1'!I16</f>
        <v>Medium/Clay</v>
      </c>
      <c r="J16" s="92" t="str">
        <f>'Field data and Waste 1'!J16</f>
        <v>Medium/Clay</v>
      </c>
      <c r="K16" s="92" t="str">
        <f>'Field data and Waste 1'!K16</f>
        <v>Medium/Clay</v>
      </c>
      <c r="L16" s="92" t="str">
        <f>'Field data and Waste 1'!L16</f>
        <v>Medium/Clay</v>
      </c>
      <c r="M16" s="92" t="str">
        <f>'Field data and Waste 1'!M16</f>
        <v>Medium/Clay</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20" t="s">
        <v>69</v>
      </c>
      <c r="B17" s="121"/>
      <c r="C17" s="21">
        <f>(VLOOKUP(C$14,$AI2:$AK26,2,FALSE))*C$15</f>
        <v>64.599999999999994</v>
      </c>
      <c r="D17" s="21">
        <f t="shared" ref="D17:V17" si="0">(VLOOKUP(D$14,$AI2:$AK26,2,FALSE))*D$15</f>
        <v>64.599999999999994</v>
      </c>
      <c r="E17" s="21">
        <f t="shared" si="0"/>
        <v>64.599999999999994</v>
      </c>
      <c r="F17" s="21">
        <f t="shared" si="0"/>
        <v>46.75</v>
      </c>
      <c r="G17" s="21">
        <f t="shared" si="0"/>
        <v>64.599999999999994</v>
      </c>
      <c r="H17" s="21">
        <f t="shared" si="0"/>
        <v>56</v>
      </c>
      <c r="I17" s="21">
        <f t="shared" si="0"/>
        <v>64.599999999999994</v>
      </c>
      <c r="J17" s="21">
        <f t="shared" si="0"/>
        <v>64.599999999999994</v>
      </c>
      <c r="K17" s="21">
        <f t="shared" si="0"/>
        <v>64.599999999999994</v>
      </c>
      <c r="L17" s="21">
        <f t="shared" si="0"/>
        <v>64.599999999999994</v>
      </c>
      <c r="M17" s="21">
        <f t="shared" si="0"/>
        <v>64.599999999999994</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8" t="s">
        <v>23</v>
      </c>
      <c r="B18" s="119"/>
      <c r="C18" s="13">
        <f>$D31</f>
        <v>64.427502000000004</v>
      </c>
      <c r="D18" s="13">
        <f>$D32</f>
        <v>64.427502000000004</v>
      </c>
      <c r="E18" s="13">
        <f>$D33</f>
        <v>64.427502000000004</v>
      </c>
      <c r="F18" s="13">
        <f>$D34</f>
        <v>46.447734000000004</v>
      </c>
      <c r="G18" s="13">
        <f>$D35</f>
        <v>64.427502000000004</v>
      </c>
      <c r="H18" s="13">
        <f>$D36</f>
        <v>73.417385999999993</v>
      </c>
      <c r="I18" s="13">
        <f>$D37</f>
        <v>74.915700000000001</v>
      </c>
      <c r="J18" s="13">
        <f>$D38</f>
        <v>74.915700000000001</v>
      </c>
      <c r="K18" s="13">
        <f>$D39</f>
        <v>74.915700000000001</v>
      </c>
      <c r="L18" s="13">
        <f>$D40</f>
        <v>74.915700000000001</v>
      </c>
      <c r="M18" s="13">
        <f>$D41</f>
        <v>74.915700000000001</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8" t="s">
        <v>90</v>
      </c>
      <c r="B19" s="119"/>
      <c r="C19" s="13">
        <f>C18-C17</f>
        <v>-0.17249799999999027</v>
      </c>
      <c r="D19" s="13">
        <f t="shared" ref="D19:V19" si="1">D18-D17</f>
        <v>-0.17249799999999027</v>
      </c>
      <c r="E19" s="13">
        <f t="shared" si="1"/>
        <v>-0.17249799999999027</v>
      </c>
      <c r="F19" s="13">
        <f t="shared" si="1"/>
        <v>-0.30226599999999593</v>
      </c>
      <c r="G19" s="13">
        <f t="shared" si="1"/>
        <v>-0.17249799999999027</v>
      </c>
      <c r="H19" s="13">
        <f t="shared" si="1"/>
        <v>17.417385999999993</v>
      </c>
      <c r="I19" s="13">
        <f t="shared" si="1"/>
        <v>10.315700000000007</v>
      </c>
      <c r="J19" s="13">
        <f t="shared" si="1"/>
        <v>10.315700000000007</v>
      </c>
      <c r="K19" s="13">
        <f t="shared" si="1"/>
        <v>10.315700000000007</v>
      </c>
      <c r="L19" s="13">
        <f t="shared" si="1"/>
        <v>10.315700000000007</v>
      </c>
      <c r="M19" s="13">
        <f t="shared" si="1"/>
        <v>10.315700000000007</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INCREASE</v>
      </c>
      <c r="I20" s="19" t="str">
        <f>IF($B37="","",IF(I$19&gt;=0,"INCREASE","DECREASE"))</f>
        <v>INCREASE</v>
      </c>
      <c r="J20" s="19" t="str">
        <f>IF($B38="","",IF(J$19&gt;=0,"INCREASE","DECREASE"))</f>
        <v>INCREASE</v>
      </c>
      <c r="K20" s="19" t="str">
        <f>IF($B39="","",IF(K$19&gt;=0,"INCREASE","DECREASE"))</f>
        <v>INCREASE</v>
      </c>
      <c r="L20" s="19" t="str">
        <f>IF($B40="","",IF(L$19&gt;=0,"INCREASE","DECREASE"))</f>
        <v>INCREASE</v>
      </c>
      <c r="M20" s="19" t="str">
        <f>IF($B41="","",IF(M$19&gt;=0,"INCREASE","DECREASE"))</f>
        <v>INCREASE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0" t="s">
        <v>88</v>
      </c>
      <c r="B21" s="121"/>
      <c r="C21" s="21">
        <f>(VLOOKUP(C$14,$AI2:$AK26,3,FALSE))*C$15</f>
        <v>228</v>
      </c>
      <c r="D21" s="21">
        <f t="shared" ref="D21:V21" si="2">(VLOOKUP(D$14,$AI2:$AK26,3,FALSE))*D$15</f>
        <v>228</v>
      </c>
      <c r="E21" s="21">
        <f t="shared" si="2"/>
        <v>228</v>
      </c>
      <c r="F21" s="21">
        <f t="shared" si="2"/>
        <v>66</v>
      </c>
      <c r="G21" s="21">
        <f t="shared" si="2"/>
        <v>228</v>
      </c>
      <c r="H21" s="21">
        <f t="shared" si="2"/>
        <v>84</v>
      </c>
      <c r="I21" s="21">
        <f t="shared" si="2"/>
        <v>228</v>
      </c>
      <c r="J21" s="21">
        <f t="shared" si="2"/>
        <v>228</v>
      </c>
      <c r="K21" s="21">
        <f t="shared" si="2"/>
        <v>228</v>
      </c>
      <c r="L21" s="21">
        <f t="shared" si="2"/>
        <v>228</v>
      </c>
      <c r="M21" s="21">
        <f t="shared" si="2"/>
        <v>228</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8" t="s">
        <v>89</v>
      </c>
      <c r="B22" s="119"/>
      <c r="C22" s="13">
        <f>$E31</f>
        <v>74.40634</v>
      </c>
      <c r="D22" s="13">
        <f>$E32</f>
        <v>74.40634</v>
      </c>
      <c r="E22" s="13">
        <f>$E33</f>
        <v>74.40634</v>
      </c>
      <c r="F22" s="13">
        <f>$E34</f>
        <v>53.641780000000004</v>
      </c>
      <c r="G22" s="13">
        <f>$E35</f>
        <v>74.40634</v>
      </c>
      <c r="H22" s="13">
        <f>$E36</f>
        <v>84.788620000000009</v>
      </c>
      <c r="I22" s="13">
        <f>$E37</f>
        <v>86.519000000000005</v>
      </c>
      <c r="J22" s="13">
        <f>$E38</f>
        <v>86.519000000000005</v>
      </c>
      <c r="K22" s="13">
        <f>$E39</f>
        <v>86.519000000000005</v>
      </c>
      <c r="L22" s="13">
        <f>$E40</f>
        <v>86.519000000000005</v>
      </c>
      <c r="M22" s="13">
        <f>$E41</f>
        <v>86.519000000000005</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8" t="s">
        <v>92</v>
      </c>
      <c r="B23" s="119"/>
      <c r="C23" s="13">
        <f>C22-C21</f>
        <v>-153.59366</v>
      </c>
      <c r="D23" s="13">
        <f t="shared" ref="D23:V23" si="3">D22-D21</f>
        <v>-153.59366</v>
      </c>
      <c r="E23" s="13">
        <f t="shared" si="3"/>
        <v>-153.59366</v>
      </c>
      <c r="F23" s="13">
        <f t="shared" si="3"/>
        <v>-12.358219999999996</v>
      </c>
      <c r="G23" s="13">
        <f t="shared" si="3"/>
        <v>-153.59366</v>
      </c>
      <c r="H23" s="13">
        <f t="shared" si="3"/>
        <v>0.78862000000000876</v>
      </c>
      <c r="I23" s="13">
        <f t="shared" si="3"/>
        <v>-141.48099999999999</v>
      </c>
      <c r="J23" s="13">
        <f t="shared" si="3"/>
        <v>-141.48099999999999</v>
      </c>
      <c r="K23" s="13">
        <f t="shared" si="3"/>
        <v>-141.48099999999999</v>
      </c>
      <c r="L23" s="13">
        <f t="shared" si="3"/>
        <v>-141.48099999999999</v>
      </c>
      <c r="M23" s="13">
        <f t="shared" si="3"/>
        <v>-141.48099999999999</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INCREASE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56</v>
      </c>
      <c r="D27" s="96" t="s">
        <v>54</v>
      </c>
      <c r="E27" s="96" t="s">
        <v>54</v>
      </c>
      <c r="F27" s="96" t="s">
        <v>54</v>
      </c>
      <c r="G27" s="96" t="s">
        <v>54</v>
      </c>
      <c r="H27" s="96" t="s">
        <v>54</v>
      </c>
      <c r="I27" s="96" t="s">
        <v>54</v>
      </c>
      <c r="J27" s="96" t="s">
        <v>54</v>
      </c>
      <c r="K27" s="96" t="s">
        <v>54</v>
      </c>
      <c r="L27" s="96" t="s">
        <v>54</v>
      </c>
      <c r="M27" s="96" t="s">
        <v>54</v>
      </c>
      <c r="N27" s="96" t="s">
        <v>54</v>
      </c>
      <c r="O27" s="96" t="s">
        <v>54</v>
      </c>
      <c r="P27" s="96" t="s">
        <v>54</v>
      </c>
      <c r="Q27" s="96" t="s">
        <v>54</v>
      </c>
      <c r="R27" s="96" t="s">
        <v>54</v>
      </c>
      <c r="S27" s="96" t="s">
        <v>54</v>
      </c>
      <c r="T27" s="96" t="s">
        <v>54</v>
      </c>
      <c r="U27" s="96" t="s">
        <v>54</v>
      </c>
    </row>
    <row r="28" spans="1:40" x14ac:dyDescent="0.25">
      <c r="A28" s="97"/>
      <c r="B28" s="17">
        <v>2.95</v>
      </c>
      <c r="C28" s="12">
        <v>0.1</v>
      </c>
      <c r="D28" s="12">
        <v>327</v>
      </c>
      <c r="E28" s="12">
        <v>718</v>
      </c>
      <c r="F28" s="12">
        <v>128</v>
      </c>
      <c r="G28" s="12">
        <v>0.5</v>
      </c>
      <c r="H28" s="12">
        <v>1</v>
      </c>
      <c r="I28" s="12">
        <v>0.5</v>
      </c>
      <c r="J28" s="12">
        <v>0.01</v>
      </c>
      <c r="K28" s="16">
        <v>0.05</v>
      </c>
      <c r="L28" s="12">
        <v>0.2</v>
      </c>
      <c r="M28" s="12">
        <v>0.2</v>
      </c>
      <c r="N28" s="12"/>
      <c r="O28" s="12"/>
      <c r="P28" s="12">
        <v>308</v>
      </c>
      <c r="Q28" s="12">
        <v>114</v>
      </c>
      <c r="R28" s="12"/>
      <c r="S28" s="12"/>
      <c r="T28" s="12"/>
      <c r="U28" s="12"/>
    </row>
    <row r="29" spans="1:40" s="7" customFormat="1" ht="27" x14ac:dyDescent="0.2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2</v>
      </c>
      <c r="B31" s="12">
        <v>86</v>
      </c>
      <c r="C31" s="68">
        <f>IF(C$27="%w/w SAR",((C$28*10)*$B31),IF(C$27="%w/w DM",(((C$28*10)*($B$28/100))*$B31),IF(C$27="kg/t SAR",(C$28*$B31),IF(C$27="kg/t DM",((C$28*($B$28/100))*$B31),IF(C$27="mg/kg SAR",((C$28*0.001)*$B31),IF(C$27="mg/kg DM",(((C$28*0.001)*($B$28/100))*$B31),0))))))</f>
        <v>86</v>
      </c>
      <c r="D31" s="68">
        <f>(IF(D$27="%w/w SAR",((D$28*10)*$B31),IF(D$27="%w/w DM",(((D$28*10)*($B$28/100))*$B31),IF(D$27="kg/t SAR",(D$28*$B31),IF(D$27="kg/t DM",((D$28*($B$28/100))*$B31),IF(D$27="mg/kg SAR",((D$28*0.001)*$B31),IF(D$27="mg/kg DM",(((D$28*0.001)*($B$28/100))*$B31),"0")))))))*2.291</f>
        <v>64.427502000000004</v>
      </c>
      <c r="E31" s="68">
        <f>(IF(E$27="%w/w SAR",((E$28*10)*$B31),IF(E$27="%w/w DM",(((E$28*10)*($B$28/100))*$B31),IF(E$27="kg/t SAR",(E$28*$B31),IF(E$27="kg/t DM",((E$28*($B$28/100))*$B31),IF(E$27="mg/kg SAR",((E$28*0.001)*$B31),IF(E$27="mg/kg DM",(((E$28*0.001)*($B$28/100))*$B31),"0")))))))*1.205</f>
        <v>74.40634</v>
      </c>
      <c r="F31" s="68">
        <f>(IF(F$27="%w/w SAR",((F$28*10)*$B31),IF(F$27="%w/w DM",(((F$28*10)*($B$28/100))*$B31),IF(F$27="kg/t SAR",(F$28*$B31),IF(F$27="kg/t DM",((F$28*($B$28/100))*$B31),IF(F$27="mg/kg SAR",((F$28*0.001)*$B31),IF(F$27="mg/kg DM",(((F$28*0.001)*($B$28/100))*$B31),"0")))))))*1.658</f>
        <v>18.251263999999999</v>
      </c>
      <c r="G31" s="68">
        <f t="shared" ref="G31:P46" si="5">IF(G$27="%w/w SAR",((G$28*10)*$B31),IF(G$27="%w/w DM",(((G$28*10)*($B$28/100))*$B31),IF(G$27="kg/t SAR",(G$28*$B31),IF(G$27="kg/t DM",((G$28*($B$28/100))*$B31),IF(G$27="mg/kg SAR",((G$28*0.001)*$B31),IF(G$27="mg/kg DM",(((G$28*0.001)*($B$28/100))*$B31),0))))))</f>
        <v>4.3000000000000003E-2</v>
      </c>
      <c r="H31" s="68">
        <f t="shared" si="5"/>
        <v>8.6000000000000007E-2</v>
      </c>
      <c r="I31" s="68">
        <f t="shared" si="5"/>
        <v>4.3000000000000003E-2</v>
      </c>
      <c r="J31" s="68">
        <f t="shared" si="5"/>
        <v>8.6000000000000009E-4</v>
      </c>
      <c r="K31" s="68">
        <f t="shared" si="5"/>
        <v>4.3E-3</v>
      </c>
      <c r="L31" s="68">
        <f t="shared" si="5"/>
        <v>1.72E-2</v>
      </c>
      <c r="M31" s="68">
        <f t="shared" si="5"/>
        <v>1.72E-2</v>
      </c>
      <c r="N31" s="68">
        <f t="shared" si="5"/>
        <v>0</v>
      </c>
      <c r="O31" s="68">
        <f t="shared" si="5"/>
        <v>0</v>
      </c>
      <c r="P31" s="68">
        <f t="shared" si="5"/>
        <v>26.488</v>
      </c>
      <c r="Q31" s="68">
        <f>(IF(Q$27="%w/w SAR",((Q$28*10)*$B31),IF(Q$27="%w/w DM",(((Q$28*10)*($B$28/100))*$B31),IF(Q$27="kg/t SAR",(Q$28*$B31),IF(Q$27="kg/t DM",((Q$28*($B$28/100))*$B31),IF(Q$27="mg/kg SAR",((Q$28*0.001)*$B31),IF(Q$27="mg/kg DM",(((Q$28*0.001)*($B$28/100))*$B31),0)))))))*2.5</f>
        <v>24.51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3</v>
      </c>
      <c r="B32" s="12">
        <v>86</v>
      </c>
      <c r="C32" s="68">
        <f t="shared" ref="C32:C50" si="6">IF(C$27="%w/w SAR",((C$28*10)*$B32),IF(C$27="%w/w DM",(((C$28*10)*($B$28/100))*$B32),IF(C$27="kg/t SAR",(C$28*$B32),IF(C$27="kg/t DM",((C$28*($B$28/100))*$B32),IF(C$27="mg/kg SAR",((C$28*0.001)*$B32),IF(C$27="mg/kg DM",(((C$28*0.001)*($B$28/100))*$B32),0))))))</f>
        <v>86</v>
      </c>
      <c r="D32" s="68">
        <f t="shared" ref="D32:D50" si="7">(IF(D$27="%w/w SAR",((D$28*10)*$B32),IF(D$27="%w/w DM",(((D$28*10)*($B$28/100))*$B32),IF(D$27="kg/t SAR",(D$28*$B32),IF(D$27="kg/t DM",((D$28*($B$28/100))*$B32),IF(D$27="mg/kg SAR",((D$28*0.001)*$B32),IF(D$27="mg/kg DM",(((D$28*0.001)*($B$28/100))*$B32),"0")))))))*2.291</f>
        <v>64.427502000000004</v>
      </c>
      <c r="E32" s="68">
        <f t="shared" ref="E32:E50" si="8">(IF(E$27="%w/w SAR",((E$28*10)*$B32),IF(E$27="%w/w DM",(((E$28*10)*($B$28/100))*$B32),IF(E$27="kg/t SAR",(E$28*$B32),IF(E$27="kg/t DM",((E$28*($B$28/100))*$B32),IF(E$27="mg/kg SAR",((E$28*0.001)*$B32),IF(E$27="mg/kg DM",(((E$28*0.001)*($B$28/100))*$B32),"0")))))))*1.205</f>
        <v>74.40634</v>
      </c>
      <c r="F32" s="68">
        <f t="shared" ref="F32:F50" si="9">(IF(F$27="%w/w SAR",((F$28*10)*$B32),IF(F$27="%w/w DM",(((F$28*10)*($B$28/100))*$B32),IF(F$27="kg/t SAR",(F$28*$B32),IF(F$27="kg/t DM",((F$28*($B$28/100))*$B32),IF(F$27="mg/kg SAR",((F$28*0.001)*$B32),IF(F$27="mg/kg DM",(((F$28*0.001)*($B$28/100))*$B32),"0")))))))*1.658</f>
        <v>18.251263999999999</v>
      </c>
      <c r="G32" s="68">
        <f t="shared" si="5"/>
        <v>4.3000000000000003E-2</v>
      </c>
      <c r="H32" s="68">
        <f t="shared" si="5"/>
        <v>8.6000000000000007E-2</v>
      </c>
      <c r="I32" s="68">
        <f t="shared" si="5"/>
        <v>4.3000000000000003E-2</v>
      </c>
      <c r="J32" s="68">
        <f t="shared" si="5"/>
        <v>8.6000000000000009E-4</v>
      </c>
      <c r="K32" s="68">
        <f t="shared" si="5"/>
        <v>4.3E-3</v>
      </c>
      <c r="L32" s="68">
        <f t="shared" si="5"/>
        <v>1.72E-2</v>
      </c>
      <c r="M32" s="68">
        <f t="shared" si="5"/>
        <v>1.72E-2</v>
      </c>
      <c r="N32" s="68">
        <f t="shared" si="5"/>
        <v>0</v>
      </c>
      <c r="O32" s="68">
        <f t="shared" si="5"/>
        <v>0</v>
      </c>
      <c r="P32" s="68">
        <f t="shared" si="5"/>
        <v>26.488</v>
      </c>
      <c r="Q32" s="68">
        <f t="shared" ref="Q32:Q50" si="10">(IF(Q$27="%w/w SAR",((Q$28*10)*$B32),IF(Q$27="%w/w DM",(((Q$28*10)*($B$28/100))*$B32),IF(Q$27="kg/t SAR",(Q$28*$B32),IF(Q$27="kg/t DM",((Q$28*($B$28/100))*$B32),IF(Q$27="mg/kg SAR",((Q$28*0.001)*$B32),IF(Q$27="mg/kg DM",(((Q$28*0.001)*($B$28/100))*$B32),0)))))))*2.5</f>
        <v>24.51</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f>E8</f>
        <v>4</v>
      </c>
      <c r="B33" s="12">
        <v>86</v>
      </c>
      <c r="C33" s="68">
        <f t="shared" si="6"/>
        <v>86</v>
      </c>
      <c r="D33" s="68">
        <f t="shared" si="7"/>
        <v>64.427502000000004</v>
      </c>
      <c r="E33" s="68">
        <f t="shared" si="8"/>
        <v>74.40634</v>
      </c>
      <c r="F33" s="68">
        <f t="shared" si="9"/>
        <v>18.251263999999999</v>
      </c>
      <c r="G33" s="68">
        <f t="shared" si="5"/>
        <v>4.3000000000000003E-2</v>
      </c>
      <c r="H33" s="68">
        <f t="shared" si="5"/>
        <v>8.6000000000000007E-2</v>
      </c>
      <c r="I33" s="68">
        <f t="shared" si="5"/>
        <v>4.3000000000000003E-2</v>
      </c>
      <c r="J33" s="68">
        <f t="shared" si="5"/>
        <v>8.6000000000000009E-4</v>
      </c>
      <c r="K33" s="68">
        <f t="shared" si="5"/>
        <v>4.3E-3</v>
      </c>
      <c r="L33" s="68">
        <f t="shared" si="5"/>
        <v>1.72E-2</v>
      </c>
      <c r="M33" s="68">
        <f t="shared" si="5"/>
        <v>1.72E-2</v>
      </c>
      <c r="N33" s="68">
        <f t="shared" si="5"/>
        <v>0</v>
      </c>
      <c r="O33" s="68">
        <f t="shared" si="5"/>
        <v>0</v>
      </c>
      <c r="P33" s="68">
        <f t="shared" si="5"/>
        <v>26.488</v>
      </c>
      <c r="Q33" s="68">
        <f t="shared" si="10"/>
        <v>24.51</v>
      </c>
      <c r="R33" s="68">
        <f t="shared" si="11"/>
        <v>0</v>
      </c>
      <c r="S33" s="68">
        <f t="shared" si="11"/>
        <v>0</v>
      </c>
      <c r="T33" s="68">
        <f t="shared" si="11"/>
        <v>0</v>
      </c>
      <c r="U33" s="68">
        <f t="shared" si="11"/>
        <v>0</v>
      </c>
    </row>
    <row r="34" spans="1:21" s="51" customFormat="1" x14ac:dyDescent="0.25">
      <c r="A34" s="10">
        <f>F8</f>
        <v>10</v>
      </c>
      <c r="B34" s="12">
        <v>62</v>
      </c>
      <c r="C34" s="68">
        <f t="shared" si="6"/>
        <v>62</v>
      </c>
      <c r="D34" s="68">
        <f t="shared" si="7"/>
        <v>46.447734000000004</v>
      </c>
      <c r="E34" s="68">
        <f t="shared" si="8"/>
        <v>53.641780000000004</v>
      </c>
      <c r="F34" s="68">
        <f t="shared" si="9"/>
        <v>13.157888</v>
      </c>
      <c r="G34" s="68">
        <f t="shared" si="5"/>
        <v>3.1E-2</v>
      </c>
      <c r="H34" s="68">
        <f t="shared" si="5"/>
        <v>6.2E-2</v>
      </c>
      <c r="I34" s="68">
        <f t="shared" si="5"/>
        <v>3.1E-2</v>
      </c>
      <c r="J34" s="68">
        <f t="shared" si="5"/>
        <v>6.2E-4</v>
      </c>
      <c r="K34" s="68">
        <f t="shared" si="5"/>
        <v>3.1000000000000003E-3</v>
      </c>
      <c r="L34" s="68">
        <f t="shared" si="5"/>
        <v>1.2400000000000001E-2</v>
      </c>
      <c r="M34" s="68">
        <f t="shared" si="5"/>
        <v>1.2400000000000001E-2</v>
      </c>
      <c r="N34" s="68">
        <f t="shared" si="5"/>
        <v>0</v>
      </c>
      <c r="O34" s="68">
        <f t="shared" si="5"/>
        <v>0</v>
      </c>
      <c r="P34" s="68">
        <f t="shared" si="5"/>
        <v>19.096</v>
      </c>
      <c r="Q34" s="68">
        <f t="shared" si="10"/>
        <v>17.670000000000002</v>
      </c>
      <c r="R34" s="68">
        <f t="shared" si="11"/>
        <v>0</v>
      </c>
      <c r="S34" s="68">
        <f t="shared" si="11"/>
        <v>0</v>
      </c>
      <c r="T34" s="68">
        <f t="shared" si="11"/>
        <v>0</v>
      </c>
      <c r="U34" s="68">
        <f t="shared" si="11"/>
        <v>0</v>
      </c>
    </row>
    <row r="35" spans="1:21" s="51" customFormat="1" x14ac:dyDescent="0.25">
      <c r="A35" s="10">
        <f>G8</f>
        <v>20</v>
      </c>
      <c r="B35" s="12">
        <v>86</v>
      </c>
      <c r="C35" s="68">
        <f t="shared" si="6"/>
        <v>86</v>
      </c>
      <c r="D35" s="68">
        <f t="shared" si="7"/>
        <v>64.427502000000004</v>
      </c>
      <c r="E35" s="68">
        <f t="shared" si="8"/>
        <v>74.40634</v>
      </c>
      <c r="F35" s="68">
        <f t="shared" si="9"/>
        <v>18.251263999999999</v>
      </c>
      <c r="G35" s="68">
        <f t="shared" si="5"/>
        <v>4.3000000000000003E-2</v>
      </c>
      <c r="H35" s="68">
        <f t="shared" si="5"/>
        <v>8.6000000000000007E-2</v>
      </c>
      <c r="I35" s="68">
        <f t="shared" si="5"/>
        <v>4.3000000000000003E-2</v>
      </c>
      <c r="J35" s="68">
        <f t="shared" si="5"/>
        <v>8.6000000000000009E-4</v>
      </c>
      <c r="K35" s="68">
        <f t="shared" si="5"/>
        <v>4.3E-3</v>
      </c>
      <c r="L35" s="68">
        <f t="shared" si="5"/>
        <v>1.72E-2</v>
      </c>
      <c r="M35" s="68">
        <f t="shared" si="5"/>
        <v>1.72E-2</v>
      </c>
      <c r="N35" s="68">
        <f t="shared" si="5"/>
        <v>0</v>
      </c>
      <c r="O35" s="68">
        <f t="shared" si="5"/>
        <v>0</v>
      </c>
      <c r="P35" s="68">
        <f t="shared" si="5"/>
        <v>26.488</v>
      </c>
      <c r="Q35" s="68">
        <f t="shared" si="10"/>
        <v>24.51</v>
      </c>
      <c r="R35" s="68">
        <f t="shared" si="11"/>
        <v>0</v>
      </c>
      <c r="S35" s="68">
        <f t="shared" si="11"/>
        <v>0</v>
      </c>
      <c r="T35" s="68">
        <f t="shared" si="11"/>
        <v>0</v>
      </c>
      <c r="U35" s="68">
        <f t="shared" si="11"/>
        <v>0</v>
      </c>
    </row>
    <row r="36" spans="1:21" s="51" customFormat="1" x14ac:dyDescent="0.25">
      <c r="A36" s="10">
        <f>H8</f>
        <v>7886</v>
      </c>
      <c r="B36" s="12">
        <v>98</v>
      </c>
      <c r="C36" s="68">
        <f t="shared" si="6"/>
        <v>98</v>
      </c>
      <c r="D36" s="68">
        <f t="shared" si="7"/>
        <v>73.417385999999993</v>
      </c>
      <c r="E36" s="68">
        <f t="shared" si="8"/>
        <v>84.788620000000009</v>
      </c>
      <c r="F36" s="68">
        <f t="shared" si="9"/>
        <v>20.797951999999999</v>
      </c>
      <c r="G36" s="68">
        <f t="shared" si="5"/>
        <v>4.9000000000000002E-2</v>
      </c>
      <c r="H36" s="68">
        <f t="shared" si="5"/>
        <v>9.8000000000000004E-2</v>
      </c>
      <c r="I36" s="68">
        <f t="shared" si="5"/>
        <v>4.9000000000000002E-2</v>
      </c>
      <c r="J36" s="68">
        <f t="shared" si="5"/>
        <v>9.8000000000000019E-4</v>
      </c>
      <c r="K36" s="68">
        <f t="shared" si="5"/>
        <v>4.8999999999999998E-3</v>
      </c>
      <c r="L36" s="68">
        <f t="shared" si="5"/>
        <v>1.9599999999999999E-2</v>
      </c>
      <c r="M36" s="68">
        <f t="shared" si="5"/>
        <v>1.9599999999999999E-2</v>
      </c>
      <c r="N36" s="68">
        <f t="shared" si="5"/>
        <v>0</v>
      </c>
      <c r="O36" s="68">
        <f t="shared" si="5"/>
        <v>0</v>
      </c>
      <c r="P36" s="68">
        <f t="shared" si="5"/>
        <v>30.184000000000001</v>
      </c>
      <c r="Q36" s="68">
        <f t="shared" si="10"/>
        <v>27.93</v>
      </c>
      <c r="R36" s="68">
        <f t="shared" si="11"/>
        <v>0</v>
      </c>
      <c r="S36" s="68">
        <f t="shared" si="11"/>
        <v>0</v>
      </c>
      <c r="T36" s="68">
        <f t="shared" si="11"/>
        <v>0</v>
      </c>
      <c r="U36" s="68">
        <f t="shared" si="11"/>
        <v>0</v>
      </c>
    </row>
    <row r="37" spans="1:21" s="51" customFormat="1" x14ac:dyDescent="0.25">
      <c r="A37" s="10">
        <f>I8</f>
        <v>8440</v>
      </c>
      <c r="B37" s="12">
        <v>100</v>
      </c>
      <c r="C37" s="68">
        <f t="shared" si="6"/>
        <v>100</v>
      </c>
      <c r="D37" s="68">
        <f t="shared" si="7"/>
        <v>74.915700000000001</v>
      </c>
      <c r="E37" s="68">
        <f t="shared" si="8"/>
        <v>86.519000000000005</v>
      </c>
      <c r="F37" s="68">
        <f t="shared" si="9"/>
        <v>21.2224</v>
      </c>
      <c r="G37" s="68">
        <f t="shared" si="5"/>
        <v>0.05</v>
      </c>
      <c r="H37" s="68">
        <f t="shared" si="5"/>
        <v>0.1</v>
      </c>
      <c r="I37" s="68">
        <f t="shared" si="5"/>
        <v>0.05</v>
      </c>
      <c r="J37" s="68">
        <f t="shared" si="5"/>
        <v>1E-3</v>
      </c>
      <c r="K37" s="68">
        <f t="shared" si="5"/>
        <v>5.0000000000000001E-3</v>
      </c>
      <c r="L37" s="68">
        <f t="shared" si="5"/>
        <v>0.02</v>
      </c>
      <c r="M37" s="68">
        <f t="shared" si="5"/>
        <v>0.02</v>
      </c>
      <c r="N37" s="68">
        <f t="shared" si="5"/>
        <v>0</v>
      </c>
      <c r="O37" s="68">
        <f t="shared" si="5"/>
        <v>0</v>
      </c>
      <c r="P37" s="68">
        <f t="shared" si="5"/>
        <v>30.8</v>
      </c>
      <c r="Q37" s="68">
        <f t="shared" si="10"/>
        <v>28.5</v>
      </c>
      <c r="R37" s="68">
        <f t="shared" si="11"/>
        <v>0</v>
      </c>
      <c r="S37" s="68">
        <f t="shared" si="11"/>
        <v>0</v>
      </c>
      <c r="T37" s="68">
        <f t="shared" si="11"/>
        <v>0</v>
      </c>
      <c r="U37" s="68">
        <f t="shared" si="11"/>
        <v>0</v>
      </c>
    </row>
    <row r="38" spans="1:21" s="51" customFormat="1" x14ac:dyDescent="0.25">
      <c r="A38" s="10">
        <f>J8</f>
        <v>8087</v>
      </c>
      <c r="B38" s="12">
        <v>100</v>
      </c>
      <c r="C38" s="68">
        <f t="shared" si="6"/>
        <v>100</v>
      </c>
      <c r="D38" s="68">
        <f t="shared" si="7"/>
        <v>74.915700000000001</v>
      </c>
      <c r="E38" s="68">
        <f t="shared" si="8"/>
        <v>86.519000000000005</v>
      </c>
      <c r="F38" s="68">
        <f t="shared" si="9"/>
        <v>21.2224</v>
      </c>
      <c r="G38" s="68">
        <f t="shared" si="5"/>
        <v>0.05</v>
      </c>
      <c r="H38" s="68">
        <f t="shared" si="5"/>
        <v>0.1</v>
      </c>
      <c r="I38" s="68">
        <f t="shared" si="5"/>
        <v>0.05</v>
      </c>
      <c r="J38" s="68">
        <f t="shared" si="5"/>
        <v>1E-3</v>
      </c>
      <c r="K38" s="68">
        <f t="shared" si="5"/>
        <v>5.0000000000000001E-3</v>
      </c>
      <c r="L38" s="68">
        <f t="shared" si="5"/>
        <v>0.02</v>
      </c>
      <c r="M38" s="68">
        <f t="shared" si="5"/>
        <v>0.02</v>
      </c>
      <c r="N38" s="68">
        <f t="shared" si="5"/>
        <v>0</v>
      </c>
      <c r="O38" s="68">
        <f t="shared" si="5"/>
        <v>0</v>
      </c>
      <c r="P38" s="68">
        <f t="shared" si="5"/>
        <v>30.8</v>
      </c>
      <c r="Q38" s="68">
        <f t="shared" si="10"/>
        <v>28.5</v>
      </c>
      <c r="R38" s="68">
        <f t="shared" si="11"/>
        <v>0</v>
      </c>
      <c r="S38" s="68">
        <f t="shared" si="11"/>
        <v>0</v>
      </c>
      <c r="T38" s="68">
        <f t="shared" si="11"/>
        <v>0</v>
      </c>
      <c r="U38" s="68">
        <f t="shared" si="11"/>
        <v>0</v>
      </c>
    </row>
    <row r="39" spans="1:21" s="51" customFormat="1" x14ac:dyDescent="0.25">
      <c r="A39" s="10">
        <f>K8</f>
        <v>8019</v>
      </c>
      <c r="B39" s="12">
        <v>100</v>
      </c>
      <c r="C39" s="68">
        <f t="shared" si="6"/>
        <v>100</v>
      </c>
      <c r="D39" s="68">
        <f t="shared" si="7"/>
        <v>74.915700000000001</v>
      </c>
      <c r="E39" s="68">
        <f t="shared" si="8"/>
        <v>86.519000000000005</v>
      </c>
      <c r="F39" s="68">
        <f t="shared" si="9"/>
        <v>21.2224</v>
      </c>
      <c r="G39" s="68">
        <f t="shared" si="5"/>
        <v>0.05</v>
      </c>
      <c r="H39" s="68">
        <f t="shared" si="5"/>
        <v>0.1</v>
      </c>
      <c r="I39" s="68">
        <f t="shared" si="5"/>
        <v>0.05</v>
      </c>
      <c r="J39" s="68">
        <f t="shared" si="5"/>
        <v>1E-3</v>
      </c>
      <c r="K39" s="68">
        <f t="shared" si="5"/>
        <v>5.0000000000000001E-3</v>
      </c>
      <c r="L39" s="68">
        <f t="shared" si="5"/>
        <v>0.02</v>
      </c>
      <c r="M39" s="68">
        <f t="shared" si="5"/>
        <v>0.02</v>
      </c>
      <c r="N39" s="68">
        <f t="shared" si="5"/>
        <v>0</v>
      </c>
      <c r="O39" s="68">
        <f t="shared" si="5"/>
        <v>0</v>
      </c>
      <c r="P39" s="68">
        <f t="shared" si="5"/>
        <v>30.8</v>
      </c>
      <c r="Q39" s="68">
        <f t="shared" si="10"/>
        <v>28.5</v>
      </c>
      <c r="R39" s="68">
        <f t="shared" si="11"/>
        <v>0</v>
      </c>
      <c r="S39" s="68">
        <f t="shared" si="11"/>
        <v>0</v>
      </c>
      <c r="T39" s="68">
        <f t="shared" si="11"/>
        <v>0</v>
      </c>
      <c r="U39" s="68">
        <f t="shared" si="11"/>
        <v>0</v>
      </c>
    </row>
    <row r="40" spans="1:21" s="51" customFormat="1" x14ac:dyDescent="0.25">
      <c r="A40" s="10">
        <f>L8</f>
        <v>234</v>
      </c>
      <c r="B40" s="12">
        <v>100</v>
      </c>
      <c r="C40" s="68">
        <f t="shared" si="6"/>
        <v>100</v>
      </c>
      <c r="D40" s="68">
        <f t="shared" si="7"/>
        <v>74.915700000000001</v>
      </c>
      <c r="E40" s="68">
        <f t="shared" si="8"/>
        <v>86.519000000000005</v>
      </c>
      <c r="F40" s="68">
        <f t="shared" si="9"/>
        <v>21.2224</v>
      </c>
      <c r="G40" s="68">
        <f t="shared" si="5"/>
        <v>0.05</v>
      </c>
      <c r="H40" s="68">
        <f t="shared" si="5"/>
        <v>0.1</v>
      </c>
      <c r="I40" s="68">
        <f t="shared" si="5"/>
        <v>0.05</v>
      </c>
      <c r="J40" s="68">
        <f t="shared" si="5"/>
        <v>1E-3</v>
      </c>
      <c r="K40" s="68">
        <f t="shared" si="5"/>
        <v>5.0000000000000001E-3</v>
      </c>
      <c r="L40" s="68">
        <f t="shared" si="5"/>
        <v>0.02</v>
      </c>
      <c r="M40" s="68">
        <f t="shared" si="5"/>
        <v>0.02</v>
      </c>
      <c r="N40" s="68">
        <f t="shared" si="5"/>
        <v>0</v>
      </c>
      <c r="O40" s="68">
        <f t="shared" si="5"/>
        <v>0</v>
      </c>
      <c r="P40" s="68">
        <f t="shared" si="5"/>
        <v>30.8</v>
      </c>
      <c r="Q40" s="68">
        <f t="shared" si="10"/>
        <v>28.5</v>
      </c>
      <c r="R40" s="68">
        <f t="shared" si="11"/>
        <v>0</v>
      </c>
      <c r="S40" s="68">
        <f t="shared" si="11"/>
        <v>0</v>
      </c>
      <c r="T40" s="68">
        <f t="shared" si="11"/>
        <v>0</v>
      </c>
      <c r="U40" s="68">
        <f t="shared" si="11"/>
        <v>0</v>
      </c>
    </row>
    <row r="41" spans="1:21" s="51" customFormat="1" x14ac:dyDescent="0.25">
      <c r="A41" s="10">
        <f>M8</f>
        <v>1735</v>
      </c>
      <c r="B41" s="12">
        <v>100</v>
      </c>
      <c r="C41" s="68">
        <f t="shared" si="6"/>
        <v>100</v>
      </c>
      <c r="D41" s="68">
        <f t="shared" si="7"/>
        <v>74.915700000000001</v>
      </c>
      <c r="E41" s="68">
        <f t="shared" si="8"/>
        <v>86.519000000000005</v>
      </c>
      <c r="F41" s="68">
        <f t="shared" si="9"/>
        <v>21.2224</v>
      </c>
      <c r="G41" s="68">
        <f t="shared" si="5"/>
        <v>0.05</v>
      </c>
      <c r="H41" s="68">
        <f t="shared" si="5"/>
        <v>0.1</v>
      </c>
      <c r="I41" s="68">
        <f t="shared" si="5"/>
        <v>0.05</v>
      </c>
      <c r="J41" s="68">
        <f t="shared" si="5"/>
        <v>1E-3</v>
      </c>
      <c r="K41" s="68">
        <f t="shared" si="5"/>
        <v>5.0000000000000001E-3</v>
      </c>
      <c r="L41" s="68">
        <f t="shared" si="5"/>
        <v>0.02</v>
      </c>
      <c r="M41" s="68">
        <f t="shared" si="5"/>
        <v>0.02</v>
      </c>
      <c r="N41" s="68">
        <f t="shared" si="5"/>
        <v>0</v>
      </c>
      <c r="O41" s="68">
        <f t="shared" si="5"/>
        <v>0</v>
      </c>
      <c r="P41" s="68">
        <f t="shared" si="5"/>
        <v>30.8</v>
      </c>
      <c r="Q41" s="68">
        <f t="shared" si="10"/>
        <v>28.5</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2</v>
      </c>
      <c r="C57" s="8">
        <f t="shared" ref="C57:U57" si="13">D8</f>
        <v>3</v>
      </c>
      <c r="D57" s="8">
        <f t="shared" si="13"/>
        <v>4</v>
      </c>
      <c r="E57" s="8">
        <f t="shared" si="13"/>
        <v>10</v>
      </c>
      <c r="F57" s="8">
        <f t="shared" si="13"/>
        <v>20</v>
      </c>
      <c r="G57" s="8">
        <f t="shared" si="13"/>
        <v>7886</v>
      </c>
      <c r="H57" s="8">
        <f t="shared" si="13"/>
        <v>8440</v>
      </c>
      <c r="I57" s="8">
        <f t="shared" si="13"/>
        <v>8087</v>
      </c>
      <c r="J57" s="8">
        <f t="shared" si="13"/>
        <v>8019</v>
      </c>
      <c r="K57" s="8">
        <f t="shared" si="13"/>
        <v>234</v>
      </c>
      <c r="L57" s="8">
        <f t="shared" si="13"/>
        <v>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Arable</v>
      </c>
      <c r="F58" s="10" t="str">
        <f>G16&amp;" I "&amp;(VLOOKUP(G14,Table24581112[],6,FALSE))</f>
        <v>Medium/Clay I Grass</v>
      </c>
      <c r="G58" s="10" t="str">
        <f>H16&amp;" I "&amp;(VLOOKUP(H14,Table24581112[],6,FALSE))</f>
        <v>Medium/Clay I Arable</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100" t="s">
        <v>132</v>
      </c>
      <c r="B59" s="67">
        <f>VLOOKUP(C$14,Table24581112[],5,FALSE)</f>
        <v>6.2</v>
      </c>
      <c r="C59" s="67">
        <f>VLOOKUP(D$14,Table24581112[],5,FALSE)</f>
        <v>6.2</v>
      </c>
      <c r="D59" s="67">
        <f>VLOOKUP(E$14,Table24581112[],5,FALSE)</f>
        <v>6.2</v>
      </c>
      <c r="E59" s="67">
        <f>VLOOKUP(F$14,Table24581112[],5,FALSE)</f>
        <v>6.7</v>
      </c>
      <c r="F59" s="67">
        <f>VLOOKUP(G$14,Table24581112[],5,FALSE)</f>
        <v>6.2</v>
      </c>
      <c r="G59" s="67">
        <f>VLOOKUP(H$14,Table24581112[],5,FALSE)</f>
        <v>6.7</v>
      </c>
      <c r="H59" s="67">
        <f>VLOOKUP(I$14,Table24581112[],5,FALSE)</f>
        <v>6.2</v>
      </c>
      <c r="I59" s="67">
        <f>VLOOKUP(J$14,Table24581112[],5,FALSE)</f>
        <v>6.2</v>
      </c>
      <c r="J59" s="67">
        <f>VLOOKUP(K$14,Table24581112[],5,FALSE)</f>
        <v>6.2</v>
      </c>
      <c r="K59" s="67">
        <f>VLOOKUP(L$14,Table24581112[],5,FALSE)</f>
        <v>6.2</v>
      </c>
      <c r="L59" s="67">
        <f>VLOOKUP(M$14,Table24581112[],5,FALSE)</f>
        <v>6.2</v>
      </c>
      <c r="M59" s="67" t="e">
        <f>VLOOKUP(N$14,Table24581112[],5,FALSE)</f>
        <v>#N/A</v>
      </c>
      <c r="N59" s="67" t="e">
        <f>VLOOKUP(O$14,Table24581112[],5,FALSE)</f>
        <v>#N/A</v>
      </c>
      <c r="O59" s="67" t="e">
        <f>VLOOKUP(P$14,Table24581112[],5,FALSE)</f>
        <v>#N/A</v>
      </c>
      <c r="P59" s="67" t="e">
        <f>VLOOKUP(Q$14,Table24581112[],5,FALSE)</f>
        <v>#N/A</v>
      </c>
      <c r="Q59" s="67" t="e">
        <f>VLOOKUP(R$14,Table24581112[],5,FALSE)</f>
        <v>#N/A</v>
      </c>
      <c r="R59" s="67" t="e">
        <f>VLOOKUP(S$14,Table24581112[],5,FALSE)</f>
        <v>#N/A</v>
      </c>
      <c r="S59" s="67" t="e">
        <f>VLOOKUP(T$14,Table24581112[],5,FALSE)</f>
        <v>#N/A</v>
      </c>
      <c r="T59" s="67" t="e">
        <f>VLOOKUP(U$14,Table24581112[],5,FALSE)</f>
        <v>#N/A</v>
      </c>
      <c r="U59" s="67" t="e">
        <f>VLOOKUP(V$14,Table24581112[],5,FALSE)</f>
        <v>#N/A</v>
      </c>
    </row>
    <row r="60" spans="1:21" x14ac:dyDescent="0.2">
      <c r="A60" s="100" t="s">
        <v>4</v>
      </c>
      <c r="B60" s="67">
        <f>C10</f>
        <v>7</v>
      </c>
      <c r="C60" s="67">
        <f t="shared" ref="C60:U60" si="14">D10</f>
        <v>6.4</v>
      </c>
      <c r="D60" s="67">
        <f t="shared" si="14"/>
        <v>6.1</v>
      </c>
      <c r="E60" s="67">
        <f t="shared" si="14"/>
        <v>6.7</v>
      </c>
      <c r="F60" s="67">
        <f t="shared" si="14"/>
        <v>6.3</v>
      </c>
      <c r="G60" s="67">
        <f t="shared" si="14"/>
        <v>6.6</v>
      </c>
      <c r="H60" s="67">
        <f t="shared" si="14"/>
        <v>5.6</v>
      </c>
      <c r="I60" s="67">
        <f t="shared" si="14"/>
        <v>6.2</v>
      </c>
      <c r="J60" s="67">
        <f t="shared" si="14"/>
        <v>6.4</v>
      </c>
      <c r="K60" s="67">
        <f t="shared" si="14"/>
        <v>6.2</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8</v>
      </c>
      <c r="F61" s="67">
        <f t="shared" si="15"/>
        <v>6</v>
      </c>
      <c r="G61" s="67">
        <f t="shared" si="15"/>
        <v>8</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86</v>
      </c>
      <c r="C62" s="68">
        <f>B32</f>
        <v>86</v>
      </c>
      <c r="D62" s="68">
        <f>B33</f>
        <v>86</v>
      </c>
      <c r="E62" s="68">
        <f>B34</f>
        <v>62</v>
      </c>
      <c r="F62" s="68">
        <f>B35</f>
        <v>86</v>
      </c>
      <c r="G62" s="68">
        <f>B36</f>
        <v>98</v>
      </c>
      <c r="H62" s="68">
        <f>B37</f>
        <v>100</v>
      </c>
      <c r="I62" s="68">
        <f>B38</f>
        <v>100</v>
      </c>
      <c r="J62" s="68">
        <f>B39</f>
        <v>100</v>
      </c>
      <c r="K62" s="68">
        <f>B40</f>
        <v>100</v>
      </c>
      <c r="L62" s="68">
        <f>B41</f>
        <v>100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-4.7999999999999989</v>
      </c>
      <c r="C64" s="68">
        <f t="shared" ref="C64:U64" si="17">(C59-C60)*C61</f>
        <v>-1.2000000000000011</v>
      </c>
      <c r="D64" s="68">
        <f t="shared" si="17"/>
        <v>0.6000000000000032</v>
      </c>
      <c r="E64" s="68">
        <f t="shared" si="17"/>
        <v>0</v>
      </c>
      <c r="F64" s="68">
        <f t="shared" si="17"/>
        <v>-0.59999999999999787</v>
      </c>
      <c r="G64" s="68">
        <f t="shared" si="17"/>
        <v>0.80000000000000426</v>
      </c>
      <c r="H64" s="68">
        <f t="shared" si="17"/>
        <v>3.6000000000000032</v>
      </c>
      <c r="I64" s="68">
        <f t="shared" si="17"/>
        <v>0</v>
      </c>
      <c r="J64" s="68">
        <f t="shared" si="17"/>
        <v>-1.2000000000000011</v>
      </c>
      <c r="K64" s="68">
        <f t="shared" si="17"/>
        <v>0</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4.7999999999999989</v>
      </c>
      <c r="C65" s="68">
        <f t="shared" ref="C65:U65" si="18">C63-C64</f>
        <v>1.2000000000000011</v>
      </c>
      <c r="D65" s="68">
        <f t="shared" si="18"/>
        <v>-0.6000000000000032</v>
      </c>
      <c r="E65" s="68">
        <f t="shared" si="18"/>
        <v>0</v>
      </c>
      <c r="F65" s="68">
        <f t="shared" si="18"/>
        <v>0.59999999999999787</v>
      </c>
      <c r="G65" s="68">
        <f t="shared" si="18"/>
        <v>-0.80000000000000426</v>
      </c>
      <c r="H65" s="68">
        <f t="shared" si="18"/>
        <v>-3.6000000000000032</v>
      </c>
      <c r="I65" s="68">
        <f t="shared" si="18"/>
        <v>0</v>
      </c>
      <c r="J65" s="68">
        <f t="shared" si="18"/>
        <v>1.2000000000000011</v>
      </c>
      <c r="K65" s="68">
        <f t="shared" si="18"/>
        <v>0</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UNDER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95" priority="36" operator="greaterThan">
      <formula>$B$51</formula>
    </cfRule>
  </conditionalFormatting>
  <conditionalFormatting sqref="B66:U66">
    <cfRule type="cellIs" dxfId="194" priority="11" operator="equal">
      <formula>"UNDER"</formula>
    </cfRule>
    <cfRule type="cellIs" dxfId="193" priority="12" operator="equal">
      <formula>"OVER"</formula>
    </cfRule>
  </conditionalFormatting>
  <conditionalFormatting sqref="C31:C50">
    <cfRule type="cellIs" dxfId="192" priority="35" operator="greaterThan">
      <formula>$C$51</formula>
    </cfRule>
  </conditionalFormatting>
  <conditionalFormatting sqref="C17:V19">
    <cfRule type="cellIs" dxfId="191" priority="32" operator="equal">
      <formula>0</formula>
    </cfRule>
  </conditionalFormatting>
  <conditionalFormatting sqref="C20:V21">
    <cfRule type="cellIs" dxfId="190" priority="37" operator="equal">
      <formula>"DECREASE"</formula>
    </cfRule>
    <cfRule type="cellIs" dxfId="189" priority="38" operator="equal">
      <formula>"INCREASE"</formula>
    </cfRule>
  </conditionalFormatting>
  <conditionalFormatting sqref="C21:V21">
    <cfRule type="cellIs" dxfId="188" priority="13" operator="equal">
      <formula>0</formula>
    </cfRule>
  </conditionalFormatting>
  <conditionalFormatting sqref="C22:V23">
    <cfRule type="cellIs" dxfId="187" priority="17" operator="equal">
      <formula>0</formula>
    </cfRule>
  </conditionalFormatting>
  <conditionalFormatting sqref="C24:V24">
    <cfRule type="cellIs" dxfId="186" priority="18" operator="equal">
      <formula>"DECREASE"</formula>
    </cfRule>
    <cfRule type="cellIs" dxfId="185" priority="19" operator="equal">
      <formula>"INCREASE"</formula>
    </cfRule>
  </conditionalFormatting>
  <conditionalFormatting sqref="G31:G50">
    <cfRule type="cellIs" dxfId="184" priority="31" operator="greaterThan">
      <formula>$G$51</formula>
    </cfRule>
  </conditionalFormatting>
  <conditionalFormatting sqref="H31:H50">
    <cfRule type="cellIs" dxfId="183" priority="30" operator="greaterThan">
      <formula>$H$51</formula>
    </cfRule>
  </conditionalFormatting>
  <conditionalFormatting sqref="I1">
    <cfRule type="cellIs" dxfId="182" priority="3" operator="between">
      <formula>0.1</formula>
      <formula>5</formula>
    </cfRule>
  </conditionalFormatting>
  <conditionalFormatting sqref="I2">
    <cfRule type="cellIs" dxfId="181" priority="2" operator="greaterThan">
      <formula>5000.1</formula>
    </cfRule>
  </conditionalFormatting>
  <conditionalFormatting sqref="I3">
    <cfRule type="cellIs" dxfId="180" priority="1" operator="greaterThan">
      <formula>40000.01</formula>
    </cfRule>
  </conditionalFormatting>
  <conditionalFormatting sqref="I31:I50">
    <cfRule type="cellIs" dxfId="179" priority="29" operator="greaterThan">
      <formula>$I$51</formula>
    </cfRule>
  </conditionalFormatting>
  <conditionalFormatting sqref="J31:J50">
    <cfRule type="cellIs" dxfId="178" priority="8" operator="greaterThan">
      <formula>$J$51</formula>
    </cfRule>
  </conditionalFormatting>
  <conditionalFormatting sqref="K31:K50">
    <cfRule type="cellIs" dxfId="177" priority="28" operator="greaterThan">
      <formula>$K$51</formula>
    </cfRule>
  </conditionalFormatting>
  <conditionalFormatting sqref="L3">
    <cfRule type="cellIs" dxfId="176" priority="4" operator="lessThan">
      <formula>30</formula>
    </cfRule>
    <cfRule type="cellIs" dxfId="175" priority="5" operator="greaterThanOrEqual">
      <formula>30</formula>
    </cfRule>
  </conditionalFormatting>
  <conditionalFormatting sqref="L31:L50">
    <cfRule type="cellIs" dxfId="174" priority="27" operator="greaterThan">
      <formula>$L$51</formula>
    </cfRule>
  </conditionalFormatting>
  <conditionalFormatting sqref="M31:M50">
    <cfRule type="cellIs" dxfId="173" priority="26" operator="greaterThan">
      <formula>$M$51</formula>
    </cfRule>
  </conditionalFormatting>
  <conditionalFormatting sqref="P31:P50">
    <cfRule type="cellIs" dxfId="172" priority="25" operator="greaterThan">
      <formula>$P$51</formula>
    </cfRule>
  </conditionalFormatting>
  <conditionalFormatting sqref="R31:R50">
    <cfRule type="cellIs" dxfId="171" priority="24" operator="greaterThan">
      <formula>$R$51</formula>
    </cfRule>
  </conditionalFormatting>
  <conditionalFormatting sqref="S31:S50">
    <cfRule type="cellIs" dxfId="170" priority="23" operator="greaterThan">
      <formula>$S$51</formula>
    </cfRule>
  </conditionalFormatting>
  <conditionalFormatting sqref="T31:T50">
    <cfRule type="cellIs" dxfId="169" priority="22" operator="greaterThan">
      <formula>$T$51</formula>
    </cfRule>
  </conditionalFormatting>
  <conditionalFormatting sqref="U31:U50">
    <cfRule type="cellIs" dxfId="168" priority="21"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13" zoomScale="90" zoomScaleNormal="90" workbookViewId="0">
      <selection activeCell="I2" sqref="I2"/>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14" t="s">
        <v>41</v>
      </c>
      <c r="B1" s="114"/>
      <c r="C1" s="127" t="str">
        <f>'Field data and Waste 1'!C1:D1</f>
        <v>PAN-026719</v>
      </c>
      <c r="D1" s="128"/>
      <c r="E1" s="83" t="s">
        <v>45</v>
      </c>
      <c r="F1" s="32">
        <f>'Field data and Waste 1'!F1</f>
        <v>49.7</v>
      </c>
      <c r="G1" s="110" t="s">
        <v>43</v>
      </c>
      <c r="H1" s="111"/>
      <c r="I1" s="86">
        <v>6.1</v>
      </c>
      <c r="J1" s="114" t="s">
        <v>153</v>
      </c>
      <c r="K1" s="114"/>
      <c r="L1" s="86">
        <v>133</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29" t="str">
        <f>'Field data and Waste 1'!C2:D2</f>
        <v>EPR/AB3891CX</v>
      </c>
      <c r="D2" s="130"/>
      <c r="E2" s="83" t="s">
        <v>109</v>
      </c>
      <c r="F2" s="86">
        <v>190902</v>
      </c>
      <c r="G2" s="112" t="s">
        <v>110</v>
      </c>
      <c r="H2" s="113"/>
      <c r="I2" s="86"/>
      <c r="J2" s="114" t="s">
        <v>158</v>
      </c>
      <c r="K2" s="114"/>
      <c r="L2" s="86">
        <v>0.7</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29" t="str">
        <f>'Field data and Waste 1'!C3:D3</f>
        <v>Stepside Agri</v>
      </c>
      <c r="D3" s="130"/>
      <c r="E3" s="83" t="s">
        <v>108</v>
      </c>
      <c r="F3" s="24" t="s">
        <v>78</v>
      </c>
      <c r="G3" s="114" t="s">
        <v>159</v>
      </c>
      <c r="H3" s="114"/>
      <c r="I3" s="86"/>
      <c r="J3" s="110" t="s">
        <v>154</v>
      </c>
      <c r="K3" s="111"/>
      <c r="L3" s="86">
        <f>(L1/(L2*10000))*100</f>
        <v>1.9</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7" t="str">
        <f>'Field data and Waste 1'!C4:D4</f>
        <v>Castell Malgwyn Farm, Llechryd, Cardigan, Ceredigion, SA43 2QB</v>
      </c>
      <c r="D4" s="128"/>
      <c r="E4" s="84" t="s">
        <v>1</v>
      </c>
      <c r="F4" s="86" t="s">
        <v>172</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7" t="str">
        <f>'Field data and Waste 1'!C5:D5</f>
        <v>Ethan Banfield</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Waste 1'!C8</f>
        <v>2</v>
      </c>
      <c r="D8" s="52">
        <f>'Field data and Waste 1'!D8</f>
        <v>3</v>
      </c>
      <c r="E8" s="52">
        <f>'Field data and Waste 1'!E8</f>
        <v>4</v>
      </c>
      <c r="F8" s="52">
        <f>'Field data and Waste 1'!F8</f>
        <v>10</v>
      </c>
      <c r="G8" s="52">
        <f>'Field data and Waste 1'!G8</f>
        <v>20</v>
      </c>
      <c r="H8" s="52">
        <f>'Field data and Waste 1'!H8</f>
        <v>7886</v>
      </c>
      <c r="I8" s="52">
        <f>'Field data and Waste 1'!I8</f>
        <v>8440</v>
      </c>
      <c r="J8" s="52">
        <f>'Field data and Waste 1'!J8</f>
        <v>8087</v>
      </c>
      <c r="K8" s="52">
        <f>'Field data and Waste 1'!K8</f>
        <v>8019</v>
      </c>
      <c r="L8" s="52">
        <f>'Field data and Waste 1'!L8</f>
        <v>234</v>
      </c>
      <c r="M8" s="52">
        <f>'Field data and Waste 1'!M8</f>
        <v>1735</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Waste 1'!C9</f>
        <v>Moderate</v>
      </c>
      <c r="D9" s="52" t="str">
        <f>'Field data and Waste 1'!D9</f>
        <v>Moderate</v>
      </c>
      <c r="E9" s="52" t="str">
        <f>'Field data and Waste 1'!E9</f>
        <v>Moderate</v>
      </c>
      <c r="F9" s="52">
        <f>'Field data and Waste 1'!F9</f>
        <v>1</v>
      </c>
      <c r="G9" s="52" t="str">
        <f>'Field data and Waste 1'!G9</f>
        <v>Moderate</v>
      </c>
      <c r="H9" s="52">
        <f>'Field data and Waste 1'!H9</f>
        <v>1</v>
      </c>
      <c r="I9" s="52" t="str">
        <f>'Field data and Waste 1'!I9</f>
        <v>Moderate</v>
      </c>
      <c r="J9" s="52" t="str">
        <f>'Field data and Waste 1'!J9</f>
        <v>Moderate</v>
      </c>
      <c r="K9" s="52" t="str">
        <f>'Field data and Waste 1'!K9</f>
        <v>Moderate</v>
      </c>
      <c r="L9" s="52" t="str">
        <f>'Field data and Waste 1'!L9</f>
        <v>Moderate</v>
      </c>
      <c r="M9" s="52" t="str">
        <f>'Field data and Waste 1'!M9</f>
        <v>Moderate</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Waste 1'!C10</f>
        <v>7</v>
      </c>
      <c r="D10" s="52">
        <f>'Field data and Waste 1'!D10</f>
        <v>6.4</v>
      </c>
      <c r="E10" s="52">
        <f>'Field data and Waste 1'!E10</f>
        <v>6.1</v>
      </c>
      <c r="F10" s="52">
        <f>'Field data and Waste 1'!F10</f>
        <v>6.7</v>
      </c>
      <c r="G10" s="52">
        <f>'Field data and Waste 1'!G10</f>
        <v>6.3</v>
      </c>
      <c r="H10" s="52">
        <f>'Field data and Waste 1'!H10</f>
        <v>6.6</v>
      </c>
      <c r="I10" s="52">
        <f>'Field data and Waste 1'!I10</f>
        <v>5.6</v>
      </c>
      <c r="J10" s="52">
        <f>'Field data and Waste 1'!J10</f>
        <v>6.2</v>
      </c>
      <c r="K10" s="52">
        <f>'Field data and Waste 1'!K10</f>
        <v>6.4</v>
      </c>
      <c r="L10" s="52">
        <f>'Field data and Waste 1'!L10</f>
        <v>6.2</v>
      </c>
      <c r="M10" s="52">
        <f>'Field data and Waste 1'!M10</f>
        <v>6.3</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Waste 1'!C11</f>
        <v>2</v>
      </c>
      <c r="D11" s="52">
        <f>'Field data and Waste 1'!D11</f>
        <v>2</v>
      </c>
      <c r="E11" s="52">
        <f>'Field data and Waste 1'!E11</f>
        <v>2</v>
      </c>
      <c r="F11" s="52">
        <f>'Field data and Waste 1'!F11</f>
        <v>3</v>
      </c>
      <c r="G11" s="52">
        <f>'Field data and Waste 1'!G11</f>
        <v>3</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Waste 1'!C12</f>
        <v>2</v>
      </c>
      <c r="D12" s="52">
        <f>'Field data and Waste 1'!D12</f>
        <v>2</v>
      </c>
      <c r="E12" s="52">
        <f>'Field data and Waste 1'!E12</f>
        <v>1</v>
      </c>
      <c r="F12" s="52">
        <f>'Field data and Waste 1'!F12</f>
        <v>2</v>
      </c>
      <c r="G12" s="52">
        <f>'Field data and Waste 1'!G12</f>
        <v>2</v>
      </c>
      <c r="H12" s="52">
        <f>'Field data and Waste 1'!H12</f>
        <v>2</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Waste 1'!C13</f>
        <v>2</v>
      </c>
      <c r="D13" s="52">
        <f>'Field data and Waste 1'!D13</f>
        <v>3</v>
      </c>
      <c r="E13" s="52">
        <f>'Field data and Waste 1'!E13</f>
        <v>3</v>
      </c>
      <c r="F13" s="52">
        <f>'Field data and Waste 1'!F13</f>
        <v>3</v>
      </c>
      <c r="G13" s="52">
        <f>'Field data and Waste 1'!G13</f>
        <v>2</v>
      </c>
      <c r="H13" s="52">
        <f>'Field data and Waste 1'!H13</f>
        <v>2</v>
      </c>
      <c r="I13" s="52">
        <f>'Field data and Waste 1'!I13</f>
        <v>3</v>
      </c>
      <c r="J13" s="52">
        <f>'Field data and Waste 1'!J13</f>
        <v>3</v>
      </c>
      <c r="K13" s="52">
        <f>'Field data and Waste 1'!K13</f>
        <v>3</v>
      </c>
      <c r="L13" s="52">
        <f>'Field data and Waste 1'!L13</f>
        <v>3</v>
      </c>
      <c r="M13" s="52">
        <f>'Field data and Waste 1'!M13</f>
        <v>3</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3" t="s">
        <v>8</v>
      </c>
      <c r="B14" s="123"/>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Spring wheat/barley</v>
      </c>
      <c r="G14" s="91" t="str">
        <f>'Field data and Waste 1'!G14</f>
        <v xml:space="preserve">Grass Silage (25% DM) </v>
      </c>
      <c r="H14" s="91" t="str">
        <f>'Field data and Waste 1'!H14</f>
        <v>Winter wheat- grain &amp; straw</v>
      </c>
      <c r="I14" s="91" t="str">
        <f>'Field data and Waste 1'!I14</f>
        <v xml:space="preserve">Grass Silage (25% DM) </v>
      </c>
      <c r="J14" s="91" t="str">
        <f>'Field data and Waste 1'!J14</f>
        <v xml:space="preserve">Grass Silage (25% DM) </v>
      </c>
      <c r="K14" s="91" t="str">
        <f>'Field data and Waste 1'!K14</f>
        <v xml:space="preserve">Grass Silage (25% DM) </v>
      </c>
      <c r="L14" s="91" t="str">
        <f>'Field data and Waste 1'!L14</f>
        <v xml:space="preserve">Grass Silage (25% DM) </v>
      </c>
      <c r="M14" s="91" t="str">
        <f>'Field data and Waste 1'!M14</f>
        <v xml:space="preserve">Grass Silage (25% DM) </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22" t="s">
        <v>9</v>
      </c>
      <c r="B15" s="122"/>
      <c r="C15" s="52">
        <f>'Field data and Waste 1'!C15</f>
        <v>38</v>
      </c>
      <c r="D15" s="52">
        <f>'Field data and Waste 1'!D15</f>
        <v>38</v>
      </c>
      <c r="E15" s="52">
        <f>'Field data and Waste 1'!E15</f>
        <v>38</v>
      </c>
      <c r="F15" s="52">
        <f>'Field data and Waste 1'!F15</f>
        <v>5.5</v>
      </c>
      <c r="G15" s="52">
        <f>'Field data and Waste 1'!G15</f>
        <v>38</v>
      </c>
      <c r="H15" s="52">
        <f>'Field data and Waste 1'!H15</f>
        <v>8</v>
      </c>
      <c r="I15" s="52">
        <f>'Field data and Waste 1'!I15</f>
        <v>38</v>
      </c>
      <c r="J15" s="52">
        <f>'Field data and Waste 1'!J15</f>
        <v>38</v>
      </c>
      <c r="K15" s="52">
        <f>'Field data and Waste 1'!K15</f>
        <v>38</v>
      </c>
      <c r="L15" s="52">
        <f>'Field data and Waste 1'!L15</f>
        <v>38</v>
      </c>
      <c r="M15" s="52">
        <f>'Field data and Waste 1'!M15</f>
        <v>38</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24" t="s">
        <v>44</v>
      </c>
      <c r="B16" s="124"/>
      <c r="C16" s="92" t="str">
        <f>'Field data and Waste 1'!C16</f>
        <v>Medium/Clay</v>
      </c>
      <c r="D16" s="92" t="str">
        <f>'Field data and Waste 1'!D16</f>
        <v>Medium/Clay</v>
      </c>
      <c r="E16" s="92" t="str">
        <f>'Field data and Waste 1'!E16</f>
        <v>Medium/Clay</v>
      </c>
      <c r="F16" s="92" t="str">
        <f>'Field data and Waste 1'!F16</f>
        <v>Medium/Clay</v>
      </c>
      <c r="G16" s="92" t="str">
        <f>'Field data and Waste 1'!G16</f>
        <v>Medium/Clay</v>
      </c>
      <c r="H16" s="92" t="str">
        <f>'Field data and Waste 1'!H16</f>
        <v>Medium/Clay</v>
      </c>
      <c r="I16" s="92" t="str">
        <f>'Field data and Waste 1'!I16</f>
        <v>Medium/Clay</v>
      </c>
      <c r="J16" s="92" t="str">
        <f>'Field data and Waste 1'!J16</f>
        <v>Medium/Clay</v>
      </c>
      <c r="K16" s="92" t="str">
        <f>'Field data and Waste 1'!K16</f>
        <v>Medium/Clay</v>
      </c>
      <c r="L16" s="92" t="str">
        <f>'Field data and Waste 1'!L16</f>
        <v>Medium/Clay</v>
      </c>
      <c r="M16" s="92" t="str">
        <f>'Field data and Waste 1'!M16</f>
        <v>Medium/Clay</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20" t="s">
        <v>69</v>
      </c>
      <c r="B17" s="121"/>
      <c r="C17" s="21">
        <f>(VLOOKUP(C$14,$AI2:$AK26,2,FALSE))*C$15</f>
        <v>64.599999999999994</v>
      </c>
      <c r="D17" s="21">
        <f t="shared" ref="D17:V17" si="0">(VLOOKUP(D$14,$AI2:$AK26,2,FALSE))*D$15</f>
        <v>64.599999999999994</v>
      </c>
      <c r="E17" s="21">
        <f t="shared" si="0"/>
        <v>64.599999999999994</v>
      </c>
      <c r="F17" s="21">
        <f t="shared" si="0"/>
        <v>46.75</v>
      </c>
      <c r="G17" s="21">
        <f t="shared" si="0"/>
        <v>64.599999999999994</v>
      </c>
      <c r="H17" s="21">
        <f t="shared" si="0"/>
        <v>56</v>
      </c>
      <c r="I17" s="21">
        <f t="shared" si="0"/>
        <v>64.599999999999994</v>
      </c>
      <c r="J17" s="21">
        <f t="shared" si="0"/>
        <v>64.599999999999994</v>
      </c>
      <c r="K17" s="21">
        <f t="shared" si="0"/>
        <v>64.599999999999994</v>
      </c>
      <c r="L17" s="21">
        <f t="shared" si="0"/>
        <v>64.599999999999994</v>
      </c>
      <c r="M17" s="21">
        <f t="shared" si="0"/>
        <v>64.599999999999994</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8" t="s">
        <v>23</v>
      </c>
      <c r="B18" s="119"/>
      <c r="C18" s="13">
        <f>$D31</f>
        <v>32.617402290000001</v>
      </c>
      <c r="D18" s="13">
        <f>$D32</f>
        <v>32.617402290000001</v>
      </c>
      <c r="E18" s="13">
        <f>$D33</f>
        <v>32.617402290000001</v>
      </c>
      <c r="F18" s="13">
        <f>$D34</f>
        <v>29.652183899999997</v>
      </c>
      <c r="G18" s="13">
        <f>$D35</f>
        <v>32.617402290000001</v>
      </c>
      <c r="H18" s="13">
        <f>$D36</f>
        <v>29.652183899999997</v>
      </c>
      <c r="I18" s="13">
        <f>$D37</f>
        <v>32.617402290000001</v>
      </c>
      <c r="J18" s="13">
        <f>$D38</f>
        <v>32.617402290000001</v>
      </c>
      <c r="K18" s="13">
        <f>$D39</f>
        <v>32.617402290000001</v>
      </c>
      <c r="L18" s="13">
        <f>$D40</f>
        <v>32.617402290000001</v>
      </c>
      <c r="M18" s="13">
        <f>$D41</f>
        <v>32.617402290000001</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8" t="s">
        <v>90</v>
      </c>
      <c r="B19" s="119"/>
      <c r="C19" s="13">
        <f>C18-C17</f>
        <v>-31.982597709999993</v>
      </c>
      <c r="D19" s="13">
        <f t="shared" ref="D19:V19" si="1">D18-D17</f>
        <v>-31.982597709999993</v>
      </c>
      <c r="E19" s="13">
        <f t="shared" si="1"/>
        <v>-31.982597709999993</v>
      </c>
      <c r="F19" s="13">
        <f t="shared" si="1"/>
        <v>-17.097816100000003</v>
      </c>
      <c r="G19" s="13">
        <f t="shared" si="1"/>
        <v>-31.982597709999993</v>
      </c>
      <c r="H19" s="13">
        <f t="shared" si="1"/>
        <v>-26.347816100000003</v>
      </c>
      <c r="I19" s="13">
        <f t="shared" si="1"/>
        <v>-31.982597709999993</v>
      </c>
      <c r="J19" s="13">
        <f t="shared" si="1"/>
        <v>-31.982597709999993</v>
      </c>
      <c r="K19" s="13">
        <f t="shared" si="1"/>
        <v>-31.982597709999993</v>
      </c>
      <c r="L19" s="13">
        <f t="shared" si="1"/>
        <v>-31.982597709999993</v>
      </c>
      <c r="M19" s="13">
        <f t="shared" si="1"/>
        <v>-31.982597709999993</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0" t="s">
        <v>88</v>
      </c>
      <c r="B21" s="121"/>
      <c r="C21" s="21">
        <f>(VLOOKUP(C$14,$AI2:$AK26,3,FALSE))*C$15</f>
        <v>228</v>
      </c>
      <c r="D21" s="21">
        <f t="shared" ref="D21:V21" si="2">(VLOOKUP(D$14,$AI2:$AK26,3,FALSE))*D$15</f>
        <v>228</v>
      </c>
      <c r="E21" s="21">
        <f t="shared" si="2"/>
        <v>228</v>
      </c>
      <c r="F21" s="21">
        <f t="shared" si="2"/>
        <v>66</v>
      </c>
      <c r="G21" s="21">
        <f t="shared" si="2"/>
        <v>228</v>
      </c>
      <c r="H21" s="21">
        <f t="shared" si="2"/>
        <v>84</v>
      </c>
      <c r="I21" s="21">
        <f t="shared" si="2"/>
        <v>228</v>
      </c>
      <c r="J21" s="21">
        <f t="shared" si="2"/>
        <v>228</v>
      </c>
      <c r="K21" s="21">
        <f t="shared" si="2"/>
        <v>228</v>
      </c>
      <c r="L21" s="21">
        <f t="shared" si="2"/>
        <v>228</v>
      </c>
      <c r="M21" s="21">
        <f t="shared" si="2"/>
        <v>228</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8" t="s">
        <v>89</v>
      </c>
      <c r="B22" s="119"/>
      <c r="C22" s="13">
        <f>$E31</f>
        <v>1.6333274924999999</v>
      </c>
      <c r="D22" s="13">
        <f>$E32</f>
        <v>1.6333274924999999</v>
      </c>
      <c r="E22" s="13">
        <f>$E33</f>
        <v>1.6333274924999999</v>
      </c>
      <c r="F22" s="13">
        <f>$E34</f>
        <v>1.4848431749999997</v>
      </c>
      <c r="G22" s="13">
        <f>$E35</f>
        <v>1.6333274924999999</v>
      </c>
      <c r="H22" s="13">
        <f>$E36</f>
        <v>1.4848431749999997</v>
      </c>
      <c r="I22" s="13">
        <f>$E37</f>
        <v>1.6333274924999999</v>
      </c>
      <c r="J22" s="13">
        <f>$E38</f>
        <v>1.6333274924999999</v>
      </c>
      <c r="K22" s="13">
        <f>$E39</f>
        <v>1.6333274924999999</v>
      </c>
      <c r="L22" s="13">
        <f>$E40</f>
        <v>1.6333274924999999</v>
      </c>
      <c r="M22" s="13">
        <f>$E41</f>
        <v>1.6333274924999999</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8" t="s">
        <v>92</v>
      </c>
      <c r="B23" s="119"/>
      <c r="C23" s="13">
        <f>C22-C21</f>
        <v>-226.3666725075</v>
      </c>
      <c r="D23" s="13">
        <f t="shared" ref="D23:V23" si="3">D22-D21</f>
        <v>-226.3666725075</v>
      </c>
      <c r="E23" s="13">
        <f t="shared" si="3"/>
        <v>-226.3666725075</v>
      </c>
      <c r="F23" s="13">
        <f t="shared" si="3"/>
        <v>-64.515156825000005</v>
      </c>
      <c r="G23" s="13">
        <f t="shared" si="3"/>
        <v>-226.3666725075</v>
      </c>
      <c r="H23" s="13">
        <f t="shared" si="3"/>
        <v>-82.515156825000005</v>
      </c>
      <c r="I23" s="13">
        <f t="shared" si="3"/>
        <v>-226.3666725075</v>
      </c>
      <c r="J23" s="13">
        <f t="shared" si="3"/>
        <v>-226.3666725075</v>
      </c>
      <c r="K23" s="13">
        <f t="shared" si="3"/>
        <v>-226.3666725075</v>
      </c>
      <c r="L23" s="13">
        <f t="shared" si="3"/>
        <v>-226.3666725075</v>
      </c>
      <c r="M23" s="13">
        <f t="shared" si="3"/>
        <v>-226.3666725075</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25">
      <c r="A28" s="97"/>
      <c r="B28" s="17">
        <v>5.91</v>
      </c>
      <c r="C28" s="12">
        <v>0.7</v>
      </c>
      <c r="D28" s="12">
        <v>0.14599999999999999</v>
      </c>
      <c r="E28" s="12">
        <v>1.3899999999999999E-2</v>
      </c>
      <c r="F28" s="12">
        <v>312</v>
      </c>
      <c r="G28" s="12">
        <v>8.91</v>
      </c>
      <c r="H28" s="12">
        <v>208</v>
      </c>
      <c r="I28" s="12">
        <v>29.1</v>
      </c>
      <c r="J28" s="12">
        <v>0.34</v>
      </c>
      <c r="K28" s="16">
        <v>0.68</v>
      </c>
      <c r="L28" s="12">
        <v>23.5</v>
      </c>
      <c r="M28" s="12">
        <v>16</v>
      </c>
      <c r="N28" s="12">
        <v>2960</v>
      </c>
      <c r="O28" s="12">
        <v>404000</v>
      </c>
      <c r="P28" s="12"/>
      <c r="Q28" s="12">
        <v>4870</v>
      </c>
      <c r="R28" s="12"/>
      <c r="S28" s="12">
        <v>22.6</v>
      </c>
      <c r="T28" s="12"/>
      <c r="U28" s="12"/>
    </row>
    <row r="29" spans="1:40" s="7" customFormat="1" ht="27" x14ac:dyDescent="0.2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2</v>
      </c>
      <c r="B31" s="12">
        <v>165</v>
      </c>
      <c r="C31" s="68">
        <f>IF(C$27="%w/w SAR",((C$28*10)*$B31),IF(C$27="%w/w DM",(((C$28*10)*($B$28/100))*$B31),IF(C$27="kg/t SAR",(C$28*$B31),IF(C$27="kg/t DM",((C$28*($B$28/100))*$B31),IF(C$27="mg/kg SAR",((C$28*0.001)*$B31),IF(C$27="mg/kg DM",(((C$28*0.001)*($B$28/100))*$B31),0))))))</f>
        <v>68.260500000000008</v>
      </c>
      <c r="D31" s="68">
        <f>(IF(D$27="%w/w SAR",((D$28*10)*$B31),IF(D$27="%w/w DM",(((D$28*10)*($B$28/100))*$B31),IF(D$27="kg/t SAR",(D$28*$B31),IF(D$27="kg/t DM",((D$28*($B$28/100))*$B31),IF(D$27="mg/kg SAR",((D$28*0.001)*$B31),IF(D$27="mg/kg DM",(((D$28*0.001)*($B$28/100))*$B31),"0")))))))*2.291</f>
        <v>32.617402290000001</v>
      </c>
      <c r="E31" s="68">
        <f>(IF(E$27="%w/w SAR",((E$28*10)*$B31),IF(E$27="%w/w DM",(((E$28*10)*($B$28/100))*$B31),IF(E$27="kg/t SAR",(E$28*$B31),IF(E$27="kg/t DM",((E$28*($B$28/100))*$B31),IF(E$27="mg/kg SAR",((E$28*0.001)*$B31),IF(E$27="mg/kg DM",(((E$28*0.001)*($B$28/100))*$B31),"0")))))))*1.205</f>
        <v>1.6333274924999999</v>
      </c>
      <c r="F31" s="68">
        <f>(IF(F$27="%w/w SAR",((F$28*10)*$B31),IF(F$27="%w/w DM",(((F$28*10)*($B$28/100))*$B31),IF(F$27="kg/t SAR",(F$28*$B31),IF(F$27="kg/t DM",((F$28*($B$28/100))*$B31),IF(F$27="mg/kg SAR",((F$28*0.001)*$B31),IF(F$27="mg/kg DM",(((F$28*0.001)*($B$28/100))*$B31),"0")))))))*1.658</f>
        <v>5.0444119439999993</v>
      </c>
      <c r="G31" s="68">
        <f t="shared" ref="G31:P46" si="5">IF(G$27="%w/w SAR",((G$28*10)*$B31),IF(G$27="%w/w DM",(((G$28*10)*($B$28/100))*$B31),IF(G$27="kg/t SAR",(G$28*$B31),IF(G$27="kg/t DM",((G$28*($B$28/100))*$B31),IF(G$27="mg/kg SAR",((G$28*0.001)*$B31),IF(G$27="mg/kg DM",(((G$28*0.001)*($B$28/100))*$B31),0))))))</f>
        <v>8.6885864999999993E-2</v>
      </c>
      <c r="H31" s="68">
        <f t="shared" si="5"/>
        <v>2.0283120000000001</v>
      </c>
      <c r="I31" s="68">
        <f t="shared" si="5"/>
        <v>0.28376865000000001</v>
      </c>
      <c r="J31" s="68">
        <f t="shared" si="5"/>
        <v>3.3155100000000002E-3</v>
      </c>
      <c r="K31" s="68">
        <f t="shared" si="5"/>
        <v>6.6310200000000005E-3</v>
      </c>
      <c r="L31" s="68">
        <f t="shared" si="5"/>
        <v>0.22916025000000001</v>
      </c>
      <c r="M31" s="68">
        <f t="shared" si="5"/>
        <v>0.156024</v>
      </c>
      <c r="N31" s="68">
        <f t="shared" si="5"/>
        <v>28.864440000000002</v>
      </c>
      <c r="O31" s="68">
        <f t="shared" si="5"/>
        <v>3939.6060000000002</v>
      </c>
      <c r="P31" s="68">
        <f t="shared" si="5"/>
        <v>0</v>
      </c>
      <c r="Q31" s="68">
        <f>(IF(Q$27="%w/w SAR",((Q$28*10)*$B31),IF(Q$27="%w/w DM",(((Q$28*10)*($B$28/100))*$B31),IF(Q$27="kg/t SAR",(Q$28*$B31),IF(Q$27="kg/t DM",((Q$28*($B$28/100))*$B31),IF(Q$27="mg/kg SAR",((Q$28*0.001)*$B31),IF(Q$27="mg/kg DM",(((Q$28*0.001)*($B$28/100))*$B31),0)))))))*2.5</f>
        <v>118.72451249999999</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0.22038389999999999</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3</v>
      </c>
      <c r="B32" s="12">
        <v>165</v>
      </c>
      <c r="C32" s="68">
        <f t="shared" ref="C32:C50" si="6">IF(C$27="%w/w SAR",((C$28*10)*$B32),IF(C$27="%w/w DM",(((C$28*10)*($B$28/100))*$B32),IF(C$27="kg/t SAR",(C$28*$B32),IF(C$27="kg/t DM",((C$28*($B$28/100))*$B32),IF(C$27="mg/kg SAR",((C$28*0.001)*$B32),IF(C$27="mg/kg DM",(((C$28*0.001)*($B$28/100))*$B32),0))))))</f>
        <v>68.260500000000008</v>
      </c>
      <c r="D32" s="68">
        <f t="shared" ref="D32:D50" si="7">(IF(D$27="%w/w SAR",((D$28*10)*$B32),IF(D$27="%w/w DM",(((D$28*10)*($B$28/100))*$B32),IF(D$27="kg/t SAR",(D$28*$B32),IF(D$27="kg/t DM",((D$28*($B$28/100))*$B32),IF(D$27="mg/kg SAR",((D$28*0.001)*$B32),IF(D$27="mg/kg DM",(((D$28*0.001)*($B$28/100))*$B32),"0")))))))*2.291</f>
        <v>32.617402290000001</v>
      </c>
      <c r="E32" s="68">
        <f t="shared" ref="E32:E50" si="8">(IF(E$27="%w/w SAR",((E$28*10)*$B32),IF(E$27="%w/w DM",(((E$28*10)*($B$28/100))*$B32),IF(E$27="kg/t SAR",(E$28*$B32),IF(E$27="kg/t DM",((E$28*($B$28/100))*$B32),IF(E$27="mg/kg SAR",((E$28*0.001)*$B32),IF(E$27="mg/kg DM",(((E$28*0.001)*($B$28/100))*$B32),"0")))))))*1.205</f>
        <v>1.6333274924999999</v>
      </c>
      <c r="F32" s="68">
        <f t="shared" ref="F32:F50" si="9">(IF(F$27="%w/w SAR",((F$28*10)*$B32),IF(F$27="%w/w DM",(((F$28*10)*($B$28/100))*$B32),IF(F$27="kg/t SAR",(F$28*$B32),IF(F$27="kg/t DM",((F$28*($B$28/100))*$B32),IF(F$27="mg/kg SAR",((F$28*0.001)*$B32),IF(F$27="mg/kg DM",(((F$28*0.001)*($B$28/100))*$B32),"0")))))))*1.658</f>
        <v>5.0444119439999993</v>
      </c>
      <c r="G32" s="68">
        <f t="shared" si="5"/>
        <v>8.6885864999999993E-2</v>
      </c>
      <c r="H32" s="68">
        <f t="shared" si="5"/>
        <v>2.0283120000000001</v>
      </c>
      <c r="I32" s="68">
        <f t="shared" si="5"/>
        <v>0.28376865000000001</v>
      </c>
      <c r="J32" s="68">
        <f t="shared" si="5"/>
        <v>3.3155100000000002E-3</v>
      </c>
      <c r="K32" s="68">
        <f t="shared" si="5"/>
        <v>6.6310200000000005E-3</v>
      </c>
      <c r="L32" s="68">
        <f t="shared" si="5"/>
        <v>0.22916025000000001</v>
      </c>
      <c r="M32" s="68">
        <f t="shared" si="5"/>
        <v>0.156024</v>
      </c>
      <c r="N32" s="68">
        <f t="shared" si="5"/>
        <v>28.864440000000002</v>
      </c>
      <c r="O32" s="68">
        <f t="shared" si="5"/>
        <v>3939.6060000000002</v>
      </c>
      <c r="P32" s="68">
        <f t="shared" si="5"/>
        <v>0</v>
      </c>
      <c r="Q32" s="68">
        <f t="shared" ref="Q32:Q50" si="10">(IF(Q$27="%w/w SAR",((Q$28*10)*$B32),IF(Q$27="%w/w DM",(((Q$28*10)*($B$28/100))*$B32),IF(Q$27="kg/t SAR",(Q$28*$B32),IF(Q$27="kg/t DM",((Q$28*($B$28/100))*$B32),IF(Q$27="mg/kg SAR",((Q$28*0.001)*$B32),IF(Q$27="mg/kg DM",(((Q$28*0.001)*($B$28/100))*$B32),0)))))))*2.5</f>
        <v>118.72451249999999</v>
      </c>
      <c r="R32" s="68">
        <f t="shared" ref="R32:U50" si="11">IF(R$27="%w/w SAR",((R$28*10)*$B32),IF(R$27="%w/w DM",(((R$28*10)*($B$28/100))*$B32),IF(R$27="kg/t SAR",(R$28*$B32),IF(R$27="kg/t DM",((R$28*($B$28/100))*$B32),IF(R$27="mg/kg SAR",((R$28*0.001)*$B32),IF(R$27="mg/kg DM",(((R$28*0.001)*($B$28/100))*$B32),0))))))</f>
        <v>0</v>
      </c>
      <c r="S32" s="68">
        <f t="shared" si="11"/>
        <v>0.22038389999999999</v>
      </c>
      <c r="T32" s="68">
        <f t="shared" si="11"/>
        <v>0</v>
      </c>
      <c r="U32" s="68">
        <f t="shared" si="11"/>
        <v>0</v>
      </c>
    </row>
    <row r="33" spans="1:21" s="51" customFormat="1" x14ac:dyDescent="0.25">
      <c r="A33" s="10">
        <f>E8</f>
        <v>4</v>
      </c>
      <c r="B33" s="12">
        <v>165</v>
      </c>
      <c r="C33" s="68">
        <f t="shared" si="6"/>
        <v>68.260500000000008</v>
      </c>
      <c r="D33" s="68">
        <f t="shared" si="7"/>
        <v>32.617402290000001</v>
      </c>
      <c r="E33" s="68">
        <f t="shared" si="8"/>
        <v>1.6333274924999999</v>
      </c>
      <c r="F33" s="68">
        <f t="shared" si="9"/>
        <v>5.0444119439999993</v>
      </c>
      <c r="G33" s="68">
        <f t="shared" si="5"/>
        <v>8.6885864999999993E-2</v>
      </c>
      <c r="H33" s="68">
        <f t="shared" si="5"/>
        <v>2.0283120000000001</v>
      </c>
      <c r="I33" s="68">
        <f t="shared" si="5"/>
        <v>0.28376865000000001</v>
      </c>
      <c r="J33" s="68">
        <f t="shared" si="5"/>
        <v>3.3155100000000002E-3</v>
      </c>
      <c r="K33" s="68">
        <f t="shared" si="5"/>
        <v>6.6310200000000005E-3</v>
      </c>
      <c r="L33" s="68">
        <f t="shared" si="5"/>
        <v>0.22916025000000001</v>
      </c>
      <c r="M33" s="68">
        <f t="shared" si="5"/>
        <v>0.156024</v>
      </c>
      <c r="N33" s="68">
        <f t="shared" si="5"/>
        <v>28.864440000000002</v>
      </c>
      <c r="O33" s="68">
        <f t="shared" si="5"/>
        <v>3939.6060000000002</v>
      </c>
      <c r="P33" s="68">
        <f t="shared" si="5"/>
        <v>0</v>
      </c>
      <c r="Q33" s="68">
        <f t="shared" si="10"/>
        <v>118.72451249999999</v>
      </c>
      <c r="R33" s="68">
        <f t="shared" si="11"/>
        <v>0</v>
      </c>
      <c r="S33" s="68">
        <f t="shared" si="11"/>
        <v>0.22038389999999999</v>
      </c>
      <c r="T33" s="68">
        <f t="shared" si="11"/>
        <v>0</v>
      </c>
      <c r="U33" s="68">
        <f t="shared" si="11"/>
        <v>0</v>
      </c>
    </row>
    <row r="34" spans="1:21" s="51" customFormat="1" x14ac:dyDescent="0.25">
      <c r="A34" s="10">
        <f>F8</f>
        <v>10</v>
      </c>
      <c r="B34" s="12">
        <v>150</v>
      </c>
      <c r="C34" s="68">
        <f t="shared" si="6"/>
        <v>62.055</v>
      </c>
      <c r="D34" s="68">
        <f t="shared" si="7"/>
        <v>29.652183899999997</v>
      </c>
      <c r="E34" s="68">
        <f t="shared" si="8"/>
        <v>1.4848431749999997</v>
      </c>
      <c r="F34" s="68">
        <f t="shared" si="9"/>
        <v>4.5858290400000001</v>
      </c>
      <c r="G34" s="68">
        <f t="shared" si="5"/>
        <v>7.8987149999999992E-2</v>
      </c>
      <c r="H34" s="68">
        <f t="shared" si="5"/>
        <v>1.8439200000000002</v>
      </c>
      <c r="I34" s="68">
        <f t="shared" si="5"/>
        <v>0.25797150000000002</v>
      </c>
      <c r="J34" s="68">
        <f t="shared" si="5"/>
        <v>3.0141E-3</v>
      </c>
      <c r="K34" s="68">
        <f t="shared" si="5"/>
        <v>6.0282000000000001E-3</v>
      </c>
      <c r="L34" s="68">
        <f t="shared" si="5"/>
        <v>0.2083275</v>
      </c>
      <c r="M34" s="68">
        <f t="shared" si="5"/>
        <v>0.14183999999999999</v>
      </c>
      <c r="N34" s="68">
        <f t="shared" si="5"/>
        <v>26.240400000000001</v>
      </c>
      <c r="O34" s="68">
        <f t="shared" si="5"/>
        <v>3581.46</v>
      </c>
      <c r="P34" s="68">
        <f t="shared" si="5"/>
        <v>0</v>
      </c>
      <c r="Q34" s="68">
        <f t="shared" si="10"/>
        <v>107.931375</v>
      </c>
      <c r="R34" s="68">
        <f t="shared" si="11"/>
        <v>0</v>
      </c>
      <c r="S34" s="68">
        <f t="shared" si="11"/>
        <v>0.200349</v>
      </c>
      <c r="T34" s="68">
        <f t="shared" si="11"/>
        <v>0</v>
      </c>
      <c r="U34" s="68">
        <f t="shared" si="11"/>
        <v>0</v>
      </c>
    </row>
    <row r="35" spans="1:21" s="51" customFormat="1" x14ac:dyDescent="0.25">
      <c r="A35" s="10">
        <f>G8</f>
        <v>20</v>
      </c>
      <c r="B35" s="12">
        <v>165</v>
      </c>
      <c r="C35" s="68">
        <f t="shared" si="6"/>
        <v>68.260500000000008</v>
      </c>
      <c r="D35" s="68">
        <f t="shared" si="7"/>
        <v>32.617402290000001</v>
      </c>
      <c r="E35" s="68">
        <f t="shared" si="8"/>
        <v>1.6333274924999999</v>
      </c>
      <c r="F35" s="68">
        <f t="shared" si="9"/>
        <v>5.0444119439999993</v>
      </c>
      <c r="G35" s="68">
        <f t="shared" si="5"/>
        <v>8.6885864999999993E-2</v>
      </c>
      <c r="H35" s="68">
        <f t="shared" si="5"/>
        <v>2.0283120000000001</v>
      </c>
      <c r="I35" s="68">
        <f t="shared" si="5"/>
        <v>0.28376865000000001</v>
      </c>
      <c r="J35" s="68">
        <f t="shared" si="5"/>
        <v>3.3155100000000002E-3</v>
      </c>
      <c r="K35" s="68">
        <f t="shared" si="5"/>
        <v>6.6310200000000005E-3</v>
      </c>
      <c r="L35" s="68">
        <f t="shared" si="5"/>
        <v>0.22916025000000001</v>
      </c>
      <c r="M35" s="68">
        <f t="shared" si="5"/>
        <v>0.156024</v>
      </c>
      <c r="N35" s="68">
        <f t="shared" si="5"/>
        <v>28.864440000000002</v>
      </c>
      <c r="O35" s="68">
        <f t="shared" si="5"/>
        <v>3939.6060000000002</v>
      </c>
      <c r="P35" s="68">
        <f t="shared" si="5"/>
        <v>0</v>
      </c>
      <c r="Q35" s="68">
        <f t="shared" si="10"/>
        <v>118.72451249999999</v>
      </c>
      <c r="R35" s="68">
        <f t="shared" si="11"/>
        <v>0</v>
      </c>
      <c r="S35" s="68">
        <f t="shared" si="11"/>
        <v>0.22038389999999999</v>
      </c>
      <c r="T35" s="68">
        <f t="shared" si="11"/>
        <v>0</v>
      </c>
      <c r="U35" s="68">
        <f t="shared" si="11"/>
        <v>0</v>
      </c>
    </row>
    <row r="36" spans="1:21" s="51" customFormat="1" x14ac:dyDescent="0.25">
      <c r="A36" s="10">
        <f>H8</f>
        <v>7886</v>
      </c>
      <c r="B36" s="12">
        <v>150</v>
      </c>
      <c r="C36" s="68">
        <f t="shared" si="6"/>
        <v>62.055</v>
      </c>
      <c r="D36" s="68">
        <f t="shared" si="7"/>
        <v>29.652183899999997</v>
      </c>
      <c r="E36" s="68">
        <f t="shared" si="8"/>
        <v>1.4848431749999997</v>
      </c>
      <c r="F36" s="68">
        <f t="shared" si="9"/>
        <v>4.5858290400000001</v>
      </c>
      <c r="G36" s="68">
        <f t="shared" si="5"/>
        <v>7.8987149999999992E-2</v>
      </c>
      <c r="H36" s="68">
        <f t="shared" si="5"/>
        <v>1.8439200000000002</v>
      </c>
      <c r="I36" s="68">
        <f t="shared" si="5"/>
        <v>0.25797150000000002</v>
      </c>
      <c r="J36" s="68">
        <f t="shared" si="5"/>
        <v>3.0141E-3</v>
      </c>
      <c r="K36" s="68">
        <f t="shared" si="5"/>
        <v>6.0282000000000001E-3</v>
      </c>
      <c r="L36" s="68">
        <f t="shared" si="5"/>
        <v>0.2083275</v>
      </c>
      <c r="M36" s="68">
        <f t="shared" si="5"/>
        <v>0.14183999999999999</v>
      </c>
      <c r="N36" s="68">
        <f t="shared" si="5"/>
        <v>26.240400000000001</v>
      </c>
      <c r="O36" s="68">
        <f t="shared" si="5"/>
        <v>3581.46</v>
      </c>
      <c r="P36" s="68">
        <f t="shared" si="5"/>
        <v>0</v>
      </c>
      <c r="Q36" s="68">
        <f t="shared" si="10"/>
        <v>107.931375</v>
      </c>
      <c r="R36" s="68">
        <f t="shared" si="11"/>
        <v>0</v>
      </c>
      <c r="S36" s="68">
        <f t="shared" si="11"/>
        <v>0.200349</v>
      </c>
      <c r="T36" s="68">
        <f t="shared" si="11"/>
        <v>0</v>
      </c>
      <c r="U36" s="68">
        <f t="shared" si="11"/>
        <v>0</v>
      </c>
    </row>
    <row r="37" spans="1:21" s="51" customFormat="1" x14ac:dyDescent="0.25">
      <c r="A37" s="10">
        <f>I8</f>
        <v>8440</v>
      </c>
      <c r="B37" s="12">
        <v>165</v>
      </c>
      <c r="C37" s="68">
        <f t="shared" si="6"/>
        <v>68.260500000000008</v>
      </c>
      <c r="D37" s="68">
        <f t="shared" si="7"/>
        <v>32.617402290000001</v>
      </c>
      <c r="E37" s="68">
        <f t="shared" si="8"/>
        <v>1.6333274924999999</v>
      </c>
      <c r="F37" s="68">
        <f t="shared" si="9"/>
        <v>5.0444119439999993</v>
      </c>
      <c r="G37" s="68">
        <f t="shared" si="5"/>
        <v>8.6885864999999993E-2</v>
      </c>
      <c r="H37" s="68">
        <f t="shared" si="5"/>
        <v>2.0283120000000001</v>
      </c>
      <c r="I37" s="68">
        <f t="shared" si="5"/>
        <v>0.28376865000000001</v>
      </c>
      <c r="J37" s="68">
        <f t="shared" si="5"/>
        <v>3.3155100000000002E-3</v>
      </c>
      <c r="K37" s="68">
        <f t="shared" si="5"/>
        <v>6.6310200000000005E-3</v>
      </c>
      <c r="L37" s="68">
        <f t="shared" si="5"/>
        <v>0.22916025000000001</v>
      </c>
      <c r="M37" s="68">
        <f t="shared" si="5"/>
        <v>0.156024</v>
      </c>
      <c r="N37" s="68">
        <f t="shared" si="5"/>
        <v>28.864440000000002</v>
      </c>
      <c r="O37" s="68">
        <f t="shared" si="5"/>
        <v>3939.6060000000002</v>
      </c>
      <c r="P37" s="68">
        <f t="shared" si="5"/>
        <v>0</v>
      </c>
      <c r="Q37" s="68">
        <f t="shared" si="10"/>
        <v>118.72451249999999</v>
      </c>
      <c r="R37" s="68">
        <f t="shared" si="11"/>
        <v>0</v>
      </c>
      <c r="S37" s="68">
        <f t="shared" si="11"/>
        <v>0.22038389999999999</v>
      </c>
      <c r="T37" s="68">
        <f t="shared" si="11"/>
        <v>0</v>
      </c>
      <c r="U37" s="68">
        <f t="shared" si="11"/>
        <v>0</v>
      </c>
    </row>
    <row r="38" spans="1:21" s="51" customFormat="1" x14ac:dyDescent="0.25">
      <c r="A38" s="10">
        <f>J8</f>
        <v>8087</v>
      </c>
      <c r="B38" s="12">
        <v>165</v>
      </c>
      <c r="C38" s="68">
        <f t="shared" si="6"/>
        <v>68.260500000000008</v>
      </c>
      <c r="D38" s="68">
        <f t="shared" si="7"/>
        <v>32.617402290000001</v>
      </c>
      <c r="E38" s="68">
        <f t="shared" si="8"/>
        <v>1.6333274924999999</v>
      </c>
      <c r="F38" s="68">
        <f t="shared" si="9"/>
        <v>5.0444119439999993</v>
      </c>
      <c r="G38" s="68">
        <f t="shared" si="5"/>
        <v>8.6885864999999993E-2</v>
      </c>
      <c r="H38" s="68">
        <f t="shared" si="5"/>
        <v>2.0283120000000001</v>
      </c>
      <c r="I38" s="68">
        <f t="shared" si="5"/>
        <v>0.28376865000000001</v>
      </c>
      <c r="J38" s="68">
        <f t="shared" si="5"/>
        <v>3.3155100000000002E-3</v>
      </c>
      <c r="K38" s="68">
        <f t="shared" si="5"/>
        <v>6.6310200000000005E-3</v>
      </c>
      <c r="L38" s="68">
        <f t="shared" si="5"/>
        <v>0.22916025000000001</v>
      </c>
      <c r="M38" s="68">
        <f t="shared" si="5"/>
        <v>0.156024</v>
      </c>
      <c r="N38" s="68">
        <f t="shared" si="5"/>
        <v>28.864440000000002</v>
      </c>
      <c r="O38" s="68">
        <f t="shared" si="5"/>
        <v>3939.6060000000002</v>
      </c>
      <c r="P38" s="68">
        <f t="shared" si="5"/>
        <v>0</v>
      </c>
      <c r="Q38" s="68">
        <f t="shared" si="10"/>
        <v>118.72451249999999</v>
      </c>
      <c r="R38" s="68">
        <f t="shared" si="11"/>
        <v>0</v>
      </c>
      <c r="S38" s="68">
        <f t="shared" si="11"/>
        <v>0.22038389999999999</v>
      </c>
      <c r="T38" s="68">
        <f t="shared" si="11"/>
        <v>0</v>
      </c>
      <c r="U38" s="68">
        <f t="shared" si="11"/>
        <v>0</v>
      </c>
    </row>
    <row r="39" spans="1:21" s="51" customFormat="1" x14ac:dyDescent="0.25">
      <c r="A39" s="10">
        <f>K8</f>
        <v>8019</v>
      </c>
      <c r="B39" s="12">
        <v>165</v>
      </c>
      <c r="C39" s="68">
        <f t="shared" si="6"/>
        <v>68.260500000000008</v>
      </c>
      <c r="D39" s="68">
        <f t="shared" si="7"/>
        <v>32.617402290000001</v>
      </c>
      <c r="E39" s="68">
        <f t="shared" si="8"/>
        <v>1.6333274924999999</v>
      </c>
      <c r="F39" s="68">
        <f t="shared" si="9"/>
        <v>5.0444119439999993</v>
      </c>
      <c r="G39" s="68">
        <f t="shared" si="5"/>
        <v>8.6885864999999993E-2</v>
      </c>
      <c r="H39" s="68">
        <f t="shared" si="5"/>
        <v>2.0283120000000001</v>
      </c>
      <c r="I39" s="68">
        <f t="shared" si="5"/>
        <v>0.28376865000000001</v>
      </c>
      <c r="J39" s="68">
        <f t="shared" si="5"/>
        <v>3.3155100000000002E-3</v>
      </c>
      <c r="K39" s="68">
        <f t="shared" si="5"/>
        <v>6.6310200000000005E-3</v>
      </c>
      <c r="L39" s="68">
        <f t="shared" si="5"/>
        <v>0.22916025000000001</v>
      </c>
      <c r="M39" s="68">
        <f t="shared" si="5"/>
        <v>0.156024</v>
      </c>
      <c r="N39" s="68">
        <f t="shared" si="5"/>
        <v>28.864440000000002</v>
      </c>
      <c r="O39" s="68">
        <f t="shared" si="5"/>
        <v>3939.6060000000002</v>
      </c>
      <c r="P39" s="68">
        <f t="shared" si="5"/>
        <v>0</v>
      </c>
      <c r="Q39" s="68">
        <f t="shared" si="10"/>
        <v>118.72451249999999</v>
      </c>
      <c r="R39" s="68">
        <f t="shared" si="11"/>
        <v>0</v>
      </c>
      <c r="S39" s="68">
        <f t="shared" si="11"/>
        <v>0.22038389999999999</v>
      </c>
      <c r="T39" s="68">
        <f t="shared" si="11"/>
        <v>0</v>
      </c>
      <c r="U39" s="68">
        <f t="shared" si="11"/>
        <v>0</v>
      </c>
    </row>
    <row r="40" spans="1:21" s="51" customFormat="1" x14ac:dyDescent="0.25">
      <c r="A40" s="10">
        <f>L8</f>
        <v>234</v>
      </c>
      <c r="B40" s="12">
        <v>165</v>
      </c>
      <c r="C40" s="68">
        <f t="shared" si="6"/>
        <v>68.260500000000008</v>
      </c>
      <c r="D40" s="68">
        <f t="shared" si="7"/>
        <v>32.617402290000001</v>
      </c>
      <c r="E40" s="68">
        <f t="shared" si="8"/>
        <v>1.6333274924999999</v>
      </c>
      <c r="F40" s="68">
        <f t="shared" si="9"/>
        <v>5.0444119439999993</v>
      </c>
      <c r="G40" s="68">
        <f t="shared" si="5"/>
        <v>8.6885864999999993E-2</v>
      </c>
      <c r="H40" s="68">
        <f t="shared" si="5"/>
        <v>2.0283120000000001</v>
      </c>
      <c r="I40" s="68">
        <f t="shared" si="5"/>
        <v>0.28376865000000001</v>
      </c>
      <c r="J40" s="68">
        <f t="shared" si="5"/>
        <v>3.3155100000000002E-3</v>
      </c>
      <c r="K40" s="68">
        <f t="shared" si="5"/>
        <v>6.6310200000000005E-3</v>
      </c>
      <c r="L40" s="68">
        <f t="shared" si="5"/>
        <v>0.22916025000000001</v>
      </c>
      <c r="M40" s="68">
        <f t="shared" si="5"/>
        <v>0.156024</v>
      </c>
      <c r="N40" s="68">
        <f t="shared" si="5"/>
        <v>28.864440000000002</v>
      </c>
      <c r="O40" s="68">
        <f t="shared" si="5"/>
        <v>3939.6060000000002</v>
      </c>
      <c r="P40" s="68">
        <f t="shared" si="5"/>
        <v>0</v>
      </c>
      <c r="Q40" s="68">
        <f t="shared" si="10"/>
        <v>118.72451249999999</v>
      </c>
      <c r="R40" s="68">
        <f t="shared" si="11"/>
        <v>0</v>
      </c>
      <c r="S40" s="68">
        <f t="shared" si="11"/>
        <v>0.22038389999999999</v>
      </c>
      <c r="T40" s="68">
        <f t="shared" si="11"/>
        <v>0</v>
      </c>
      <c r="U40" s="68">
        <f t="shared" si="11"/>
        <v>0</v>
      </c>
    </row>
    <row r="41" spans="1:21" s="51" customFormat="1" x14ac:dyDescent="0.25">
      <c r="A41" s="10">
        <f>M8</f>
        <v>1735</v>
      </c>
      <c r="B41" s="12">
        <v>165</v>
      </c>
      <c r="C41" s="68">
        <f t="shared" si="6"/>
        <v>68.260500000000008</v>
      </c>
      <c r="D41" s="68">
        <f t="shared" si="7"/>
        <v>32.617402290000001</v>
      </c>
      <c r="E41" s="68">
        <f t="shared" si="8"/>
        <v>1.6333274924999999</v>
      </c>
      <c r="F41" s="68">
        <f t="shared" si="9"/>
        <v>5.0444119439999993</v>
      </c>
      <c r="G41" s="68">
        <f t="shared" si="5"/>
        <v>8.6885864999999993E-2</v>
      </c>
      <c r="H41" s="68">
        <f t="shared" si="5"/>
        <v>2.0283120000000001</v>
      </c>
      <c r="I41" s="68">
        <f t="shared" si="5"/>
        <v>0.28376865000000001</v>
      </c>
      <c r="J41" s="68">
        <f t="shared" si="5"/>
        <v>3.3155100000000002E-3</v>
      </c>
      <c r="K41" s="68">
        <f t="shared" si="5"/>
        <v>6.6310200000000005E-3</v>
      </c>
      <c r="L41" s="68">
        <f t="shared" si="5"/>
        <v>0.22916025000000001</v>
      </c>
      <c r="M41" s="68">
        <f t="shared" si="5"/>
        <v>0.156024</v>
      </c>
      <c r="N41" s="68">
        <f t="shared" si="5"/>
        <v>28.864440000000002</v>
      </c>
      <c r="O41" s="68">
        <f t="shared" si="5"/>
        <v>3939.6060000000002</v>
      </c>
      <c r="P41" s="68">
        <f t="shared" si="5"/>
        <v>0</v>
      </c>
      <c r="Q41" s="68">
        <f t="shared" si="10"/>
        <v>118.72451249999999</v>
      </c>
      <c r="R41" s="68">
        <f t="shared" si="11"/>
        <v>0</v>
      </c>
      <c r="S41" s="68">
        <f t="shared" si="11"/>
        <v>0.22038389999999999</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2</v>
      </c>
      <c r="C57" s="8">
        <f t="shared" ref="C57:U57" si="13">D8</f>
        <v>3</v>
      </c>
      <c r="D57" s="8">
        <f t="shared" si="13"/>
        <v>4</v>
      </c>
      <c r="E57" s="8">
        <f t="shared" si="13"/>
        <v>10</v>
      </c>
      <c r="F57" s="8">
        <f t="shared" si="13"/>
        <v>20</v>
      </c>
      <c r="G57" s="8">
        <f t="shared" si="13"/>
        <v>7886</v>
      </c>
      <c r="H57" s="8">
        <f t="shared" si="13"/>
        <v>8440</v>
      </c>
      <c r="I57" s="8">
        <f t="shared" si="13"/>
        <v>8087</v>
      </c>
      <c r="J57" s="8">
        <f t="shared" si="13"/>
        <v>8019</v>
      </c>
      <c r="K57" s="8">
        <f t="shared" si="13"/>
        <v>234</v>
      </c>
      <c r="L57" s="8">
        <f t="shared" si="13"/>
        <v>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Arable</v>
      </c>
      <c r="F58" s="10" t="str">
        <f>G16&amp;" I "&amp;(VLOOKUP(G14,Table24581114[],6,FALSE))</f>
        <v>Medium/Clay I Grass</v>
      </c>
      <c r="G58" s="10" t="str">
        <f>H16&amp;" I "&amp;(VLOOKUP(H14,Table24581114[],6,FALSE))</f>
        <v>Medium/Clay I Arable</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100" t="s">
        <v>132</v>
      </c>
      <c r="B59" s="67">
        <f>VLOOKUP(C$14,Table24581114[],5,FALSE)</f>
        <v>6.2</v>
      </c>
      <c r="C59" s="67">
        <f>VLOOKUP(D$14,Table24581114[],5,FALSE)</f>
        <v>6.2</v>
      </c>
      <c r="D59" s="67">
        <f>VLOOKUP(E$14,Table24581114[],5,FALSE)</f>
        <v>6.2</v>
      </c>
      <c r="E59" s="67">
        <f>VLOOKUP(F$14,Table24581114[],5,FALSE)</f>
        <v>6.7</v>
      </c>
      <c r="F59" s="67">
        <f>VLOOKUP(G$14,Table24581114[],5,FALSE)</f>
        <v>6.2</v>
      </c>
      <c r="G59" s="67">
        <f>VLOOKUP(H$14,Table24581114[],5,FALSE)</f>
        <v>6.7</v>
      </c>
      <c r="H59" s="67">
        <f>VLOOKUP(I$14,Table24581114[],5,FALSE)</f>
        <v>6.2</v>
      </c>
      <c r="I59" s="67">
        <f>VLOOKUP(J$14,Table24581114[],5,FALSE)</f>
        <v>6.2</v>
      </c>
      <c r="J59" s="67">
        <f>VLOOKUP(K$14,Table24581114[],5,FALSE)</f>
        <v>6.2</v>
      </c>
      <c r="K59" s="67">
        <f>VLOOKUP(L$14,Table24581114[],5,FALSE)</f>
        <v>6.2</v>
      </c>
      <c r="L59" s="67">
        <f>VLOOKUP(M$14,Table24581114[],5,FALSE)</f>
        <v>6.2</v>
      </c>
      <c r="M59" s="67" t="e">
        <f>VLOOKUP(N$14,Table24581114[],5,FALSE)</f>
        <v>#N/A</v>
      </c>
      <c r="N59" s="67" t="e">
        <f>VLOOKUP(O$14,Table24581114[],5,FALSE)</f>
        <v>#N/A</v>
      </c>
      <c r="O59" s="67" t="e">
        <f>VLOOKUP(P$14,Table24581114[],5,FALSE)</f>
        <v>#N/A</v>
      </c>
      <c r="P59" s="67" t="e">
        <f>VLOOKUP(Q$14,Table24581114[],5,FALSE)</f>
        <v>#N/A</v>
      </c>
      <c r="Q59" s="67" t="e">
        <f>VLOOKUP(R$14,Table24581114[],5,FALSE)</f>
        <v>#N/A</v>
      </c>
      <c r="R59" s="67" t="e">
        <f>VLOOKUP(S$14,Table24581114[],5,FALSE)</f>
        <v>#N/A</v>
      </c>
      <c r="S59" s="67" t="e">
        <f>VLOOKUP(T$14,Table24581114[],5,FALSE)</f>
        <v>#N/A</v>
      </c>
      <c r="T59" s="67" t="e">
        <f>VLOOKUP(U$14,Table24581114[],5,FALSE)</f>
        <v>#N/A</v>
      </c>
      <c r="U59" s="67" t="e">
        <f>VLOOKUP(V$14,Table24581114[],5,FALSE)</f>
        <v>#N/A</v>
      </c>
    </row>
    <row r="60" spans="1:21" x14ac:dyDescent="0.2">
      <c r="A60" s="100" t="s">
        <v>4</v>
      </c>
      <c r="B60" s="67">
        <f>C10</f>
        <v>7</v>
      </c>
      <c r="C60" s="67">
        <f t="shared" ref="C60:U60" si="14">D10</f>
        <v>6.4</v>
      </c>
      <c r="D60" s="67">
        <f t="shared" si="14"/>
        <v>6.1</v>
      </c>
      <c r="E60" s="67">
        <f t="shared" si="14"/>
        <v>6.7</v>
      </c>
      <c r="F60" s="67">
        <f t="shared" si="14"/>
        <v>6.3</v>
      </c>
      <c r="G60" s="67">
        <f t="shared" si="14"/>
        <v>6.6</v>
      </c>
      <c r="H60" s="67">
        <f t="shared" si="14"/>
        <v>5.6</v>
      </c>
      <c r="I60" s="67">
        <f t="shared" si="14"/>
        <v>6.2</v>
      </c>
      <c r="J60" s="67">
        <f t="shared" si="14"/>
        <v>6.4</v>
      </c>
      <c r="K60" s="67">
        <f t="shared" si="14"/>
        <v>6.2</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8</v>
      </c>
      <c r="F61" s="67">
        <f t="shared" si="15"/>
        <v>6</v>
      </c>
      <c r="G61" s="67">
        <f t="shared" si="15"/>
        <v>8</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165</v>
      </c>
      <c r="C62" s="68">
        <f>B32</f>
        <v>165</v>
      </c>
      <c r="D62" s="68">
        <f>B33</f>
        <v>165</v>
      </c>
      <c r="E62" s="68">
        <f>B34</f>
        <v>150</v>
      </c>
      <c r="F62" s="68">
        <f>B35</f>
        <v>165</v>
      </c>
      <c r="G62" s="68">
        <f>B36</f>
        <v>150</v>
      </c>
      <c r="H62" s="68">
        <f>B37</f>
        <v>165</v>
      </c>
      <c r="I62" s="68">
        <f>B38</f>
        <v>165</v>
      </c>
      <c r="J62" s="68">
        <f>B39</f>
        <v>165</v>
      </c>
      <c r="K62" s="68">
        <f>B40</f>
        <v>165</v>
      </c>
      <c r="L62" s="68">
        <f>B41</f>
        <v>165</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-4.7999999999999989</v>
      </c>
      <c r="C64" s="68">
        <f t="shared" ref="C64:U64" si="17">(C59-C60)*C61</f>
        <v>-1.2000000000000011</v>
      </c>
      <c r="D64" s="68">
        <f t="shared" si="17"/>
        <v>0.6000000000000032</v>
      </c>
      <c r="E64" s="68">
        <f t="shared" si="17"/>
        <v>0</v>
      </c>
      <c r="F64" s="68">
        <f t="shared" si="17"/>
        <v>-0.59999999999999787</v>
      </c>
      <c r="G64" s="68">
        <f t="shared" si="17"/>
        <v>0.80000000000000426</v>
      </c>
      <c r="H64" s="68">
        <f t="shared" si="17"/>
        <v>3.6000000000000032</v>
      </c>
      <c r="I64" s="68">
        <f t="shared" si="17"/>
        <v>0</v>
      </c>
      <c r="J64" s="68">
        <f t="shared" si="17"/>
        <v>-1.2000000000000011</v>
      </c>
      <c r="K64" s="68">
        <f t="shared" si="17"/>
        <v>0</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4.7999999999999989</v>
      </c>
      <c r="C65" s="68">
        <f t="shared" ref="C65:U65" si="18">C63-C64</f>
        <v>1.2000000000000011</v>
      </c>
      <c r="D65" s="68">
        <f t="shared" si="18"/>
        <v>-0.6000000000000032</v>
      </c>
      <c r="E65" s="68">
        <f t="shared" si="18"/>
        <v>0</v>
      </c>
      <c r="F65" s="68">
        <f t="shared" si="18"/>
        <v>0.59999999999999787</v>
      </c>
      <c r="G65" s="68">
        <f t="shared" si="18"/>
        <v>-0.80000000000000426</v>
      </c>
      <c r="H65" s="68">
        <f t="shared" si="18"/>
        <v>-3.6000000000000032</v>
      </c>
      <c r="I65" s="68">
        <f t="shared" si="18"/>
        <v>0</v>
      </c>
      <c r="J65" s="68">
        <f t="shared" si="18"/>
        <v>1.2000000000000011</v>
      </c>
      <c r="K65" s="68">
        <f t="shared" si="18"/>
        <v>0</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UNDER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67" priority="36" operator="greaterThan">
      <formula>$B$51</formula>
    </cfRule>
  </conditionalFormatting>
  <conditionalFormatting sqref="B66:U66">
    <cfRule type="cellIs" dxfId="166" priority="11" operator="equal">
      <formula>"UNDER"</formula>
    </cfRule>
    <cfRule type="cellIs" dxfId="165" priority="12" operator="equal">
      <formula>"OVER"</formula>
    </cfRule>
  </conditionalFormatting>
  <conditionalFormatting sqref="C31:C50">
    <cfRule type="cellIs" dxfId="164" priority="35" operator="greaterThan">
      <formula>$C$51</formula>
    </cfRule>
  </conditionalFormatting>
  <conditionalFormatting sqref="C17:V19">
    <cfRule type="cellIs" dxfId="163" priority="32" operator="equal">
      <formula>0</formula>
    </cfRule>
  </conditionalFormatting>
  <conditionalFormatting sqref="C20:V21">
    <cfRule type="cellIs" dxfId="162" priority="37" operator="equal">
      <formula>"DECREASE"</formula>
    </cfRule>
    <cfRule type="cellIs" dxfId="161" priority="38" operator="equal">
      <formula>"INCREASE"</formula>
    </cfRule>
  </conditionalFormatting>
  <conditionalFormatting sqref="C21:V21">
    <cfRule type="cellIs" dxfId="160" priority="13" operator="equal">
      <formula>0</formula>
    </cfRule>
  </conditionalFormatting>
  <conditionalFormatting sqref="C22:V23">
    <cfRule type="cellIs" dxfId="159" priority="17" operator="equal">
      <formula>0</formula>
    </cfRule>
  </conditionalFormatting>
  <conditionalFormatting sqref="C24:V24">
    <cfRule type="cellIs" dxfId="158" priority="18" operator="equal">
      <formula>"DECREASE"</formula>
    </cfRule>
    <cfRule type="cellIs" dxfId="157" priority="19" operator="equal">
      <formula>"INCREASE"</formula>
    </cfRule>
  </conditionalFormatting>
  <conditionalFormatting sqref="G31:G50">
    <cfRule type="cellIs" dxfId="156" priority="31" operator="greaterThan">
      <formula>$G$51</formula>
    </cfRule>
  </conditionalFormatting>
  <conditionalFormatting sqref="H31:H50">
    <cfRule type="cellIs" dxfId="155" priority="30" operator="greaterThan">
      <formula>$H$51</formula>
    </cfRule>
  </conditionalFormatting>
  <conditionalFormatting sqref="I1">
    <cfRule type="cellIs" dxfId="154" priority="3" operator="between">
      <formula>0.1</formula>
      <formula>5</formula>
    </cfRule>
  </conditionalFormatting>
  <conditionalFormatting sqref="I2">
    <cfRule type="cellIs" dxfId="153" priority="2" operator="greaterThan">
      <formula>5000.1</formula>
    </cfRule>
  </conditionalFormatting>
  <conditionalFormatting sqref="I3">
    <cfRule type="cellIs" dxfId="152" priority="1" operator="greaterThan">
      <formula>40000.01</formula>
    </cfRule>
  </conditionalFormatting>
  <conditionalFormatting sqref="I31:I50">
    <cfRule type="cellIs" dxfId="151" priority="29" operator="greaterThan">
      <formula>$I$51</formula>
    </cfRule>
  </conditionalFormatting>
  <conditionalFormatting sqref="J31:J50">
    <cfRule type="cellIs" dxfId="150" priority="8" operator="greaterThan">
      <formula>$J$51</formula>
    </cfRule>
  </conditionalFormatting>
  <conditionalFormatting sqref="K31:K50">
    <cfRule type="cellIs" dxfId="149" priority="28" operator="greaterThan">
      <formula>$K$51</formula>
    </cfRule>
  </conditionalFormatting>
  <conditionalFormatting sqref="L3">
    <cfRule type="cellIs" dxfId="148" priority="4" operator="lessThan">
      <formula>30</formula>
    </cfRule>
    <cfRule type="cellIs" dxfId="147" priority="5" operator="greaterThanOrEqual">
      <formula>30</formula>
    </cfRule>
  </conditionalFormatting>
  <conditionalFormatting sqref="L31:L50">
    <cfRule type="cellIs" dxfId="146" priority="27" operator="greaterThan">
      <formula>$L$51</formula>
    </cfRule>
  </conditionalFormatting>
  <conditionalFormatting sqref="M31:M50">
    <cfRule type="cellIs" dxfId="145" priority="26" operator="greaterThan">
      <formula>$M$51</formula>
    </cfRule>
  </conditionalFormatting>
  <conditionalFormatting sqref="P31:P50">
    <cfRule type="cellIs" dxfId="144" priority="25" operator="greaterThan">
      <formula>$P$51</formula>
    </cfRule>
  </conditionalFormatting>
  <conditionalFormatting sqref="R31:R50">
    <cfRule type="cellIs" dxfId="143" priority="24" operator="greaterThan">
      <formula>$R$51</formula>
    </cfRule>
  </conditionalFormatting>
  <conditionalFormatting sqref="S31:S50">
    <cfRule type="cellIs" dxfId="142" priority="23" operator="greaterThan">
      <formula>$S$51</formula>
    </cfRule>
  </conditionalFormatting>
  <conditionalFormatting sqref="T31:T50">
    <cfRule type="cellIs" dxfId="141" priority="22" operator="greaterThan">
      <formula>$T$51</formula>
    </cfRule>
  </conditionalFormatting>
  <conditionalFormatting sqref="U31:U50">
    <cfRule type="cellIs" dxfId="140" priority="21"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13" zoomScale="90" zoomScaleNormal="90" workbookViewId="0">
      <selection activeCell="A28" sqref="A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7" t="str">
        <f>'Field data and Waste 1'!C1:D1</f>
        <v>PAN-026719</v>
      </c>
      <c r="D1" s="128"/>
      <c r="E1" s="83" t="s">
        <v>45</v>
      </c>
      <c r="F1" s="32">
        <f>'Field data and Waste 1'!F1</f>
        <v>49.7</v>
      </c>
      <c r="G1" s="110" t="s">
        <v>43</v>
      </c>
      <c r="H1" s="111"/>
      <c r="I1" s="86">
        <v>6.62</v>
      </c>
      <c r="J1" s="114" t="s">
        <v>153</v>
      </c>
      <c r="K1" s="114"/>
      <c r="L1" s="86">
        <v>25</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29" t="str">
        <f>'Field data and Waste 1'!C2:D2</f>
        <v>EPR/AB3891CX</v>
      </c>
      <c r="D2" s="130"/>
      <c r="E2" s="83" t="s">
        <v>109</v>
      </c>
      <c r="F2" s="86" t="s">
        <v>173</v>
      </c>
      <c r="G2" s="112" t="s">
        <v>110</v>
      </c>
      <c r="H2" s="113"/>
      <c r="I2" s="86"/>
      <c r="J2" s="114" t="s">
        <v>158</v>
      </c>
      <c r="K2" s="114"/>
      <c r="L2" s="86">
        <v>0.05</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29" t="str">
        <f>'Field data and Waste 1'!C3:D3</f>
        <v>Stepside Agri</v>
      </c>
      <c r="D3" s="130"/>
      <c r="E3" s="83" t="s">
        <v>108</v>
      </c>
      <c r="F3" s="24" t="s">
        <v>78</v>
      </c>
      <c r="G3" s="114" t="s">
        <v>159</v>
      </c>
      <c r="H3" s="114"/>
      <c r="I3" s="86"/>
      <c r="J3" s="110" t="s">
        <v>154</v>
      </c>
      <c r="K3" s="111"/>
      <c r="L3" s="86">
        <f>(L1/(L2*10000))*100</f>
        <v>5</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7" t="str">
        <f>'Field data and Waste 1'!C4:D4</f>
        <v>Castell Malgwyn Farm, Llechryd, Cardigan, Ceredigion, SA43 2QB</v>
      </c>
      <c r="D4" s="128"/>
      <c r="E4" s="84" t="s">
        <v>1</v>
      </c>
      <c r="F4" s="86" t="s">
        <v>174</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7" t="str">
        <f>'Field data and Waste 1'!C5:D5</f>
        <v>Ethan Banfield</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Waste 1'!C8</f>
        <v>2</v>
      </c>
      <c r="D8" s="52">
        <f>'Field data and Waste 1'!D8</f>
        <v>3</v>
      </c>
      <c r="E8" s="52">
        <f>'Field data and Waste 1'!E8</f>
        <v>4</v>
      </c>
      <c r="F8" s="52">
        <f>'Field data and Waste 1'!F8</f>
        <v>10</v>
      </c>
      <c r="G8" s="52">
        <f>'Field data and Waste 1'!G8</f>
        <v>20</v>
      </c>
      <c r="H8" s="52">
        <f>'Field data and Waste 1'!H8</f>
        <v>7886</v>
      </c>
      <c r="I8" s="52">
        <f>'Field data and Waste 1'!I8</f>
        <v>8440</v>
      </c>
      <c r="J8" s="52">
        <f>'Field data and Waste 1'!J8</f>
        <v>8087</v>
      </c>
      <c r="K8" s="52">
        <f>'Field data and Waste 1'!K8</f>
        <v>8019</v>
      </c>
      <c r="L8" s="52">
        <f>'Field data and Waste 1'!L8</f>
        <v>234</v>
      </c>
      <c r="M8" s="52">
        <f>'Field data and Waste 1'!M8</f>
        <v>1735</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Waste 1'!C9</f>
        <v>Moderate</v>
      </c>
      <c r="D9" s="52" t="str">
        <f>'Field data and Waste 1'!D9</f>
        <v>Moderate</v>
      </c>
      <c r="E9" s="52" t="str">
        <f>'Field data and Waste 1'!E9</f>
        <v>Moderate</v>
      </c>
      <c r="F9" s="52">
        <f>'Field data and Waste 1'!F9</f>
        <v>1</v>
      </c>
      <c r="G9" s="52" t="str">
        <f>'Field data and Waste 1'!G9</f>
        <v>Moderate</v>
      </c>
      <c r="H9" s="52">
        <f>'Field data and Waste 1'!H9</f>
        <v>1</v>
      </c>
      <c r="I9" s="52" t="str">
        <f>'Field data and Waste 1'!I9</f>
        <v>Moderate</v>
      </c>
      <c r="J9" s="52" t="str">
        <f>'Field data and Waste 1'!J9</f>
        <v>Moderate</v>
      </c>
      <c r="K9" s="52" t="str">
        <f>'Field data and Waste 1'!K9</f>
        <v>Moderate</v>
      </c>
      <c r="L9" s="52" t="str">
        <f>'Field data and Waste 1'!L9</f>
        <v>Moderate</v>
      </c>
      <c r="M9" s="52" t="str">
        <f>'Field data and Waste 1'!M9</f>
        <v>Moderate</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Waste 1'!C10</f>
        <v>7</v>
      </c>
      <c r="D10" s="52">
        <f>'Field data and Waste 1'!D10</f>
        <v>6.4</v>
      </c>
      <c r="E10" s="52">
        <f>'Field data and Waste 1'!E10</f>
        <v>6.1</v>
      </c>
      <c r="F10" s="52">
        <f>'Field data and Waste 1'!F10</f>
        <v>6.7</v>
      </c>
      <c r="G10" s="52">
        <f>'Field data and Waste 1'!G10</f>
        <v>6.3</v>
      </c>
      <c r="H10" s="52">
        <f>'Field data and Waste 1'!H10</f>
        <v>6.6</v>
      </c>
      <c r="I10" s="52">
        <f>'Field data and Waste 1'!I10</f>
        <v>5.6</v>
      </c>
      <c r="J10" s="52">
        <f>'Field data and Waste 1'!J10</f>
        <v>6.2</v>
      </c>
      <c r="K10" s="52">
        <f>'Field data and Waste 1'!K10</f>
        <v>6.4</v>
      </c>
      <c r="L10" s="52">
        <f>'Field data and Waste 1'!L10</f>
        <v>6.2</v>
      </c>
      <c r="M10" s="52">
        <f>'Field data and Waste 1'!M10</f>
        <v>6.3</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Waste 1'!C11</f>
        <v>2</v>
      </c>
      <c r="D11" s="52">
        <f>'Field data and Waste 1'!D11</f>
        <v>2</v>
      </c>
      <c r="E11" s="52">
        <f>'Field data and Waste 1'!E11</f>
        <v>2</v>
      </c>
      <c r="F11" s="52">
        <f>'Field data and Waste 1'!F11</f>
        <v>3</v>
      </c>
      <c r="G11" s="52">
        <f>'Field data and Waste 1'!G11</f>
        <v>3</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Waste 1'!C12</f>
        <v>2</v>
      </c>
      <c r="D12" s="52">
        <f>'Field data and Waste 1'!D12</f>
        <v>2</v>
      </c>
      <c r="E12" s="52">
        <f>'Field data and Waste 1'!E12</f>
        <v>1</v>
      </c>
      <c r="F12" s="52">
        <f>'Field data and Waste 1'!F12</f>
        <v>2</v>
      </c>
      <c r="G12" s="52">
        <f>'Field data and Waste 1'!G12</f>
        <v>2</v>
      </c>
      <c r="H12" s="52">
        <f>'Field data and Waste 1'!H12</f>
        <v>2</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Waste 1'!C13</f>
        <v>2</v>
      </c>
      <c r="D13" s="52">
        <f>'Field data and Waste 1'!D13</f>
        <v>3</v>
      </c>
      <c r="E13" s="52">
        <f>'Field data and Waste 1'!E13</f>
        <v>3</v>
      </c>
      <c r="F13" s="52">
        <f>'Field data and Waste 1'!F13</f>
        <v>3</v>
      </c>
      <c r="G13" s="52">
        <f>'Field data and Waste 1'!G13</f>
        <v>2</v>
      </c>
      <c r="H13" s="52">
        <f>'Field data and Waste 1'!H13</f>
        <v>2</v>
      </c>
      <c r="I13" s="52">
        <f>'Field data and Waste 1'!I13</f>
        <v>3</v>
      </c>
      <c r="J13" s="52">
        <f>'Field data and Waste 1'!J13</f>
        <v>3</v>
      </c>
      <c r="K13" s="52">
        <f>'Field data and Waste 1'!K13</f>
        <v>3</v>
      </c>
      <c r="L13" s="52">
        <f>'Field data and Waste 1'!L13</f>
        <v>3</v>
      </c>
      <c r="M13" s="52">
        <f>'Field data and Waste 1'!M13</f>
        <v>3</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3" t="s">
        <v>8</v>
      </c>
      <c r="B14" s="123"/>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Spring wheat/barley</v>
      </c>
      <c r="G14" s="91" t="str">
        <f>'Field data and Waste 1'!G14</f>
        <v xml:space="preserve">Grass Silage (25% DM) </v>
      </c>
      <c r="H14" s="91" t="str">
        <f>'Field data and Waste 1'!H14</f>
        <v>Winter wheat- grain &amp; straw</v>
      </c>
      <c r="I14" s="91" t="str">
        <f>'Field data and Waste 1'!I14</f>
        <v xml:space="preserve">Grass Silage (25% DM) </v>
      </c>
      <c r="J14" s="91" t="str">
        <f>'Field data and Waste 1'!J14</f>
        <v xml:space="preserve">Grass Silage (25% DM) </v>
      </c>
      <c r="K14" s="91" t="str">
        <f>'Field data and Waste 1'!K14</f>
        <v xml:space="preserve">Grass Silage (25% DM) </v>
      </c>
      <c r="L14" s="91" t="str">
        <f>'Field data and Waste 1'!L14</f>
        <v xml:space="preserve">Grass Silage (25% DM) </v>
      </c>
      <c r="M14" s="91" t="str">
        <f>'Field data and Waste 1'!M14</f>
        <v xml:space="preserve">Grass Silage (25% DM) </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22" t="s">
        <v>9</v>
      </c>
      <c r="B15" s="122"/>
      <c r="C15" s="52">
        <f>'Field data and Waste 1'!C15</f>
        <v>38</v>
      </c>
      <c r="D15" s="52">
        <f>'Field data and Waste 1'!D15</f>
        <v>38</v>
      </c>
      <c r="E15" s="52">
        <f>'Field data and Waste 1'!E15</f>
        <v>38</v>
      </c>
      <c r="F15" s="52">
        <f>'Field data and Waste 1'!F15</f>
        <v>5.5</v>
      </c>
      <c r="G15" s="52">
        <f>'Field data and Waste 1'!G15</f>
        <v>38</v>
      </c>
      <c r="H15" s="52">
        <f>'Field data and Waste 1'!H15</f>
        <v>8</v>
      </c>
      <c r="I15" s="52">
        <f>'Field data and Waste 1'!I15</f>
        <v>38</v>
      </c>
      <c r="J15" s="52">
        <f>'Field data and Waste 1'!J15</f>
        <v>38</v>
      </c>
      <c r="K15" s="52">
        <f>'Field data and Waste 1'!K15</f>
        <v>38</v>
      </c>
      <c r="L15" s="52">
        <f>'Field data and Waste 1'!L15</f>
        <v>38</v>
      </c>
      <c r="M15" s="52">
        <f>'Field data and Waste 1'!M15</f>
        <v>38</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24" t="s">
        <v>44</v>
      </c>
      <c r="B16" s="124"/>
      <c r="C16" s="92" t="str">
        <f>'Field data and Waste 1'!C16</f>
        <v>Medium/Clay</v>
      </c>
      <c r="D16" s="92" t="str">
        <f>'Field data and Waste 1'!D16</f>
        <v>Medium/Clay</v>
      </c>
      <c r="E16" s="92" t="str">
        <f>'Field data and Waste 1'!E16</f>
        <v>Medium/Clay</v>
      </c>
      <c r="F16" s="92" t="str">
        <f>'Field data and Waste 1'!F16</f>
        <v>Medium/Clay</v>
      </c>
      <c r="G16" s="92" t="str">
        <f>'Field data and Waste 1'!G16</f>
        <v>Medium/Clay</v>
      </c>
      <c r="H16" s="92" t="str">
        <f>'Field data and Waste 1'!H16</f>
        <v>Medium/Clay</v>
      </c>
      <c r="I16" s="92" t="str">
        <f>'Field data and Waste 1'!I16</f>
        <v>Medium/Clay</v>
      </c>
      <c r="J16" s="92" t="str">
        <f>'Field data and Waste 1'!J16</f>
        <v>Medium/Clay</v>
      </c>
      <c r="K16" s="92" t="str">
        <f>'Field data and Waste 1'!K16</f>
        <v>Medium/Clay</v>
      </c>
      <c r="L16" s="92" t="str">
        <f>'Field data and Waste 1'!L16</f>
        <v>Medium/Clay</v>
      </c>
      <c r="M16" s="92" t="str">
        <f>'Field data and Waste 1'!M16</f>
        <v>Medium/Clay</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20" t="s">
        <v>69</v>
      </c>
      <c r="B17" s="121"/>
      <c r="C17" s="21">
        <f>(VLOOKUP(C$14,$AI2:$AK26,2,FALSE))*C$15</f>
        <v>64.599999999999994</v>
      </c>
      <c r="D17" s="21">
        <f t="shared" ref="D17:V17" si="0">(VLOOKUP(D$14,$AI2:$AK26,2,FALSE))*D$15</f>
        <v>64.599999999999994</v>
      </c>
      <c r="E17" s="21">
        <f t="shared" si="0"/>
        <v>64.599999999999994</v>
      </c>
      <c r="F17" s="21">
        <f t="shared" si="0"/>
        <v>46.75</v>
      </c>
      <c r="G17" s="21">
        <f t="shared" si="0"/>
        <v>64.599999999999994</v>
      </c>
      <c r="H17" s="21">
        <f t="shared" si="0"/>
        <v>56</v>
      </c>
      <c r="I17" s="21">
        <f t="shared" si="0"/>
        <v>64.599999999999994</v>
      </c>
      <c r="J17" s="21">
        <f t="shared" si="0"/>
        <v>64.599999999999994</v>
      </c>
      <c r="K17" s="21">
        <f t="shared" si="0"/>
        <v>64.599999999999994</v>
      </c>
      <c r="L17" s="21">
        <f t="shared" si="0"/>
        <v>64.599999999999994</v>
      </c>
      <c r="M17" s="21">
        <f t="shared" si="0"/>
        <v>64.599999999999994</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8" t="s">
        <v>23</v>
      </c>
      <c r="B18" s="119"/>
      <c r="C18" s="13">
        <f>$D31</f>
        <v>54.926725000000012</v>
      </c>
      <c r="D18" s="13">
        <f>$D32</f>
        <v>54.926725000000012</v>
      </c>
      <c r="E18" s="13">
        <f>$D33</f>
        <v>54.926725000000012</v>
      </c>
      <c r="F18" s="13">
        <f>$D34</f>
        <v>32.956035</v>
      </c>
      <c r="G18" s="13">
        <f>$D35</f>
        <v>54.926725000000012</v>
      </c>
      <c r="H18" s="13">
        <f>$D36</f>
        <v>32.956035</v>
      </c>
      <c r="I18" s="13">
        <f>$D37</f>
        <v>0</v>
      </c>
      <c r="J18" s="13">
        <f>$D38</f>
        <v>54.926725000000012</v>
      </c>
      <c r="K18" s="13">
        <f>$D39</f>
        <v>54.926725000000012</v>
      </c>
      <c r="L18" s="13">
        <f>$D40</f>
        <v>54.926725000000012</v>
      </c>
      <c r="M18" s="13">
        <f>$D41</f>
        <v>54.926725000000012</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8" t="s">
        <v>90</v>
      </c>
      <c r="B19" s="119"/>
      <c r="C19" s="13">
        <f>C18-C17</f>
        <v>-9.6732749999999825</v>
      </c>
      <c r="D19" s="13">
        <f t="shared" ref="D19:V19" si="1">D18-D17</f>
        <v>-9.6732749999999825</v>
      </c>
      <c r="E19" s="13">
        <f t="shared" si="1"/>
        <v>-9.6732749999999825</v>
      </c>
      <c r="F19" s="13">
        <f t="shared" si="1"/>
        <v>-13.793965</v>
      </c>
      <c r="G19" s="13">
        <f t="shared" si="1"/>
        <v>-9.6732749999999825</v>
      </c>
      <c r="H19" s="13">
        <f t="shared" si="1"/>
        <v>-23.043965</v>
      </c>
      <c r="I19" s="13">
        <f t="shared" si="1"/>
        <v>-64.599999999999994</v>
      </c>
      <c r="J19" s="13">
        <f t="shared" si="1"/>
        <v>-9.6732749999999825</v>
      </c>
      <c r="K19" s="13">
        <f t="shared" si="1"/>
        <v>-9.6732749999999825</v>
      </c>
      <c r="L19" s="13">
        <f t="shared" si="1"/>
        <v>-9.6732749999999825</v>
      </c>
      <c r="M19" s="13">
        <f t="shared" si="1"/>
        <v>-9.6732749999999825</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0" t="s">
        <v>88</v>
      </c>
      <c r="B21" s="121"/>
      <c r="C21" s="21">
        <f>(VLOOKUP(C$14,$AI2:$AK26,3,FALSE))*C$15</f>
        <v>228</v>
      </c>
      <c r="D21" s="21">
        <f t="shared" ref="D21:V21" si="2">(VLOOKUP(D$14,$AI2:$AK26,3,FALSE))*D$15</f>
        <v>228</v>
      </c>
      <c r="E21" s="21">
        <f t="shared" si="2"/>
        <v>228</v>
      </c>
      <c r="F21" s="21">
        <f t="shared" si="2"/>
        <v>66</v>
      </c>
      <c r="G21" s="21">
        <f t="shared" si="2"/>
        <v>228</v>
      </c>
      <c r="H21" s="21">
        <f t="shared" si="2"/>
        <v>84</v>
      </c>
      <c r="I21" s="21">
        <f t="shared" si="2"/>
        <v>228</v>
      </c>
      <c r="J21" s="21">
        <f t="shared" si="2"/>
        <v>228</v>
      </c>
      <c r="K21" s="21">
        <f t="shared" si="2"/>
        <v>228</v>
      </c>
      <c r="L21" s="21">
        <f t="shared" si="2"/>
        <v>228</v>
      </c>
      <c r="M21" s="21">
        <f t="shared" si="2"/>
        <v>228</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8" t="s">
        <v>89</v>
      </c>
      <c r="B22" s="119"/>
      <c r="C22" s="13">
        <f>$E31</f>
        <v>13.194749999999999</v>
      </c>
      <c r="D22" s="13">
        <f>$E32</f>
        <v>13.194749999999999</v>
      </c>
      <c r="E22" s="13">
        <f>$E33</f>
        <v>13.194749999999999</v>
      </c>
      <c r="F22" s="13">
        <f>$E34</f>
        <v>7.9168500000000002</v>
      </c>
      <c r="G22" s="13">
        <f>$E35</f>
        <v>13.194749999999999</v>
      </c>
      <c r="H22" s="13">
        <f>$E36</f>
        <v>7.9168500000000002</v>
      </c>
      <c r="I22" s="13">
        <f>$E37</f>
        <v>0</v>
      </c>
      <c r="J22" s="13">
        <f>$E38</f>
        <v>13.194749999999999</v>
      </c>
      <c r="K22" s="13">
        <f>$E39</f>
        <v>13.194749999999999</v>
      </c>
      <c r="L22" s="13">
        <f>$E40</f>
        <v>13.194749999999999</v>
      </c>
      <c r="M22" s="13">
        <f>$E41</f>
        <v>13.194749999999999</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8" t="s">
        <v>92</v>
      </c>
      <c r="B23" s="119"/>
      <c r="C23" s="13">
        <f>C22-C21</f>
        <v>-214.80525</v>
      </c>
      <c r="D23" s="13">
        <f t="shared" ref="D23:V23" si="3">D22-D21</f>
        <v>-214.80525</v>
      </c>
      <c r="E23" s="13">
        <f t="shared" si="3"/>
        <v>-214.80525</v>
      </c>
      <c r="F23" s="13">
        <f t="shared" si="3"/>
        <v>-58.083150000000003</v>
      </c>
      <c r="G23" s="13">
        <f t="shared" si="3"/>
        <v>-214.80525</v>
      </c>
      <c r="H23" s="13">
        <f t="shared" si="3"/>
        <v>-76.083150000000003</v>
      </c>
      <c r="I23" s="13">
        <f t="shared" si="3"/>
        <v>-228</v>
      </c>
      <c r="J23" s="13">
        <f t="shared" si="3"/>
        <v>-214.80525</v>
      </c>
      <c r="K23" s="13">
        <f t="shared" si="3"/>
        <v>-214.80525</v>
      </c>
      <c r="L23" s="13">
        <f t="shared" si="3"/>
        <v>-214.80525</v>
      </c>
      <c r="M23" s="13">
        <f t="shared" si="3"/>
        <v>-214.80525</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56</v>
      </c>
      <c r="D27" s="96" t="s">
        <v>54</v>
      </c>
      <c r="E27" s="96" t="s">
        <v>54</v>
      </c>
      <c r="F27" s="96" t="s">
        <v>54</v>
      </c>
      <c r="G27" s="96" t="s">
        <v>54</v>
      </c>
      <c r="H27" s="96" t="s">
        <v>54</v>
      </c>
      <c r="I27" s="96" t="s">
        <v>54</v>
      </c>
      <c r="J27" s="96" t="s">
        <v>54</v>
      </c>
      <c r="K27" s="96" t="s">
        <v>54</v>
      </c>
      <c r="L27" s="96" t="s">
        <v>54</v>
      </c>
      <c r="M27" s="96" t="s">
        <v>54</v>
      </c>
      <c r="N27" s="96" t="s">
        <v>54</v>
      </c>
      <c r="O27" s="96" t="s">
        <v>54</v>
      </c>
      <c r="P27" s="96" t="s">
        <v>54</v>
      </c>
      <c r="Q27" s="96" t="s">
        <v>54</v>
      </c>
      <c r="R27" s="96" t="s">
        <v>54</v>
      </c>
      <c r="S27" s="96" t="s">
        <v>54</v>
      </c>
      <c r="T27" s="96" t="s">
        <v>54</v>
      </c>
      <c r="U27" s="96" t="s">
        <v>54</v>
      </c>
    </row>
    <row r="28" spans="1:40" x14ac:dyDescent="0.25">
      <c r="A28" s="97"/>
      <c r="B28" s="17">
        <v>4.9000000000000004</v>
      </c>
      <c r="C28" s="12">
        <v>0.05</v>
      </c>
      <c r="D28" s="12">
        <v>95.9</v>
      </c>
      <c r="E28" s="12">
        <v>43.8</v>
      </c>
      <c r="F28" s="12">
        <v>57.9</v>
      </c>
      <c r="G28" s="12">
        <v>2.34</v>
      </c>
      <c r="H28" s="12">
        <v>4.68</v>
      </c>
      <c r="I28" s="12">
        <v>0.77</v>
      </c>
      <c r="J28" s="12">
        <v>0.02</v>
      </c>
      <c r="K28" s="16">
        <v>0.05</v>
      </c>
      <c r="L28" s="12">
        <v>1.33</v>
      </c>
      <c r="M28" s="12">
        <v>1.25</v>
      </c>
      <c r="N28" s="12">
        <v>5354</v>
      </c>
      <c r="O28" s="12">
        <v>895</v>
      </c>
      <c r="P28" s="12">
        <v>16.7</v>
      </c>
      <c r="Q28" s="12">
        <v>362</v>
      </c>
      <c r="R28" s="12"/>
      <c r="S28" s="12">
        <v>0.68</v>
      </c>
      <c r="T28" s="12"/>
      <c r="U28" s="12"/>
    </row>
    <row r="29" spans="1:40" s="7" customFormat="1" ht="27" x14ac:dyDescent="0.2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2</v>
      </c>
      <c r="B31" s="12">
        <v>250</v>
      </c>
      <c r="C31" s="68">
        <f>IF(C$27="%w/w SAR",((C$28*10)*$B31),IF(C$27="%w/w DM",(((C$28*10)*($B$28/100))*$B31),IF(C$27="kg/t SAR",(C$28*$B31),IF(C$27="kg/t DM",((C$28*($B$28/100))*$B31),IF(C$27="mg/kg SAR",((C$28*0.001)*$B31),IF(C$27="mg/kg DM",(((C$28*0.001)*($B$28/100))*$B31),0))))))</f>
        <v>125</v>
      </c>
      <c r="D31" s="68">
        <f>(IF(D$27="%w/w SAR",((D$28*10)*$B31),IF(D$27="%w/w DM",(((D$28*10)*($B$28/100))*$B31),IF(D$27="kg/t SAR",(D$28*$B31),IF(D$27="kg/t DM",((D$28*($B$28/100))*$B31),IF(D$27="mg/kg SAR",((D$28*0.001)*$B31),IF(D$27="mg/kg DM",(((D$28*0.001)*($B$28/100))*$B31),"0")))))))*2.291</f>
        <v>54.926725000000012</v>
      </c>
      <c r="E31" s="68">
        <f>(IF(E$27="%w/w SAR",((E$28*10)*$B31),IF(E$27="%w/w DM",(((E$28*10)*($B$28/100))*$B31),IF(E$27="kg/t SAR",(E$28*$B31),IF(E$27="kg/t DM",((E$28*($B$28/100))*$B31),IF(E$27="mg/kg SAR",((E$28*0.001)*$B31),IF(E$27="mg/kg DM",(((E$28*0.001)*($B$28/100))*$B31),"0")))))))*1.205</f>
        <v>13.194749999999999</v>
      </c>
      <c r="F31" s="68">
        <f>(IF(F$27="%w/w SAR",((F$28*10)*$B31),IF(F$27="%w/w DM",(((F$28*10)*($B$28/100))*$B31),IF(F$27="kg/t SAR",(F$28*$B31),IF(F$27="kg/t DM",((F$28*($B$28/100))*$B31),IF(F$27="mg/kg SAR",((F$28*0.001)*$B31),IF(F$27="mg/kg DM",(((F$28*0.001)*($B$28/100))*$B31),"0")))))))*1.658</f>
        <v>23.999549999999999</v>
      </c>
      <c r="G31" s="68">
        <f t="shared" ref="G31:P46" si="5">IF(G$27="%w/w SAR",((G$28*10)*$B31),IF(G$27="%w/w DM",(((G$28*10)*($B$28/100))*$B31),IF(G$27="kg/t SAR",(G$28*$B31),IF(G$27="kg/t DM",((G$28*($B$28/100))*$B31),IF(G$27="mg/kg SAR",((G$28*0.001)*$B31),IF(G$27="mg/kg DM",(((G$28*0.001)*($B$28/100))*$B31),0))))))</f>
        <v>0.58499999999999996</v>
      </c>
      <c r="H31" s="68">
        <f t="shared" si="5"/>
        <v>1.17</v>
      </c>
      <c r="I31" s="68">
        <f t="shared" si="5"/>
        <v>0.1925</v>
      </c>
      <c r="J31" s="68">
        <f t="shared" si="5"/>
        <v>5.0000000000000001E-3</v>
      </c>
      <c r="K31" s="68">
        <f t="shared" si="5"/>
        <v>1.2500000000000001E-2</v>
      </c>
      <c r="L31" s="68">
        <f t="shared" si="5"/>
        <v>0.33250000000000002</v>
      </c>
      <c r="M31" s="68">
        <f t="shared" si="5"/>
        <v>0.3125</v>
      </c>
      <c r="N31" s="68">
        <f t="shared" si="5"/>
        <v>1338.5</v>
      </c>
      <c r="O31" s="68">
        <f t="shared" si="5"/>
        <v>223.75</v>
      </c>
      <c r="P31" s="68">
        <f t="shared" si="5"/>
        <v>4.1749999999999998</v>
      </c>
      <c r="Q31" s="68">
        <f>(IF(Q$27="%w/w SAR",((Q$28*10)*$B31),IF(Q$27="%w/w DM",(((Q$28*10)*($B$28/100))*$B31),IF(Q$27="kg/t SAR",(Q$28*$B31),IF(Q$27="kg/t DM",((Q$28*($B$28/100))*$B31),IF(Q$27="mg/kg SAR",((Q$28*0.001)*$B31),IF(Q$27="mg/kg DM",(((Q$28*0.001)*($B$28/100))*$B31),0)))))))*2.5</f>
        <v>226.25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0.17</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3</v>
      </c>
      <c r="B32" s="12">
        <v>250</v>
      </c>
      <c r="C32" s="68">
        <f t="shared" ref="C32:C50" si="6">IF(C$27="%w/w SAR",((C$28*10)*$B32),IF(C$27="%w/w DM",(((C$28*10)*($B$28/100))*$B32),IF(C$27="kg/t SAR",(C$28*$B32),IF(C$27="kg/t DM",((C$28*($B$28/100))*$B32),IF(C$27="mg/kg SAR",((C$28*0.001)*$B32),IF(C$27="mg/kg DM",(((C$28*0.001)*($B$28/100))*$B32),0))))))</f>
        <v>125</v>
      </c>
      <c r="D32" s="68">
        <f t="shared" ref="D32:D50" si="7">(IF(D$27="%w/w SAR",((D$28*10)*$B32),IF(D$27="%w/w DM",(((D$28*10)*($B$28/100))*$B32),IF(D$27="kg/t SAR",(D$28*$B32),IF(D$27="kg/t DM",((D$28*($B$28/100))*$B32),IF(D$27="mg/kg SAR",((D$28*0.001)*$B32),IF(D$27="mg/kg DM",(((D$28*0.001)*($B$28/100))*$B32),"0")))))))*2.291</f>
        <v>54.926725000000012</v>
      </c>
      <c r="E32" s="68">
        <f t="shared" ref="E32:E50" si="8">(IF(E$27="%w/w SAR",((E$28*10)*$B32),IF(E$27="%w/w DM",(((E$28*10)*($B$28/100))*$B32),IF(E$27="kg/t SAR",(E$28*$B32),IF(E$27="kg/t DM",((E$28*($B$28/100))*$B32),IF(E$27="mg/kg SAR",((E$28*0.001)*$B32),IF(E$27="mg/kg DM",(((E$28*0.001)*($B$28/100))*$B32),"0")))))))*1.205</f>
        <v>13.194749999999999</v>
      </c>
      <c r="F32" s="68">
        <f t="shared" ref="F32:F50" si="9">(IF(F$27="%w/w SAR",((F$28*10)*$B32),IF(F$27="%w/w DM",(((F$28*10)*($B$28/100))*$B32),IF(F$27="kg/t SAR",(F$28*$B32),IF(F$27="kg/t DM",((F$28*($B$28/100))*$B32),IF(F$27="mg/kg SAR",((F$28*0.001)*$B32),IF(F$27="mg/kg DM",(((F$28*0.001)*($B$28/100))*$B32),"0")))))))*1.658</f>
        <v>23.999549999999999</v>
      </c>
      <c r="G32" s="68">
        <f t="shared" si="5"/>
        <v>0.58499999999999996</v>
      </c>
      <c r="H32" s="68">
        <f t="shared" si="5"/>
        <v>1.17</v>
      </c>
      <c r="I32" s="68">
        <f t="shared" si="5"/>
        <v>0.1925</v>
      </c>
      <c r="J32" s="68">
        <f t="shared" si="5"/>
        <v>5.0000000000000001E-3</v>
      </c>
      <c r="K32" s="68">
        <f t="shared" si="5"/>
        <v>1.2500000000000001E-2</v>
      </c>
      <c r="L32" s="68">
        <f t="shared" si="5"/>
        <v>0.33250000000000002</v>
      </c>
      <c r="M32" s="68">
        <f t="shared" si="5"/>
        <v>0.3125</v>
      </c>
      <c r="N32" s="68">
        <f t="shared" si="5"/>
        <v>1338.5</v>
      </c>
      <c r="O32" s="68">
        <f t="shared" si="5"/>
        <v>223.75</v>
      </c>
      <c r="P32" s="68">
        <f t="shared" si="5"/>
        <v>4.1749999999999998</v>
      </c>
      <c r="Q32" s="68">
        <f t="shared" ref="Q32:Q50" si="10">(IF(Q$27="%w/w SAR",((Q$28*10)*$B32),IF(Q$27="%w/w DM",(((Q$28*10)*($B$28/100))*$B32),IF(Q$27="kg/t SAR",(Q$28*$B32),IF(Q$27="kg/t DM",((Q$28*($B$28/100))*$B32),IF(Q$27="mg/kg SAR",((Q$28*0.001)*$B32),IF(Q$27="mg/kg DM",(((Q$28*0.001)*($B$28/100))*$B32),0)))))))*2.5</f>
        <v>226.25</v>
      </c>
      <c r="R32" s="68">
        <f t="shared" ref="R32:U50" si="11">IF(R$27="%w/w SAR",((R$28*10)*$B32),IF(R$27="%w/w DM",(((R$28*10)*($B$28/100))*$B32),IF(R$27="kg/t SAR",(R$28*$B32),IF(R$27="kg/t DM",((R$28*($B$28/100))*$B32),IF(R$27="mg/kg SAR",((R$28*0.001)*$B32),IF(R$27="mg/kg DM",(((R$28*0.001)*($B$28/100))*$B32),0))))))</f>
        <v>0</v>
      </c>
      <c r="S32" s="68">
        <f t="shared" si="11"/>
        <v>0.17</v>
      </c>
      <c r="T32" s="68">
        <f t="shared" si="11"/>
        <v>0</v>
      </c>
      <c r="U32" s="68">
        <f t="shared" si="11"/>
        <v>0</v>
      </c>
    </row>
    <row r="33" spans="1:21" s="51" customFormat="1" x14ac:dyDescent="0.25">
      <c r="A33" s="10">
        <f>E8</f>
        <v>4</v>
      </c>
      <c r="B33" s="12">
        <v>250</v>
      </c>
      <c r="C33" s="68">
        <f t="shared" si="6"/>
        <v>125</v>
      </c>
      <c r="D33" s="68">
        <f t="shared" si="7"/>
        <v>54.926725000000012</v>
      </c>
      <c r="E33" s="68">
        <f t="shared" si="8"/>
        <v>13.194749999999999</v>
      </c>
      <c r="F33" s="68">
        <f t="shared" si="9"/>
        <v>23.999549999999999</v>
      </c>
      <c r="G33" s="68">
        <f t="shared" si="5"/>
        <v>0.58499999999999996</v>
      </c>
      <c r="H33" s="68">
        <f t="shared" si="5"/>
        <v>1.17</v>
      </c>
      <c r="I33" s="68">
        <f t="shared" si="5"/>
        <v>0.1925</v>
      </c>
      <c r="J33" s="68">
        <f t="shared" si="5"/>
        <v>5.0000000000000001E-3</v>
      </c>
      <c r="K33" s="68">
        <f t="shared" si="5"/>
        <v>1.2500000000000001E-2</v>
      </c>
      <c r="L33" s="68">
        <f t="shared" si="5"/>
        <v>0.33250000000000002</v>
      </c>
      <c r="M33" s="68">
        <f t="shared" si="5"/>
        <v>0.3125</v>
      </c>
      <c r="N33" s="68">
        <f t="shared" si="5"/>
        <v>1338.5</v>
      </c>
      <c r="O33" s="68">
        <f t="shared" si="5"/>
        <v>223.75</v>
      </c>
      <c r="P33" s="68">
        <f t="shared" si="5"/>
        <v>4.1749999999999998</v>
      </c>
      <c r="Q33" s="68">
        <f t="shared" si="10"/>
        <v>226.25</v>
      </c>
      <c r="R33" s="68">
        <f t="shared" si="11"/>
        <v>0</v>
      </c>
      <c r="S33" s="68">
        <f t="shared" si="11"/>
        <v>0.17</v>
      </c>
      <c r="T33" s="68">
        <f t="shared" si="11"/>
        <v>0</v>
      </c>
      <c r="U33" s="68">
        <f t="shared" si="11"/>
        <v>0</v>
      </c>
    </row>
    <row r="34" spans="1:21" s="51" customFormat="1" x14ac:dyDescent="0.25">
      <c r="A34" s="10">
        <f>F8</f>
        <v>10</v>
      </c>
      <c r="B34" s="12">
        <v>150</v>
      </c>
      <c r="C34" s="68">
        <f t="shared" si="6"/>
        <v>75</v>
      </c>
      <c r="D34" s="68">
        <f t="shared" si="7"/>
        <v>32.956035</v>
      </c>
      <c r="E34" s="68">
        <f t="shared" si="8"/>
        <v>7.9168500000000002</v>
      </c>
      <c r="F34" s="68">
        <f t="shared" si="9"/>
        <v>14.39973</v>
      </c>
      <c r="G34" s="68">
        <f t="shared" si="5"/>
        <v>0.35100000000000003</v>
      </c>
      <c r="H34" s="68">
        <f t="shared" si="5"/>
        <v>0.70200000000000007</v>
      </c>
      <c r="I34" s="68">
        <f t="shared" si="5"/>
        <v>0.11550000000000001</v>
      </c>
      <c r="J34" s="68">
        <f t="shared" si="5"/>
        <v>3.0000000000000001E-3</v>
      </c>
      <c r="K34" s="68">
        <f t="shared" si="5"/>
        <v>7.5000000000000006E-3</v>
      </c>
      <c r="L34" s="68">
        <f t="shared" si="5"/>
        <v>0.19950000000000001</v>
      </c>
      <c r="M34" s="68">
        <f t="shared" si="5"/>
        <v>0.1875</v>
      </c>
      <c r="N34" s="68">
        <f t="shared" si="5"/>
        <v>803.1</v>
      </c>
      <c r="O34" s="68">
        <f t="shared" si="5"/>
        <v>134.25</v>
      </c>
      <c r="P34" s="68">
        <f t="shared" si="5"/>
        <v>2.5049999999999999</v>
      </c>
      <c r="Q34" s="68">
        <f t="shared" si="10"/>
        <v>135.75</v>
      </c>
      <c r="R34" s="68">
        <f t="shared" si="11"/>
        <v>0</v>
      </c>
      <c r="S34" s="68">
        <f t="shared" si="11"/>
        <v>0.10200000000000001</v>
      </c>
      <c r="T34" s="68">
        <f t="shared" si="11"/>
        <v>0</v>
      </c>
      <c r="U34" s="68">
        <f t="shared" si="11"/>
        <v>0</v>
      </c>
    </row>
    <row r="35" spans="1:21" s="51" customFormat="1" x14ac:dyDescent="0.25">
      <c r="A35" s="10">
        <f>G8</f>
        <v>20</v>
      </c>
      <c r="B35" s="12">
        <v>250</v>
      </c>
      <c r="C35" s="68">
        <f t="shared" si="6"/>
        <v>125</v>
      </c>
      <c r="D35" s="68">
        <f t="shared" si="7"/>
        <v>54.926725000000012</v>
      </c>
      <c r="E35" s="68">
        <f t="shared" si="8"/>
        <v>13.194749999999999</v>
      </c>
      <c r="F35" s="68">
        <f t="shared" si="9"/>
        <v>23.999549999999999</v>
      </c>
      <c r="G35" s="68">
        <f t="shared" si="5"/>
        <v>0.58499999999999996</v>
      </c>
      <c r="H35" s="68">
        <f t="shared" si="5"/>
        <v>1.17</v>
      </c>
      <c r="I35" s="68">
        <f t="shared" si="5"/>
        <v>0.1925</v>
      </c>
      <c r="J35" s="68">
        <f t="shared" si="5"/>
        <v>5.0000000000000001E-3</v>
      </c>
      <c r="K35" s="68">
        <f t="shared" si="5"/>
        <v>1.2500000000000001E-2</v>
      </c>
      <c r="L35" s="68">
        <f t="shared" si="5"/>
        <v>0.33250000000000002</v>
      </c>
      <c r="M35" s="68">
        <f t="shared" si="5"/>
        <v>0.3125</v>
      </c>
      <c r="N35" s="68">
        <f t="shared" si="5"/>
        <v>1338.5</v>
      </c>
      <c r="O35" s="68">
        <f t="shared" si="5"/>
        <v>223.75</v>
      </c>
      <c r="P35" s="68">
        <f t="shared" si="5"/>
        <v>4.1749999999999998</v>
      </c>
      <c r="Q35" s="68">
        <f t="shared" si="10"/>
        <v>226.25</v>
      </c>
      <c r="R35" s="68">
        <f t="shared" si="11"/>
        <v>0</v>
      </c>
      <c r="S35" s="68">
        <f t="shared" si="11"/>
        <v>0.17</v>
      </c>
      <c r="T35" s="68">
        <f t="shared" si="11"/>
        <v>0</v>
      </c>
      <c r="U35" s="68">
        <f t="shared" si="11"/>
        <v>0</v>
      </c>
    </row>
    <row r="36" spans="1:21" s="51" customFormat="1" x14ac:dyDescent="0.25">
      <c r="A36" s="10">
        <f>H8</f>
        <v>7886</v>
      </c>
      <c r="B36" s="12">
        <v>150</v>
      </c>
      <c r="C36" s="68">
        <f t="shared" si="6"/>
        <v>75</v>
      </c>
      <c r="D36" s="68">
        <f t="shared" si="7"/>
        <v>32.956035</v>
      </c>
      <c r="E36" s="68">
        <f t="shared" si="8"/>
        <v>7.9168500000000002</v>
      </c>
      <c r="F36" s="68">
        <f t="shared" si="9"/>
        <v>14.39973</v>
      </c>
      <c r="G36" s="68">
        <f t="shared" si="5"/>
        <v>0.35100000000000003</v>
      </c>
      <c r="H36" s="68">
        <f t="shared" si="5"/>
        <v>0.70200000000000007</v>
      </c>
      <c r="I36" s="68">
        <f t="shared" si="5"/>
        <v>0.11550000000000001</v>
      </c>
      <c r="J36" s="68">
        <f t="shared" si="5"/>
        <v>3.0000000000000001E-3</v>
      </c>
      <c r="K36" s="68">
        <f t="shared" si="5"/>
        <v>7.5000000000000006E-3</v>
      </c>
      <c r="L36" s="68">
        <f t="shared" si="5"/>
        <v>0.19950000000000001</v>
      </c>
      <c r="M36" s="68">
        <f t="shared" si="5"/>
        <v>0.1875</v>
      </c>
      <c r="N36" s="68">
        <f t="shared" si="5"/>
        <v>803.1</v>
      </c>
      <c r="O36" s="68">
        <f t="shared" si="5"/>
        <v>134.25</v>
      </c>
      <c r="P36" s="68">
        <f t="shared" si="5"/>
        <v>2.5049999999999999</v>
      </c>
      <c r="Q36" s="68">
        <f t="shared" si="10"/>
        <v>135.75</v>
      </c>
      <c r="R36" s="68">
        <f t="shared" si="11"/>
        <v>0</v>
      </c>
      <c r="S36" s="68">
        <f t="shared" si="11"/>
        <v>0.10200000000000001</v>
      </c>
      <c r="T36" s="68">
        <f t="shared" si="11"/>
        <v>0</v>
      </c>
      <c r="U36" s="68">
        <f t="shared" si="11"/>
        <v>0</v>
      </c>
    </row>
    <row r="37" spans="1:21" s="51" customFormat="1" x14ac:dyDescent="0.25">
      <c r="A37" s="10">
        <f>I8</f>
        <v>8440</v>
      </c>
      <c r="B37" s="12">
        <v>0</v>
      </c>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8087</v>
      </c>
      <c r="B38" s="12">
        <v>250</v>
      </c>
      <c r="C38" s="68">
        <f t="shared" si="6"/>
        <v>125</v>
      </c>
      <c r="D38" s="68">
        <f t="shared" si="7"/>
        <v>54.926725000000012</v>
      </c>
      <c r="E38" s="68">
        <f t="shared" si="8"/>
        <v>13.194749999999999</v>
      </c>
      <c r="F38" s="68">
        <f t="shared" si="9"/>
        <v>23.999549999999999</v>
      </c>
      <c r="G38" s="68">
        <f t="shared" si="5"/>
        <v>0.58499999999999996</v>
      </c>
      <c r="H38" s="68">
        <f t="shared" si="5"/>
        <v>1.17</v>
      </c>
      <c r="I38" s="68">
        <f t="shared" si="5"/>
        <v>0.1925</v>
      </c>
      <c r="J38" s="68">
        <f t="shared" si="5"/>
        <v>5.0000000000000001E-3</v>
      </c>
      <c r="K38" s="68">
        <f t="shared" si="5"/>
        <v>1.2500000000000001E-2</v>
      </c>
      <c r="L38" s="68">
        <f t="shared" si="5"/>
        <v>0.33250000000000002</v>
      </c>
      <c r="M38" s="68">
        <f t="shared" si="5"/>
        <v>0.3125</v>
      </c>
      <c r="N38" s="68">
        <f t="shared" si="5"/>
        <v>1338.5</v>
      </c>
      <c r="O38" s="68">
        <f t="shared" si="5"/>
        <v>223.75</v>
      </c>
      <c r="P38" s="68">
        <f t="shared" si="5"/>
        <v>4.1749999999999998</v>
      </c>
      <c r="Q38" s="68">
        <f t="shared" si="10"/>
        <v>226.25</v>
      </c>
      <c r="R38" s="68">
        <f t="shared" si="11"/>
        <v>0</v>
      </c>
      <c r="S38" s="68">
        <f t="shared" si="11"/>
        <v>0.17</v>
      </c>
      <c r="T38" s="68">
        <f t="shared" si="11"/>
        <v>0</v>
      </c>
      <c r="U38" s="68">
        <f t="shared" si="11"/>
        <v>0</v>
      </c>
    </row>
    <row r="39" spans="1:21" s="51" customFormat="1" x14ac:dyDescent="0.25">
      <c r="A39" s="10">
        <f>K8</f>
        <v>8019</v>
      </c>
      <c r="B39" s="12">
        <v>250</v>
      </c>
      <c r="C39" s="68">
        <f t="shared" si="6"/>
        <v>125</v>
      </c>
      <c r="D39" s="68">
        <f t="shared" si="7"/>
        <v>54.926725000000012</v>
      </c>
      <c r="E39" s="68">
        <f t="shared" si="8"/>
        <v>13.194749999999999</v>
      </c>
      <c r="F39" s="68">
        <f t="shared" si="9"/>
        <v>23.999549999999999</v>
      </c>
      <c r="G39" s="68">
        <f t="shared" si="5"/>
        <v>0.58499999999999996</v>
      </c>
      <c r="H39" s="68">
        <f t="shared" si="5"/>
        <v>1.17</v>
      </c>
      <c r="I39" s="68">
        <f t="shared" si="5"/>
        <v>0.1925</v>
      </c>
      <c r="J39" s="68">
        <f t="shared" si="5"/>
        <v>5.0000000000000001E-3</v>
      </c>
      <c r="K39" s="68">
        <f t="shared" si="5"/>
        <v>1.2500000000000001E-2</v>
      </c>
      <c r="L39" s="68">
        <f t="shared" si="5"/>
        <v>0.33250000000000002</v>
      </c>
      <c r="M39" s="68">
        <f t="shared" si="5"/>
        <v>0.3125</v>
      </c>
      <c r="N39" s="68">
        <f t="shared" si="5"/>
        <v>1338.5</v>
      </c>
      <c r="O39" s="68">
        <f t="shared" si="5"/>
        <v>223.75</v>
      </c>
      <c r="P39" s="68">
        <f t="shared" si="5"/>
        <v>4.1749999999999998</v>
      </c>
      <c r="Q39" s="68">
        <f t="shared" si="10"/>
        <v>226.25</v>
      </c>
      <c r="R39" s="68">
        <f t="shared" si="11"/>
        <v>0</v>
      </c>
      <c r="S39" s="68">
        <f t="shared" si="11"/>
        <v>0.17</v>
      </c>
      <c r="T39" s="68">
        <f t="shared" si="11"/>
        <v>0</v>
      </c>
      <c r="U39" s="68">
        <f t="shared" si="11"/>
        <v>0</v>
      </c>
    </row>
    <row r="40" spans="1:21" s="51" customFormat="1" x14ac:dyDescent="0.25">
      <c r="A40" s="10">
        <f>L8</f>
        <v>234</v>
      </c>
      <c r="B40" s="12">
        <v>250</v>
      </c>
      <c r="C40" s="68">
        <f t="shared" si="6"/>
        <v>125</v>
      </c>
      <c r="D40" s="68">
        <f t="shared" si="7"/>
        <v>54.926725000000012</v>
      </c>
      <c r="E40" s="68">
        <f t="shared" si="8"/>
        <v>13.194749999999999</v>
      </c>
      <c r="F40" s="68">
        <f t="shared" si="9"/>
        <v>23.999549999999999</v>
      </c>
      <c r="G40" s="68">
        <f t="shared" si="5"/>
        <v>0.58499999999999996</v>
      </c>
      <c r="H40" s="68">
        <f t="shared" si="5"/>
        <v>1.17</v>
      </c>
      <c r="I40" s="68">
        <f t="shared" si="5"/>
        <v>0.1925</v>
      </c>
      <c r="J40" s="68">
        <f t="shared" si="5"/>
        <v>5.0000000000000001E-3</v>
      </c>
      <c r="K40" s="68">
        <f t="shared" si="5"/>
        <v>1.2500000000000001E-2</v>
      </c>
      <c r="L40" s="68">
        <f t="shared" si="5"/>
        <v>0.33250000000000002</v>
      </c>
      <c r="M40" s="68">
        <f t="shared" si="5"/>
        <v>0.3125</v>
      </c>
      <c r="N40" s="68">
        <f t="shared" si="5"/>
        <v>1338.5</v>
      </c>
      <c r="O40" s="68">
        <f t="shared" si="5"/>
        <v>223.75</v>
      </c>
      <c r="P40" s="68">
        <f t="shared" si="5"/>
        <v>4.1749999999999998</v>
      </c>
      <c r="Q40" s="68">
        <f t="shared" si="10"/>
        <v>226.25</v>
      </c>
      <c r="R40" s="68">
        <f t="shared" si="11"/>
        <v>0</v>
      </c>
      <c r="S40" s="68">
        <f t="shared" si="11"/>
        <v>0.17</v>
      </c>
      <c r="T40" s="68">
        <f t="shared" si="11"/>
        <v>0</v>
      </c>
      <c r="U40" s="68">
        <f t="shared" si="11"/>
        <v>0</v>
      </c>
    </row>
    <row r="41" spans="1:21" s="51" customFormat="1" x14ac:dyDescent="0.25">
      <c r="A41" s="10">
        <f>M8</f>
        <v>1735</v>
      </c>
      <c r="B41" s="12">
        <v>250</v>
      </c>
      <c r="C41" s="68">
        <f t="shared" si="6"/>
        <v>125</v>
      </c>
      <c r="D41" s="68">
        <f t="shared" si="7"/>
        <v>54.926725000000012</v>
      </c>
      <c r="E41" s="68">
        <f t="shared" si="8"/>
        <v>13.194749999999999</v>
      </c>
      <c r="F41" s="68">
        <f t="shared" si="9"/>
        <v>23.999549999999999</v>
      </c>
      <c r="G41" s="68">
        <f t="shared" si="5"/>
        <v>0.58499999999999996</v>
      </c>
      <c r="H41" s="68">
        <f t="shared" si="5"/>
        <v>1.17</v>
      </c>
      <c r="I41" s="68">
        <f t="shared" si="5"/>
        <v>0.1925</v>
      </c>
      <c r="J41" s="68">
        <f t="shared" si="5"/>
        <v>5.0000000000000001E-3</v>
      </c>
      <c r="K41" s="68">
        <f t="shared" si="5"/>
        <v>1.2500000000000001E-2</v>
      </c>
      <c r="L41" s="68">
        <f t="shared" si="5"/>
        <v>0.33250000000000002</v>
      </c>
      <c r="M41" s="68">
        <f t="shared" si="5"/>
        <v>0.3125</v>
      </c>
      <c r="N41" s="68">
        <f t="shared" si="5"/>
        <v>1338.5</v>
      </c>
      <c r="O41" s="68">
        <f t="shared" si="5"/>
        <v>223.75</v>
      </c>
      <c r="P41" s="68">
        <f t="shared" si="5"/>
        <v>4.1749999999999998</v>
      </c>
      <c r="Q41" s="68">
        <f t="shared" si="10"/>
        <v>226.25</v>
      </c>
      <c r="R41" s="68">
        <f t="shared" si="11"/>
        <v>0</v>
      </c>
      <c r="S41" s="68">
        <f t="shared" si="11"/>
        <v>0.17</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2</v>
      </c>
      <c r="C57" s="8">
        <f t="shared" ref="C57:U57" si="13">D8</f>
        <v>3</v>
      </c>
      <c r="D57" s="8">
        <f t="shared" si="13"/>
        <v>4</v>
      </c>
      <c r="E57" s="8">
        <f t="shared" si="13"/>
        <v>10</v>
      </c>
      <c r="F57" s="8">
        <f t="shared" si="13"/>
        <v>20</v>
      </c>
      <c r="G57" s="8">
        <f t="shared" si="13"/>
        <v>7886</v>
      </c>
      <c r="H57" s="8">
        <f t="shared" si="13"/>
        <v>8440</v>
      </c>
      <c r="I57" s="8">
        <f t="shared" si="13"/>
        <v>8087</v>
      </c>
      <c r="J57" s="8">
        <f t="shared" si="13"/>
        <v>8019</v>
      </c>
      <c r="K57" s="8">
        <f t="shared" si="13"/>
        <v>234</v>
      </c>
      <c r="L57" s="8">
        <f t="shared" si="13"/>
        <v>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Arable</v>
      </c>
      <c r="F58" s="10" t="str">
        <f>G16&amp;" I "&amp;(VLOOKUP(G14,Table245810[],6,FALSE))</f>
        <v>Medium/Clay I Grass</v>
      </c>
      <c r="G58" s="10" t="str">
        <f>H16&amp;" I "&amp;(VLOOKUP(H14,Table245810[],6,FALSE))</f>
        <v>Medium/Clay I Arable</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100" t="s">
        <v>132</v>
      </c>
      <c r="B59" s="67">
        <f>VLOOKUP(C$14,Table245810[],5,FALSE)</f>
        <v>6.2</v>
      </c>
      <c r="C59" s="67">
        <f>VLOOKUP(D$14,Table245810[],5,FALSE)</f>
        <v>6.2</v>
      </c>
      <c r="D59" s="67">
        <f>VLOOKUP(E$14,Table245810[],5,FALSE)</f>
        <v>6.2</v>
      </c>
      <c r="E59" s="67">
        <f>VLOOKUP(F$14,Table245810[],5,FALSE)</f>
        <v>6.7</v>
      </c>
      <c r="F59" s="67">
        <f>VLOOKUP(G$14,Table245810[],5,FALSE)</f>
        <v>6.2</v>
      </c>
      <c r="G59" s="67">
        <f>VLOOKUP(H$14,Table245810[],5,FALSE)</f>
        <v>6.7</v>
      </c>
      <c r="H59" s="67">
        <f>VLOOKUP(I$14,Table245810[],5,FALSE)</f>
        <v>6.2</v>
      </c>
      <c r="I59" s="67">
        <f>VLOOKUP(J$14,Table245810[],5,FALSE)</f>
        <v>6.2</v>
      </c>
      <c r="J59" s="67">
        <f>VLOOKUP(K$14,Table245810[],5,FALSE)</f>
        <v>6.2</v>
      </c>
      <c r="K59" s="67">
        <f>VLOOKUP(L$14,Table245810[],5,FALSE)</f>
        <v>6.2</v>
      </c>
      <c r="L59" s="67">
        <f>VLOOKUP(M$14,Table245810[],5,FALSE)</f>
        <v>6.2</v>
      </c>
      <c r="M59" s="67" t="e">
        <f>VLOOKUP(N$14,Table245810[],5,FALSE)</f>
        <v>#N/A</v>
      </c>
      <c r="N59" s="67" t="e">
        <f>VLOOKUP(O$14,Table245810[],5,FALSE)</f>
        <v>#N/A</v>
      </c>
      <c r="O59" s="67" t="e">
        <f>VLOOKUP(P$14,Table245810[],5,FALSE)</f>
        <v>#N/A</v>
      </c>
      <c r="P59" s="67" t="e">
        <f>VLOOKUP(Q$14,Table245810[],5,FALSE)</f>
        <v>#N/A</v>
      </c>
      <c r="Q59" s="67" t="e">
        <f>VLOOKUP(R$14,Table245810[],5,FALSE)</f>
        <v>#N/A</v>
      </c>
      <c r="R59" s="67" t="e">
        <f>VLOOKUP(S$14,Table245810[],5,FALSE)</f>
        <v>#N/A</v>
      </c>
      <c r="S59" s="67" t="e">
        <f>VLOOKUP(T$14,Table245810[],5,FALSE)</f>
        <v>#N/A</v>
      </c>
      <c r="T59" s="67" t="e">
        <f>VLOOKUP(U$14,Table245810[],5,FALSE)</f>
        <v>#N/A</v>
      </c>
      <c r="U59" s="67" t="e">
        <f>VLOOKUP(V$14,Table245810[],5,FALSE)</f>
        <v>#N/A</v>
      </c>
    </row>
    <row r="60" spans="1:21" x14ac:dyDescent="0.2">
      <c r="A60" s="100" t="s">
        <v>4</v>
      </c>
      <c r="B60" s="67">
        <f>C10</f>
        <v>7</v>
      </c>
      <c r="C60" s="67">
        <f t="shared" ref="C60:U60" si="14">D10</f>
        <v>6.4</v>
      </c>
      <c r="D60" s="67">
        <f t="shared" si="14"/>
        <v>6.1</v>
      </c>
      <c r="E60" s="67">
        <f t="shared" si="14"/>
        <v>6.7</v>
      </c>
      <c r="F60" s="67">
        <f t="shared" si="14"/>
        <v>6.3</v>
      </c>
      <c r="G60" s="67">
        <f t="shared" si="14"/>
        <v>6.6</v>
      </c>
      <c r="H60" s="67">
        <f t="shared" si="14"/>
        <v>5.6</v>
      </c>
      <c r="I60" s="67">
        <f t="shared" si="14"/>
        <v>6.2</v>
      </c>
      <c r="J60" s="67">
        <f t="shared" si="14"/>
        <v>6.4</v>
      </c>
      <c r="K60" s="67">
        <f t="shared" si="14"/>
        <v>6.2</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8</v>
      </c>
      <c r="F61" s="67">
        <f t="shared" si="15"/>
        <v>6</v>
      </c>
      <c r="G61" s="67">
        <f t="shared" si="15"/>
        <v>8</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250</v>
      </c>
      <c r="C62" s="68">
        <f>B32</f>
        <v>250</v>
      </c>
      <c r="D62" s="68">
        <f>B33</f>
        <v>250</v>
      </c>
      <c r="E62" s="68">
        <f>B34</f>
        <v>150</v>
      </c>
      <c r="F62" s="68">
        <f>B35</f>
        <v>250</v>
      </c>
      <c r="G62" s="68">
        <f>B36</f>
        <v>150</v>
      </c>
      <c r="H62" s="68">
        <f>B37</f>
        <v>0</v>
      </c>
      <c r="I62" s="68">
        <f>B38</f>
        <v>250</v>
      </c>
      <c r="J62" s="68">
        <f>B39</f>
        <v>250</v>
      </c>
      <c r="K62" s="68">
        <f>B40</f>
        <v>250</v>
      </c>
      <c r="L62" s="68">
        <f>B41</f>
        <v>250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-4.7999999999999989</v>
      </c>
      <c r="C64" s="68">
        <f t="shared" ref="C64:U64" si="17">(C59-C60)*C61</f>
        <v>-1.2000000000000011</v>
      </c>
      <c r="D64" s="68">
        <f t="shared" si="17"/>
        <v>0.6000000000000032</v>
      </c>
      <c r="E64" s="68">
        <f t="shared" si="17"/>
        <v>0</v>
      </c>
      <c r="F64" s="68">
        <f t="shared" si="17"/>
        <v>-0.59999999999999787</v>
      </c>
      <c r="G64" s="68">
        <f t="shared" si="17"/>
        <v>0.80000000000000426</v>
      </c>
      <c r="H64" s="68">
        <f t="shared" si="17"/>
        <v>3.6000000000000032</v>
      </c>
      <c r="I64" s="68">
        <f t="shared" si="17"/>
        <v>0</v>
      </c>
      <c r="J64" s="68">
        <f t="shared" si="17"/>
        <v>-1.2000000000000011</v>
      </c>
      <c r="K64" s="68">
        <f t="shared" si="17"/>
        <v>0</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4.7999999999999989</v>
      </c>
      <c r="C65" s="68">
        <f t="shared" ref="C65:U65" si="18">C63-C64</f>
        <v>1.2000000000000011</v>
      </c>
      <c r="D65" s="68">
        <f t="shared" si="18"/>
        <v>-0.6000000000000032</v>
      </c>
      <c r="E65" s="68">
        <f t="shared" si="18"/>
        <v>0</v>
      </c>
      <c r="F65" s="68">
        <f t="shared" si="18"/>
        <v>0.59999999999999787</v>
      </c>
      <c r="G65" s="68">
        <f t="shared" si="18"/>
        <v>-0.80000000000000426</v>
      </c>
      <c r="H65" s="68">
        <f t="shared" si="18"/>
        <v>-3.6000000000000032</v>
      </c>
      <c r="I65" s="68">
        <f t="shared" si="18"/>
        <v>0</v>
      </c>
      <c r="J65" s="68">
        <f t="shared" si="18"/>
        <v>1.2000000000000011</v>
      </c>
      <c r="K65" s="68">
        <f t="shared" si="18"/>
        <v>0</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UNDER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39" priority="36" operator="greaterThan">
      <formula>$B$51</formula>
    </cfRule>
  </conditionalFormatting>
  <conditionalFormatting sqref="B66:U66">
    <cfRule type="cellIs" dxfId="138" priority="11" operator="equal">
      <formula>"UNDER"</formula>
    </cfRule>
    <cfRule type="cellIs" dxfId="137" priority="12" operator="equal">
      <formula>"OVER"</formula>
    </cfRule>
  </conditionalFormatting>
  <conditionalFormatting sqref="C31:C50">
    <cfRule type="cellIs" dxfId="136" priority="35" operator="greaterThan">
      <formula>$C$51</formula>
    </cfRule>
  </conditionalFormatting>
  <conditionalFormatting sqref="C17:V19">
    <cfRule type="cellIs" dxfId="135" priority="32" operator="equal">
      <formula>0</formula>
    </cfRule>
  </conditionalFormatting>
  <conditionalFormatting sqref="C20:V21">
    <cfRule type="cellIs" dxfId="134" priority="37" operator="equal">
      <formula>"DECREASE"</formula>
    </cfRule>
    <cfRule type="cellIs" dxfId="133" priority="38" operator="equal">
      <formula>"INCREASE"</formula>
    </cfRule>
  </conditionalFormatting>
  <conditionalFormatting sqref="C21:V21">
    <cfRule type="cellIs" dxfId="132" priority="13" operator="equal">
      <formula>0</formula>
    </cfRule>
  </conditionalFormatting>
  <conditionalFormatting sqref="C22:V23">
    <cfRule type="cellIs" dxfId="131" priority="17" operator="equal">
      <formula>0</formula>
    </cfRule>
  </conditionalFormatting>
  <conditionalFormatting sqref="C24:V24">
    <cfRule type="cellIs" dxfId="130" priority="18" operator="equal">
      <formula>"DECREASE"</formula>
    </cfRule>
    <cfRule type="cellIs" dxfId="129" priority="19" operator="equal">
      <formula>"INCREASE"</formula>
    </cfRule>
  </conditionalFormatting>
  <conditionalFormatting sqref="G31:G50">
    <cfRule type="cellIs" dxfId="128" priority="31" operator="greaterThan">
      <formula>$G$51</formula>
    </cfRule>
  </conditionalFormatting>
  <conditionalFormatting sqref="H31:H50">
    <cfRule type="cellIs" dxfId="127" priority="30" operator="greaterThan">
      <formula>$H$51</formula>
    </cfRule>
  </conditionalFormatting>
  <conditionalFormatting sqref="I1">
    <cfRule type="cellIs" dxfId="126" priority="3" operator="between">
      <formula>0.1</formula>
      <formula>5</formula>
    </cfRule>
  </conditionalFormatting>
  <conditionalFormatting sqref="I2">
    <cfRule type="cellIs" dxfId="125" priority="2" operator="greaterThan">
      <formula>5000.1</formula>
    </cfRule>
  </conditionalFormatting>
  <conditionalFormatting sqref="I3">
    <cfRule type="cellIs" dxfId="124" priority="1" operator="greaterThan">
      <formula>40000.01</formula>
    </cfRule>
  </conditionalFormatting>
  <conditionalFormatting sqref="I31:I50">
    <cfRule type="cellIs" dxfId="123" priority="29" operator="greaterThan">
      <formula>$I$51</formula>
    </cfRule>
  </conditionalFormatting>
  <conditionalFormatting sqref="J31:J50">
    <cfRule type="cellIs" dxfId="122" priority="8" operator="greaterThan">
      <formula>$J$51</formula>
    </cfRule>
  </conditionalFormatting>
  <conditionalFormatting sqref="K31:K50">
    <cfRule type="cellIs" dxfId="121" priority="28" operator="greaterThan">
      <formula>$K$51</formula>
    </cfRule>
  </conditionalFormatting>
  <conditionalFormatting sqref="L3">
    <cfRule type="cellIs" dxfId="120" priority="4" operator="lessThan">
      <formula>30</formula>
    </cfRule>
    <cfRule type="cellIs" dxfId="119" priority="5" operator="greaterThanOrEqual">
      <formula>30</formula>
    </cfRule>
  </conditionalFormatting>
  <conditionalFormatting sqref="L31:L50">
    <cfRule type="cellIs" dxfId="118" priority="27" operator="greaterThan">
      <formula>$L$51</formula>
    </cfRule>
  </conditionalFormatting>
  <conditionalFormatting sqref="M31:M50">
    <cfRule type="cellIs" dxfId="117" priority="26" operator="greaterThan">
      <formula>$M$51</formula>
    </cfRule>
  </conditionalFormatting>
  <conditionalFormatting sqref="P31:P50">
    <cfRule type="cellIs" dxfId="116" priority="25" operator="greaterThan">
      <formula>$P$51</formula>
    </cfRule>
  </conditionalFormatting>
  <conditionalFormatting sqref="R31:R50">
    <cfRule type="cellIs" dxfId="115" priority="24" operator="greaterThan">
      <formula>$R$51</formula>
    </cfRule>
  </conditionalFormatting>
  <conditionalFormatting sqref="S31:S50">
    <cfRule type="cellIs" dxfId="114" priority="23" operator="greaterThan">
      <formula>$S$51</formula>
    </cfRule>
  </conditionalFormatting>
  <conditionalFormatting sqref="T31:T50">
    <cfRule type="cellIs" dxfId="113" priority="22" operator="greaterThan">
      <formula>$T$51</formula>
    </cfRule>
  </conditionalFormatting>
  <conditionalFormatting sqref="U31:U50">
    <cfRule type="cellIs" dxfId="112" priority="21"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7" zoomScale="90" zoomScaleNormal="90" workbookViewId="0">
      <selection activeCell="A28" sqref="A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7" t="str">
        <f>'Field data and Waste 1'!C1:D1</f>
        <v>PAN-026719</v>
      </c>
      <c r="D1" s="128"/>
      <c r="E1" s="83" t="s">
        <v>45</v>
      </c>
      <c r="F1" s="32">
        <f>'Field data and Waste 1'!F1</f>
        <v>49.7</v>
      </c>
      <c r="G1" s="110" t="s">
        <v>43</v>
      </c>
      <c r="H1" s="111"/>
      <c r="I1" s="86">
        <v>6.6</v>
      </c>
      <c r="J1" s="114" t="s">
        <v>153</v>
      </c>
      <c r="K1" s="114"/>
      <c r="L1" s="86">
        <v>33.799999999999997</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29" t="str">
        <f>'Field data and Waste 1'!C2:D2</f>
        <v>EPR/AB3891CX</v>
      </c>
      <c r="D2" s="130"/>
      <c r="E2" s="83" t="s">
        <v>109</v>
      </c>
      <c r="F2" s="86" t="s">
        <v>166</v>
      </c>
      <c r="G2" s="112" t="s">
        <v>110</v>
      </c>
      <c r="H2" s="113"/>
      <c r="I2" s="86"/>
      <c r="J2" s="114" t="s">
        <v>158</v>
      </c>
      <c r="K2" s="114"/>
      <c r="L2" s="86">
        <v>1.07</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29" t="str">
        <f>'Field data and Waste 1'!C3:D3</f>
        <v>Stepside Agri</v>
      </c>
      <c r="D3" s="130"/>
      <c r="E3" s="83" t="s">
        <v>108</v>
      </c>
      <c r="F3" s="24" t="s">
        <v>104</v>
      </c>
      <c r="G3" s="114" t="s">
        <v>159</v>
      </c>
      <c r="H3" s="114"/>
      <c r="I3" s="86"/>
      <c r="J3" s="110" t="s">
        <v>154</v>
      </c>
      <c r="K3" s="111"/>
      <c r="L3" s="86">
        <f>(L1/(L2*10000))*100</f>
        <v>0.31588785046728968</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7" t="str">
        <f>'Field data and Waste 1'!C4:D4</f>
        <v>Castell Malgwyn Farm, Llechryd, Cardigan, Ceredigion, SA43 2QB</v>
      </c>
      <c r="D4" s="128"/>
      <c r="E4" s="84" t="s">
        <v>1</v>
      </c>
      <c r="F4" s="86" t="s">
        <v>175</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7" t="str">
        <f>'Field data and Waste 1'!C5:D5</f>
        <v>Ethan Banfield</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Waste 1'!C8</f>
        <v>2</v>
      </c>
      <c r="D8" s="52">
        <f>'Field data and Waste 1'!D8</f>
        <v>3</v>
      </c>
      <c r="E8" s="52">
        <f>'Field data and Waste 1'!E8</f>
        <v>4</v>
      </c>
      <c r="F8" s="52">
        <f>'Field data and Waste 1'!F8</f>
        <v>10</v>
      </c>
      <c r="G8" s="52">
        <f>'Field data and Waste 1'!G8</f>
        <v>20</v>
      </c>
      <c r="H8" s="52">
        <f>'Field data and Waste 1'!H8</f>
        <v>7886</v>
      </c>
      <c r="I8" s="52">
        <f>'Field data and Waste 1'!I8</f>
        <v>8440</v>
      </c>
      <c r="J8" s="52">
        <f>'Field data and Waste 1'!J8</f>
        <v>8087</v>
      </c>
      <c r="K8" s="52">
        <f>'Field data and Waste 1'!K8</f>
        <v>8019</v>
      </c>
      <c r="L8" s="52">
        <f>'Field data and Waste 1'!L8</f>
        <v>234</v>
      </c>
      <c r="M8" s="52">
        <f>'Field data and Waste 1'!M8</f>
        <v>1735</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Waste 1'!C9</f>
        <v>Moderate</v>
      </c>
      <c r="D9" s="52" t="str">
        <f>'Field data and Waste 1'!D9</f>
        <v>Moderate</v>
      </c>
      <c r="E9" s="52" t="str">
        <f>'Field data and Waste 1'!E9</f>
        <v>Moderate</v>
      </c>
      <c r="F9" s="52">
        <f>'Field data and Waste 1'!F9</f>
        <v>1</v>
      </c>
      <c r="G9" s="52" t="str">
        <f>'Field data and Waste 1'!G9</f>
        <v>Moderate</v>
      </c>
      <c r="H9" s="52">
        <f>'Field data and Waste 1'!H9</f>
        <v>1</v>
      </c>
      <c r="I9" s="52" t="str">
        <f>'Field data and Waste 1'!I9</f>
        <v>Moderate</v>
      </c>
      <c r="J9" s="52" t="str">
        <f>'Field data and Waste 1'!J9</f>
        <v>Moderate</v>
      </c>
      <c r="K9" s="52" t="str">
        <f>'Field data and Waste 1'!K9</f>
        <v>Moderate</v>
      </c>
      <c r="L9" s="52" t="str">
        <f>'Field data and Waste 1'!L9</f>
        <v>Moderate</v>
      </c>
      <c r="M9" s="52" t="str">
        <f>'Field data and Waste 1'!M9</f>
        <v>Moderate</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Waste 1'!C10</f>
        <v>7</v>
      </c>
      <c r="D10" s="52">
        <f>'Field data and Waste 1'!D10</f>
        <v>6.4</v>
      </c>
      <c r="E10" s="52">
        <f>'Field data and Waste 1'!E10</f>
        <v>6.1</v>
      </c>
      <c r="F10" s="52">
        <f>'Field data and Waste 1'!F10</f>
        <v>6.7</v>
      </c>
      <c r="G10" s="52">
        <f>'Field data and Waste 1'!G10</f>
        <v>6.3</v>
      </c>
      <c r="H10" s="52">
        <f>'Field data and Waste 1'!H10</f>
        <v>6.6</v>
      </c>
      <c r="I10" s="52">
        <f>'Field data and Waste 1'!I10</f>
        <v>5.6</v>
      </c>
      <c r="J10" s="52">
        <f>'Field data and Waste 1'!J10</f>
        <v>6.2</v>
      </c>
      <c r="K10" s="52">
        <f>'Field data and Waste 1'!K10</f>
        <v>6.4</v>
      </c>
      <c r="L10" s="52">
        <f>'Field data and Waste 1'!L10</f>
        <v>6.2</v>
      </c>
      <c r="M10" s="52">
        <f>'Field data and Waste 1'!M10</f>
        <v>6.3</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Waste 1'!C11</f>
        <v>2</v>
      </c>
      <c r="D11" s="52">
        <f>'Field data and Waste 1'!D11</f>
        <v>2</v>
      </c>
      <c r="E11" s="52">
        <f>'Field data and Waste 1'!E11</f>
        <v>2</v>
      </c>
      <c r="F11" s="52">
        <f>'Field data and Waste 1'!F11</f>
        <v>3</v>
      </c>
      <c r="G11" s="52">
        <f>'Field data and Waste 1'!G11</f>
        <v>3</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Waste 1'!C12</f>
        <v>2</v>
      </c>
      <c r="D12" s="52">
        <f>'Field data and Waste 1'!D12</f>
        <v>2</v>
      </c>
      <c r="E12" s="52">
        <f>'Field data and Waste 1'!E12</f>
        <v>1</v>
      </c>
      <c r="F12" s="52">
        <f>'Field data and Waste 1'!F12</f>
        <v>2</v>
      </c>
      <c r="G12" s="52">
        <f>'Field data and Waste 1'!G12</f>
        <v>2</v>
      </c>
      <c r="H12" s="52">
        <f>'Field data and Waste 1'!H12</f>
        <v>2</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Waste 1'!C13</f>
        <v>2</v>
      </c>
      <c r="D13" s="52">
        <f>'Field data and Waste 1'!D13</f>
        <v>3</v>
      </c>
      <c r="E13" s="52">
        <f>'Field data and Waste 1'!E13</f>
        <v>3</v>
      </c>
      <c r="F13" s="52">
        <f>'Field data and Waste 1'!F13</f>
        <v>3</v>
      </c>
      <c r="G13" s="52">
        <f>'Field data and Waste 1'!G13</f>
        <v>2</v>
      </c>
      <c r="H13" s="52">
        <f>'Field data and Waste 1'!H13</f>
        <v>2</v>
      </c>
      <c r="I13" s="52">
        <f>'Field data and Waste 1'!I13</f>
        <v>3</v>
      </c>
      <c r="J13" s="52">
        <f>'Field data and Waste 1'!J13</f>
        <v>3</v>
      </c>
      <c r="K13" s="52">
        <f>'Field data and Waste 1'!K13</f>
        <v>3</v>
      </c>
      <c r="L13" s="52">
        <f>'Field data and Waste 1'!L13</f>
        <v>3</v>
      </c>
      <c r="M13" s="52">
        <f>'Field data and Waste 1'!M13</f>
        <v>3</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3" t="s">
        <v>8</v>
      </c>
      <c r="B14" s="123"/>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Spring wheat/barley</v>
      </c>
      <c r="G14" s="91" t="str">
        <f>'Field data and Waste 1'!G14</f>
        <v xml:space="preserve">Grass Silage (25% DM) </v>
      </c>
      <c r="H14" s="91" t="str">
        <f>'Field data and Waste 1'!H14</f>
        <v>Winter wheat- grain &amp; straw</v>
      </c>
      <c r="I14" s="91" t="str">
        <f>'Field data and Waste 1'!I14</f>
        <v xml:space="preserve">Grass Silage (25% DM) </v>
      </c>
      <c r="J14" s="91" t="str">
        <f>'Field data and Waste 1'!J14</f>
        <v xml:space="preserve">Grass Silage (25% DM) </v>
      </c>
      <c r="K14" s="91" t="str">
        <f>'Field data and Waste 1'!K14</f>
        <v xml:space="preserve">Grass Silage (25% DM) </v>
      </c>
      <c r="L14" s="91" t="str">
        <f>'Field data and Waste 1'!L14</f>
        <v xml:space="preserve">Grass Silage (25% DM) </v>
      </c>
      <c r="M14" s="91" t="str">
        <f>'Field data and Waste 1'!M14</f>
        <v xml:space="preserve">Grass Silage (25% DM) </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22" t="s">
        <v>9</v>
      </c>
      <c r="B15" s="122"/>
      <c r="C15" s="52">
        <f>'Field data and Waste 1'!C15</f>
        <v>38</v>
      </c>
      <c r="D15" s="52">
        <f>'Field data and Waste 1'!D15</f>
        <v>38</v>
      </c>
      <c r="E15" s="52">
        <f>'Field data and Waste 1'!E15</f>
        <v>38</v>
      </c>
      <c r="F15" s="52">
        <f>'Field data and Waste 1'!F15</f>
        <v>5.5</v>
      </c>
      <c r="G15" s="52">
        <f>'Field data and Waste 1'!G15</f>
        <v>38</v>
      </c>
      <c r="H15" s="52">
        <f>'Field data and Waste 1'!H15</f>
        <v>8</v>
      </c>
      <c r="I15" s="52">
        <f>'Field data and Waste 1'!I15</f>
        <v>38</v>
      </c>
      <c r="J15" s="52">
        <f>'Field data and Waste 1'!J15</f>
        <v>38</v>
      </c>
      <c r="K15" s="52">
        <f>'Field data and Waste 1'!K15</f>
        <v>38</v>
      </c>
      <c r="L15" s="52">
        <f>'Field data and Waste 1'!L15</f>
        <v>38</v>
      </c>
      <c r="M15" s="52">
        <f>'Field data and Waste 1'!M15</f>
        <v>38</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24" t="s">
        <v>44</v>
      </c>
      <c r="B16" s="124"/>
      <c r="C16" s="92" t="str">
        <f>'Field data and Waste 1'!C16</f>
        <v>Medium/Clay</v>
      </c>
      <c r="D16" s="92" t="str">
        <f>'Field data and Waste 1'!D16</f>
        <v>Medium/Clay</v>
      </c>
      <c r="E16" s="92" t="str">
        <f>'Field data and Waste 1'!E16</f>
        <v>Medium/Clay</v>
      </c>
      <c r="F16" s="92" t="str">
        <f>'Field data and Waste 1'!F16</f>
        <v>Medium/Clay</v>
      </c>
      <c r="G16" s="92" t="str">
        <f>'Field data and Waste 1'!G16</f>
        <v>Medium/Clay</v>
      </c>
      <c r="H16" s="92" t="str">
        <f>'Field data and Waste 1'!H16</f>
        <v>Medium/Clay</v>
      </c>
      <c r="I16" s="92" t="str">
        <f>'Field data and Waste 1'!I16</f>
        <v>Medium/Clay</v>
      </c>
      <c r="J16" s="92" t="str">
        <f>'Field data and Waste 1'!J16</f>
        <v>Medium/Clay</v>
      </c>
      <c r="K16" s="92" t="str">
        <f>'Field data and Waste 1'!K16</f>
        <v>Medium/Clay</v>
      </c>
      <c r="L16" s="92" t="str">
        <f>'Field data and Waste 1'!L16</f>
        <v>Medium/Clay</v>
      </c>
      <c r="M16" s="92" t="str">
        <f>'Field data and Waste 1'!M16</f>
        <v>Medium/Clay</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20" t="s">
        <v>69</v>
      </c>
      <c r="B17" s="121"/>
      <c r="C17" s="21">
        <f>(VLOOKUP(C$14,$AI2:$AK26,2,FALSE))*C$15</f>
        <v>64.599999999999994</v>
      </c>
      <c r="D17" s="21">
        <f t="shared" ref="D17:V17" si="0">(VLOOKUP(D$14,$AI2:$AK26,2,FALSE))*D$15</f>
        <v>64.599999999999994</v>
      </c>
      <c r="E17" s="21">
        <f t="shared" si="0"/>
        <v>64.599999999999994</v>
      </c>
      <c r="F17" s="21">
        <f t="shared" si="0"/>
        <v>46.75</v>
      </c>
      <c r="G17" s="21">
        <f t="shared" si="0"/>
        <v>64.599999999999994</v>
      </c>
      <c r="H17" s="21">
        <f t="shared" si="0"/>
        <v>56</v>
      </c>
      <c r="I17" s="21">
        <f t="shared" si="0"/>
        <v>64.599999999999994</v>
      </c>
      <c r="J17" s="21">
        <f t="shared" si="0"/>
        <v>64.599999999999994</v>
      </c>
      <c r="K17" s="21">
        <f t="shared" si="0"/>
        <v>64.599999999999994</v>
      </c>
      <c r="L17" s="21">
        <f t="shared" si="0"/>
        <v>64.599999999999994</v>
      </c>
      <c r="M17" s="21">
        <f t="shared" si="0"/>
        <v>64.599999999999994</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8" t="s">
        <v>23</v>
      </c>
      <c r="B18" s="119"/>
      <c r="C18" s="13">
        <f>$D31</f>
        <v>64.289583799999988</v>
      </c>
      <c r="D18" s="13">
        <f>$D32</f>
        <v>64.289583799999988</v>
      </c>
      <c r="E18" s="13">
        <f>$D33</f>
        <v>64.289583799999988</v>
      </c>
      <c r="F18" s="13">
        <f>$D34</f>
        <v>46.486314439999987</v>
      </c>
      <c r="G18" s="13">
        <f>$D35</f>
        <v>64.289583799999988</v>
      </c>
      <c r="H18" s="13">
        <f>$D36</f>
        <v>69.234936399999981</v>
      </c>
      <c r="I18" s="13">
        <f>$D37</f>
        <v>0</v>
      </c>
      <c r="J18" s="13">
        <f>$D38</f>
        <v>69.234936399999981</v>
      </c>
      <c r="K18" s="13">
        <f>$D39</f>
        <v>69.234936399999981</v>
      </c>
      <c r="L18" s="13">
        <f>$D40</f>
        <v>69.234936399999981</v>
      </c>
      <c r="M18" s="13">
        <f>$D41</f>
        <v>69.234936399999981</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8" t="s">
        <v>90</v>
      </c>
      <c r="B19" s="119"/>
      <c r="C19" s="13">
        <f>C18-C17</f>
        <v>-0.31041620000000592</v>
      </c>
      <c r="D19" s="13">
        <f t="shared" ref="D19:V19" si="1">D18-D17</f>
        <v>-0.31041620000000592</v>
      </c>
      <c r="E19" s="13">
        <f t="shared" si="1"/>
        <v>-0.31041620000000592</v>
      </c>
      <c r="F19" s="13">
        <f t="shared" si="1"/>
        <v>-0.2636855600000132</v>
      </c>
      <c r="G19" s="13">
        <f t="shared" si="1"/>
        <v>-0.31041620000000592</v>
      </c>
      <c r="H19" s="13">
        <f t="shared" si="1"/>
        <v>13.234936399999981</v>
      </c>
      <c r="I19" s="13">
        <f t="shared" si="1"/>
        <v>-64.599999999999994</v>
      </c>
      <c r="J19" s="13">
        <f t="shared" si="1"/>
        <v>4.6349363999999866</v>
      </c>
      <c r="K19" s="13">
        <f t="shared" si="1"/>
        <v>4.6349363999999866</v>
      </c>
      <c r="L19" s="13">
        <f t="shared" si="1"/>
        <v>4.6349363999999866</v>
      </c>
      <c r="M19" s="13">
        <f t="shared" si="1"/>
        <v>4.6349363999999866</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INCREASE</v>
      </c>
      <c r="I20" s="19" t="str">
        <f>IF($B37="","",IF(I$19&gt;=0,"INCREASE","DECREASE"))</f>
        <v>DECREASE</v>
      </c>
      <c r="J20" s="19" t="str">
        <f>IF($B38="","",IF(J$19&gt;=0,"INCREASE","DECREASE"))</f>
        <v>INCREASE</v>
      </c>
      <c r="K20" s="19" t="str">
        <f>IF($B39="","",IF(K$19&gt;=0,"INCREASE","DECREASE"))</f>
        <v>INCREASE</v>
      </c>
      <c r="L20" s="19" t="str">
        <f>IF($B40="","",IF(L$19&gt;=0,"INCREASE","DECREASE"))</f>
        <v>INCREASE</v>
      </c>
      <c r="M20" s="19" t="str">
        <f>IF($B41="","",IF(M$19&gt;=0,"INCREASE","DECREASE"))</f>
        <v>INCREASE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0" t="s">
        <v>88</v>
      </c>
      <c r="B21" s="121"/>
      <c r="C21" s="21">
        <f>(VLOOKUP(C$14,$AI2:$AK26,3,FALSE))*C$15</f>
        <v>228</v>
      </c>
      <c r="D21" s="21">
        <f t="shared" ref="D21:V21" si="2">(VLOOKUP(D$14,$AI2:$AK26,3,FALSE))*D$15</f>
        <v>228</v>
      </c>
      <c r="E21" s="21">
        <f t="shared" si="2"/>
        <v>228</v>
      </c>
      <c r="F21" s="21">
        <f t="shared" si="2"/>
        <v>66</v>
      </c>
      <c r="G21" s="21">
        <f t="shared" si="2"/>
        <v>228</v>
      </c>
      <c r="H21" s="21">
        <f t="shared" si="2"/>
        <v>84</v>
      </c>
      <c r="I21" s="21">
        <f t="shared" si="2"/>
        <v>228</v>
      </c>
      <c r="J21" s="21">
        <f t="shared" si="2"/>
        <v>228</v>
      </c>
      <c r="K21" s="21">
        <f t="shared" si="2"/>
        <v>228</v>
      </c>
      <c r="L21" s="21">
        <f t="shared" si="2"/>
        <v>228</v>
      </c>
      <c r="M21" s="21">
        <f t="shared" si="2"/>
        <v>228</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8" t="s">
        <v>89</v>
      </c>
      <c r="B22" s="119"/>
      <c r="C22" s="13">
        <f>$E31</f>
        <v>9.4438019000000004</v>
      </c>
      <c r="D22" s="13">
        <f>$E32</f>
        <v>9.4438019000000004</v>
      </c>
      <c r="E22" s="13">
        <f>$E33</f>
        <v>9.4438019000000004</v>
      </c>
      <c r="F22" s="13">
        <f>$E34</f>
        <v>6.8285952199999995</v>
      </c>
      <c r="G22" s="13">
        <f>$E35</f>
        <v>9.4438019000000004</v>
      </c>
      <c r="H22" s="13">
        <f>$E36</f>
        <v>10.1702482</v>
      </c>
      <c r="I22" s="13">
        <f>$E37</f>
        <v>0</v>
      </c>
      <c r="J22" s="13">
        <f>$E38</f>
        <v>10.1702482</v>
      </c>
      <c r="K22" s="13">
        <f>$E39</f>
        <v>10.1702482</v>
      </c>
      <c r="L22" s="13">
        <f>$E40</f>
        <v>10.1702482</v>
      </c>
      <c r="M22" s="13">
        <f>$E41</f>
        <v>10.1702482</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8" t="s">
        <v>92</v>
      </c>
      <c r="B23" s="119"/>
      <c r="C23" s="13">
        <f>C22-C21</f>
        <v>-218.55619809999999</v>
      </c>
      <c r="D23" s="13">
        <f t="shared" ref="D23:V23" si="3">D22-D21</f>
        <v>-218.55619809999999</v>
      </c>
      <c r="E23" s="13">
        <f t="shared" si="3"/>
        <v>-218.55619809999999</v>
      </c>
      <c r="F23" s="13">
        <f t="shared" si="3"/>
        <v>-59.171404780000003</v>
      </c>
      <c r="G23" s="13">
        <f t="shared" si="3"/>
        <v>-218.55619809999999</v>
      </c>
      <c r="H23" s="13">
        <f t="shared" si="3"/>
        <v>-73.829751799999997</v>
      </c>
      <c r="I23" s="13">
        <f t="shared" si="3"/>
        <v>-228</v>
      </c>
      <c r="J23" s="13">
        <f t="shared" si="3"/>
        <v>-217.8297518</v>
      </c>
      <c r="K23" s="13">
        <f t="shared" si="3"/>
        <v>-217.8297518</v>
      </c>
      <c r="L23" s="13">
        <f t="shared" si="3"/>
        <v>-217.8297518</v>
      </c>
      <c r="M23" s="13">
        <f t="shared" si="3"/>
        <v>-217.8297518</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25">
      <c r="A28" s="97"/>
      <c r="B28" s="17">
        <v>17.2</v>
      </c>
      <c r="C28" s="12">
        <v>1.07</v>
      </c>
      <c r="D28" s="12">
        <v>0.251</v>
      </c>
      <c r="E28" s="12">
        <v>7.0099999999999996E-2</v>
      </c>
      <c r="F28" s="12">
        <v>1620</v>
      </c>
      <c r="G28" s="12">
        <v>53.3</v>
      </c>
      <c r="H28" s="12">
        <v>146</v>
      </c>
      <c r="I28" s="12">
        <v>9.9</v>
      </c>
      <c r="J28" s="12">
        <v>0.55000000000000004</v>
      </c>
      <c r="K28" s="16">
        <v>0.55000000000000004</v>
      </c>
      <c r="L28" s="12">
        <v>32.4</v>
      </c>
      <c r="M28" s="12">
        <v>21.1</v>
      </c>
      <c r="N28" s="12">
        <v>127000</v>
      </c>
      <c r="O28" s="12">
        <v>26900</v>
      </c>
      <c r="P28" s="12"/>
      <c r="Q28" s="12">
        <v>5550</v>
      </c>
      <c r="R28" s="12"/>
      <c r="S28" s="12">
        <v>19</v>
      </c>
      <c r="T28" s="12"/>
      <c r="U28" s="12"/>
    </row>
    <row r="29" spans="1:40" s="7" customFormat="1" ht="27" x14ac:dyDescent="0.2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2</v>
      </c>
      <c r="B31" s="12">
        <v>65</v>
      </c>
      <c r="C31" s="68">
        <f>IF(C$27="%w/w SAR",((C$28*10)*$B31),IF(C$27="%w/w DM",(((C$28*10)*($B$28/100))*$B31),IF(C$27="kg/t SAR",(C$28*$B31),IF(C$27="kg/t DM",((C$28*($B$28/100))*$B31),IF(C$27="mg/kg SAR",((C$28*0.001)*$B31),IF(C$27="mg/kg DM",(((C$28*0.001)*($B$28/100))*$B31),0))))))</f>
        <v>119.626</v>
      </c>
      <c r="D31" s="68">
        <f>(IF(D$27="%w/w SAR",((D$28*10)*$B31),IF(D$27="%w/w DM",(((D$28*10)*($B$28/100))*$B31),IF(D$27="kg/t SAR",(D$28*$B31),IF(D$27="kg/t DM",((D$28*($B$28/100))*$B31),IF(D$27="mg/kg SAR",((D$28*0.001)*$B31),IF(D$27="mg/kg DM",(((D$28*0.001)*($B$28/100))*$B31),"0")))))))*2.291</f>
        <v>64.289583799999988</v>
      </c>
      <c r="E31" s="68">
        <f>(IF(E$27="%w/w SAR",((E$28*10)*$B31),IF(E$27="%w/w DM",(((E$28*10)*($B$28/100))*$B31),IF(E$27="kg/t SAR",(E$28*$B31),IF(E$27="kg/t DM",((E$28*($B$28/100))*$B31),IF(E$27="mg/kg SAR",((E$28*0.001)*$B31),IF(E$27="mg/kg DM",(((E$28*0.001)*($B$28/100))*$B31),"0")))))))*1.205</f>
        <v>9.4438019000000004</v>
      </c>
      <c r="F31" s="68">
        <f>(IF(F$27="%w/w SAR",((F$28*10)*$B31),IF(F$27="%w/w DM",(((F$28*10)*($B$28/100))*$B31),IF(F$27="kg/t SAR",(F$28*$B31),IF(F$27="kg/t DM",((F$28*($B$28/100))*$B31),IF(F$27="mg/kg SAR",((F$28*0.001)*$B31),IF(F$27="mg/kg DM",(((F$28*0.001)*($B$28/100))*$B31),"0")))))))*1.658</f>
        <v>30.029032799999996</v>
      </c>
      <c r="G31" s="68">
        <f t="shared" ref="G31:P46" si="5">IF(G$27="%w/w SAR",((G$28*10)*$B31),IF(G$27="%w/w DM",(((G$28*10)*($B$28/100))*$B31),IF(G$27="kg/t SAR",(G$28*$B31),IF(G$27="kg/t DM",((G$28*($B$28/100))*$B31),IF(G$27="mg/kg SAR",((G$28*0.001)*$B31),IF(G$27="mg/kg DM",(((G$28*0.001)*($B$28/100))*$B31),0))))))</f>
        <v>0.59589400000000003</v>
      </c>
      <c r="H31" s="68">
        <f t="shared" si="5"/>
        <v>1.6322799999999997</v>
      </c>
      <c r="I31" s="68">
        <f t="shared" si="5"/>
        <v>0.110682</v>
      </c>
      <c r="J31" s="68">
        <f t="shared" si="5"/>
        <v>6.149E-3</v>
      </c>
      <c r="K31" s="68">
        <f t="shared" si="5"/>
        <v>6.149E-3</v>
      </c>
      <c r="L31" s="68">
        <f t="shared" si="5"/>
        <v>0.36223199999999994</v>
      </c>
      <c r="M31" s="68">
        <f t="shared" si="5"/>
        <v>0.235898</v>
      </c>
      <c r="N31" s="68">
        <f t="shared" si="5"/>
        <v>1419.86</v>
      </c>
      <c r="O31" s="68">
        <f t="shared" si="5"/>
        <v>300.74200000000002</v>
      </c>
      <c r="P31" s="68">
        <f t="shared" si="5"/>
        <v>0</v>
      </c>
      <c r="Q31" s="68">
        <f>(IF(Q$27="%w/w SAR",((Q$28*10)*$B31),IF(Q$27="%w/w DM",(((Q$28*10)*($B$28/100))*$B31),IF(Q$27="kg/t SAR",(Q$28*$B31),IF(Q$27="kg/t DM",((Q$28*($B$28/100))*$B31),IF(Q$27="mg/kg SAR",((Q$28*0.001)*$B31),IF(Q$27="mg/kg DM",(((Q$28*0.001)*($B$28/100))*$B31),0)))))))*2.5</f>
        <v>155.12249999999997</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0.21241999999999997</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3</v>
      </c>
      <c r="B32" s="12">
        <v>65</v>
      </c>
      <c r="C32" s="68">
        <f t="shared" ref="C32:C50" si="6">IF(C$27="%w/w SAR",((C$28*10)*$B32),IF(C$27="%w/w DM",(((C$28*10)*($B$28/100))*$B32),IF(C$27="kg/t SAR",(C$28*$B32),IF(C$27="kg/t DM",((C$28*($B$28/100))*$B32),IF(C$27="mg/kg SAR",((C$28*0.001)*$B32),IF(C$27="mg/kg DM",(((C$28*0.001)*($B$28/100))*$B32),0))))))</f>
        <v>119.626</v>
      </c>
      <c r="D32" s="68">
        <f t="shared" ref="D32:D50" si="7">(IF(D$27="%w/w SAR",((D$28*10)*$B32),IF(D$27="%w/w DM",(((D$28*10)*($B$28/100))*$B32),IF(D$27="kg/t SAR",(D$28*$B32),IF(D$27="kg/t DM",((D$28*($B$28/100))*$B32),IF(D$27="mg/kg SAR",((D$28*0.001)*$B32),IF(D$27="mg/kg DM",(((D$28*0.001)*($B$28/100))*$B32),"0")))))))*2.291</f>
        <v>64.289583799999988</v>
      </c>
      <c r="E32" s="68">
        <f t="shared" ref="E32:E50" si="8">(IF(E$27="%w/w SAR",((E$28*10)*$B32),IF(E$27="%w/w DM",(((E$28*10)*($B$28/100))*$B32),IF(E$27="kg/t SAR",(E$28*$B32),IF(E$27="kg/t DM",((E$28*($B$28/100))*$B32),IF(E$27="mg/kg SAR",((E$28*0.001)*$B32),IF(E$27="mg/kg DM",(((E$28*0.001)*($B$28/100))*$B32),"0")))))))*1.205</f>
        <v>9.4438019000000004</v>
      </c>
      <c r="F32" s="68">
        <f t="shared" ref="F32:F50" si="9">(IF(F$27="%w/w SAR",((F$28*10)*$B32),IF(F$27="%w/w DM",(((F$28*10)*($B$28/100))*$B32),IF(F$27="kg/t SAR",(F$28*$B32),IF(F$27="kg/t DM",((F$28*($B$28/100))*$B32),IF(F$27="mg/kg SAR",((F$28*0.001)*$B32),IF(F$27="mg/kg DM",(((F$28*0.001)*($B$28/100))*$B32),"0")))))))*1.658</f>
        <v>30.029032799999996</v>
      </c>
      <c r="G32" s="68">
        <f t="shared" si="5"/>
        <v>0.59589400000000003</v>
      </c>
      <c r="H32" s="68">
        <f t="shared" si="5"/>
        <v>1.6322799999999997</v>
      </c>
      <c r="I32" s="68">
        <f t="shared" si="5"/>
        <v>0.110682</v>
      </c>
      <c r="J32" s="68">
        <f t="shared" si="5"/>
        <v>6.149E-3</v>
      </c>
      <c r="K32" s="68">
        <f t="shared" si="5"/>
        <v>6.149E-3</v>
      </c>
      <c r="L32" s="68">
        <f t="shared" si="5"/>
        <v>0.36223199999999994</v>
      </c>
      <c r="M32" s="68">
        <f t="shared" si="5"/>
        <v>0.235898</v>
      </c>
      <c r="N32" s="68">
        <f t="shared" si="5"/>
        <v>1419.86</v>
      </c>
      <c r="O32" s="68">
        <f t="shared" si="5"/>
        <v>300.74200000000002</v>
      </c>
      <c r="P32" s="68">
        <f t="shared" si="5"/>
        <v>0</v>
      </c>
      <c r="Q32" s="68">
        <f t="shared" ref="Q32:Q50" si="10">(IF(Q$27="%w/w SAR",((Q$28*10)*$B32),IF(Q$27="%w/w DM",(((Q$28*10)*($B$28/100))*$B32),IF(Q$27="kg/t SAR",(Q$28*$B32),IF(Q$27="kg/t DM",((Q$28*($B$28/100))*$B32),IF(Q$27="mg/kg SAR",((Q$28*0.001)*$B32),IF(Q$27="mg/kg DM",(((Q$28*0.001)*($B$28/100))*$B32),0)))))))*2.5</f>
        <v>155.12249999999997</v>
      </c>
      <c r="R32" s="68">
        <f t="shared" ref="R32:U50" si="11">IF(R$27="%w/w SAR",((R$28*10)*$B32),IF(R$27="%w/w DM",(((R$28*10)*($B$28/100))*$B32),IF(R$27="kg/t SAR",(R$28*$B32),IF(R$27="kg/t DM",((R$28*($B$28/100))*$B32),IF(R$27="mg/kg SAR",((R$28*0.001)*$B32),IF(R$27="mg/kg DM",(((R$28*0.001)*($B$28/100))*$B32),0))))))</f>
        <v>0</v>
      </c>
      <c r="S32" s="68">
        <f t="shared" si="11"/>
        <v>0.21241999999999997</v>
      </c>
      <c r="T32" s="68">
        <f t="shared" si="11"/>
        <v>0</v>
      </c>
      <c r="U32" s="68">
        <f t="shared" si="11"/>
        <v>0</v>
      </c>
    </row>
    <row r="33" spans="1:21" s="51" customFormat="1" x14ac:dyDescent="0.25">
      <c r="A33" s="10">
        <f>E8</f>
        <v>4</v>
      </c>
      <c r="B33" s="12">
        <v>65</v>
      </c>
      <c r="C33" s="68">
        <f t="shared" si="6"/>
        <v>119.626</v>
      </c>
      <c r="D33" s="68">
        <f t="shared" si="7"/>
        <v>64.289583799999988</v>
      </c>
      <c r="E33" s="68">
        <f t="shared" si="8"/>
        <v>9.4438019000000004</v>
      </c>
      <c r="F33" s="68">
        <f t="shared" si="9"/>
        <v>30.029032799999996</v>
      </c>
      <c r="G33" s="68">
        <f t="shared" si="5"/>
        <v>0.59589400000000003</v>
      </c>
      <c r="H33" s="68">
        <f t="shared" si="5"/>
        <v>1.6322799999999997</v>
      </c>
      <c r="I33" s="68">
        <f t="shared" si="5"/>
        <v>0.110682</v>
      </c>
      <c r="J33" s="68">
        <f t="shared" si="5"/>
        <v>6.149E-3</v>
      </c>
      <c r="K33" s="68">
        <f t="shared" si="5"/>
        <v>6.149E-3</v>
      </c>
      <c r="L33" s="68">
        <f t="shared" si="5"/>
        <v>0.36223199999999994</v>
      </c>
      <c r="M33" s="68">
        <f t="shared" si="5"/>
        <v>0.235898</v>
      </c>
      <c r="N33" s="68">
        <f t="shared" si="5"/>
        <v>1419.86</v>
      </c>
      <c r="O33" s="68">
        <f t="shared" si="5"/>
        <v>300.74200000000002</v>
      </c>
      <c r="P33" s="68">
        <f t="shared" si="5"/>
        <v>0</v>
      </c>
      <c r="Q33" s="68">
        <f t="shared" si="10"/>
        <v>155.12249999999997</v>
      </c>
      <c r="R33" s="68">
        <f t="shared" si="11"/>
        <v>0</v>
      </c>
      <c r="S33" s="68">
        <f t="shared" si="11"/>
        <v>0.21241999999999997</v>
      </c>
      <c r="T33" s="68">
        <f t="shared" si="11"/>
        <v>0</v>
      </c>
      <c r="U33" s="68">
        <f t="shared" si="11"/>
        <v>0</v>
      </c>
    </row>
    <row r="34" spans="1:21" s="51" customFormat="1" x14ac:dyDescent="0.25">
      <c r="A34" s="10">
        <f>F8</f>
        <v>10</v>
      </c>
      <c r="B34" s="12">
        <v>47</v>
      </c>
      <c r="C34" s="68">
        <f t="shared" si="6"/>
        <v>86.498800000000003</v>
      </c>
      <c r="D34" s="68">
        <f t="shared" si="7"/>
        <v>46.486314439999987</v>
      </c>
      <c r="E34" s="68">
        <f t="shared" si="8"/>
        <v>6.8285952199999995</v>
      </c>
      <c r="F34" s="68">
        <f t="shared" si="9"/>
        <v>21.71330064</v>
      </c>
      <c r="G34" s="68">
        <f t="shared" si="5"/>
        <v>0.43087719999999996</v>
      </c>
      <c r="H34" s="68">
        <f t="shared" si="5"/>
        <v>1.1802639999999998</v>
      </c>
      <c r="I34" s="68">
        <f t="shared" si="5"/>
        <v>8.0031599999999994E-2</v>
      </c>
      <c r="J34" s="68">
        <f t="shared" si="5"/>
        <v>4.4462E-3</v>
      </c>
      <c r="K34" s="68">
        <f t="shared" si="5"/>
        <v>4.4462E-3</v>
      </c>
      <c r="L34" s="68">
        <f t="shared" si="5"/>
        <v>0.26192159999999998</v>
      </c>
      <c r="M34" s="68">
        <f t="shared" si="5"/>
        <v>0.17057239999999999</v>
      </c>
      <c r="N34" s="68">
        <f t="shared" si="5"/>
        <v>1026.6679999999999</v>
      </c>
      <c r="O34" s="68">
        <f t="shared" si="5"/>
        <v>217.45960000000002</v>
      </c>
      <c r="P34" s="68">
        <f t="shared" si="5"/>
        <v>0</v>
      </c>
      <c r="Q34" s="68">
        <f t="shared" si="10"/>
        <v>112.16549999999998</v>
      </c>
      <c r="R34" s="68">
        <f t="shared" si="11"/>
        <v>0</v>
      </c>
      <c r="S34" s="68">
        <f t="shared" si="11"/>
        <v>0.15359599999999998</v>
      </c>
      <c r="T34" s="68">
        <f t="shared" si="11"/>
        <v>0</v>
      </c>
      <c r="U34" s="68">
        <f t="shared" si="11"/>
        <v>0</v>
      </c>
    </row>
    <row r="35" spans="1:21" s="51" customFormat="1" x14ac:dyDescent="0.25">
      <c r="A35" s="10">
        <f>G8</f>
        <v>20</v>
      </c>
      <c r="B35" s="12">
        <v>65</v>
      </c>
      <c r="C35" s="68">
        <f t="shared" si="6"/>
        <v>119.626</v>
      </c>
      <c r="D35" s="68">
        <f t="shared" si="7"/>
        <v>64.289583799999988</v>
      </c>
      <c r="E35" s="68">
        <f t="shared" si="8"/>
        <v>9.4438019000000004</v>
      </c>
      <c r="F35" s="68">
        <f t="shared" si="9"/>
        <v>30.029032799999996</v>
      </c>
      <c r="G35" s="68">
        <f t="shared" si="5"/>
        <v>0.59589400000000003</v>
      </c>
      <c r="H35" s="68">
        <f t="shared" si="5"/>
        <v>1.6322799999999997</v>
      </c>
      <c r="I35" s="68">
        <f t="shared" si="5"/>
        <v>0.110682</v>
      </c>
      <c r="J35" s="68">
        <f t="shared" si="5"/>
        <v>6.149E-3</v>
      </c>
      <c r="K35" s="68">
        <f t="shared" si="5"/>
        <v>6.149E-3</v>
      </c>
      <c r="L35" s="68">
        <f t="shared" si="5"/>
        <v>0.36223199999999994</v>
      </c>
      <c r="M35" s="68">
        <f t="shared" si="5"/>
        <v>0.235898</v>
      </c>
      <c r="N35" s="68">
        <f t="shared" si="5"/>
        <v>1419.86</v>
      </c>
      <c r="O35" s="68">
        <f t="shared" si="5"/>
        <v>300.74200000000002</v>
      </c>
      <c r="P35" s="68">
        <f t="shared" si="5"/>
        <v>0</v>
      </c>
      <c r="Q35" s="68">
        <f t="shared" si="10"/>
        <v>155.12249999999997</v>
      </c>
      <c r="R35" s="68">
        <f t="shared" si="11"/>
        <v>0</v>
      </c>
      <c r="S35" s="68">
        <f t="shared" si="11"/>
        <v>0.21241999999999997</v>
      </c>
      <c r="T35" s="68">
        <f t="shared" si="11"/>
        <v>0</v>
      </c>
      <c r="U35" s="68">
        <f t="shared" si="11"/>
        <v>0</v>
      </c>
    </row>
    <row r="36" spans="1:21" s="51" customFormat="1" x14ac:dyDescent="0.25">
      <c r="A36" s="10">
        <f>H8</f>
        <v>7886</v>
      </c>
      <c r="B36" s="12">
        <v>70</v>
      </c>
      <c r="C36" s="68">
        <f t="shared" si="6"/>
        <v>128.828</v>
      </c>
      <c r="D36" s="68">
        <f t="shared" si="7"/>
        <v>69.234936399999981</v>
      </c>
      <c r="E36" s="68">
        <f t="shared" si="8"/>
        <v>10.1702482</v>
      </c>
      <c r="F36" s="68">
        <f t="shared" si="9"/>
        <v>32.338958399999996</v>
      </c>
      <c r="G36" s="68">
        <f t="shared" si="5"/>
        <v>0.64173199999999997</v>
      </c>
      <c r="H36" s="68">
        <f t="shared" si="5"/>
        <v>1.7578399999999996</v>
      </c>
      <c r="I36" s="68">
        <f t="shared" si="5"/>
        <v>0.119196</v>
      </c>
      <c r="J36" s="68">
        <f t="shared" si="5"/>
        <v>6.6219999999999994E-3</v>
      </c>
      <c r="K36" s="68">
        <f t="shared" si="5"/>
        <v>6.6219999999999994E-3</v>
      </c>
      <c r="L36" s="68">
        <f t="shared" si="5"/>
        <v>0.39009599999999994</v>
      </c>
      <c r="M36" s="68">
        <f t="shared" si="5"/>
        <v>0.25404399999999999</v>
      </c>
      <c r="N36" s="68">
        <f t="shared" si="5"/>
        <v>1529.08</v>
      </c>
      <c r="O36" s="68">
        <f t="shared" si="5"/>
        <v>323.87600000000003</v>
      </c>
      <c r="P36" s="68">
        <f t="shared" si="5"/>
        <v>0</v>
      </c>
      <c r="Q36" s="68">
        <f t="shared" si="10"/>
        <v>167.05499999999998</v>
      </c>
      <c r="R36" s="68">
        <f t="shared" si="11"/>
        <v>0</v>
      </c>
      <c r="S36" s="68">
        <f t="shared" si="11"/>
        <v>0.22875999999999996</v>
      </c>
      <c r="T36" s="68">
        <f t="shared" si="11"/>
        <v>0</v>
      </c>
      <c r="U36" s="68">
        <f t="shared" si="11"/>
        <v>0</v>
      </c>
    </row>
    <row r="37" spans="1:21" s="51" customFormat="1" x14ac:dyDescent="0.25">
      <c r="A37" s="10">
        <f>I8</f>
        <v>8440</v>
      </c>
      <c r="B37" s="12">
        <v>0</v>
      </c>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8087</v>
      </c>
      <c r="B38" s="12">
        <v>70</v>
      </c>
      <c r="C38" s="68">
        <f t="shared" si="6"/>
        <v>128.828</v>
      </c>
      <c r="D38" s="68">
        <f t="shared" si="7"/>
        <v>69.234936399999981</v>
      </c>
      <c r="E38" s="68">
        <f t="shared" si="8"/>
        <v>10.1702482</v>
      </c>
      <c r="F38" s="68">
        <f t="shared" si="9"/>
        <v>32.338958399999996</v>
      </c>
      <c r="G38" s="68">
        <f t="shared" si="5"/>
        <v>0.64173199999999997</v>
      </c>
      <c r="H38" s="68">
        <f t="shared" si="5"/>
        <v>1.7578399999999996</v>
      </c>
      <c r="I38" s="68">
        <f t="shared" si="5"/>
        <v>0.119196</v>
      </c>
      <c r="J38" s="68">
        <f t="shared" si="5"/>
        <v>6.6219999999999994E-3</v>
      </c>
      <c r="K38" s="68">
        <f t="shared" si="5"/>
        <v>6.6219999999999994E-3</v>
      </c>
      <c r="L38" s="68">
        <f t="shared" si="5"/>
        <v>0.39009599999999994</v>
      </c>
      <c r="M38" s="68">
        <f t="shared" si="5"/>
        <v>0.25404399999999999</v>
      </c>
      <c r="N38" s="68">
        <f t="shared" si="5"/>
        <v>1529.08</v>
      </c>
      <c r="O38" s="68">
        <f t="shared" si="5"/>
        <v>323.87600000000003</v>
      </c>
      <c r="P38" s="68">
        <f t="shared" si="5"/>
        <v>0</v>
      </c>
      <c r="Q38" s="68">
        <f t="shared" si="10"/>
        <v>167.05499999999998</v>
      </c>
      <c r="R38" s="68">
        <f t="shared" si="11"/>
        <v>0</v>
      </c>
      <c r="S38" s="68">
        <f t="shared" si="11"/>
        <v>0.22875999999999996</v>
      </c>
      <c r="T38" s="68">
        <f t="shared" si="11"/>
        <v>0</v>
      </c>
      <c r="U38" s="68">
        <f t="shared" si="11"/>
        <v>0</v>
      </c>
    </row>
    <row r="39" spans="1:21" s="51" customFormat="1" x14ac:dyDescent="0.25">
      <c r="A39" s="10">
        <f>K8</f>
        <v>8019</v>
      </c>
      <c r="B39" s="12">
        <v>70</v>
      </c>
      <c r="C39" s="68">
        <f t="shared" si="6"/>
        <v>128.828</v>
      </c>
      <c r="D39" s="68">
        <f t="shared" si="7"/>
        <v>69.234936399999981</v>
      </c>
      <c r="E39" s="68">
        <f t="shared" si="8"/>
        <v>10.1702482</v>
      </c>
      <c r="F39" s="68">
        <f t="shared" si="9"/>
        <v>32.338958399999996</v>
      </c>
      <c r="G39" s="68">
        <f t="shared" si="5"/>
        <v>0.64173199999999997</v>
      </c>
      <c r="H39" s="68">
        <f t="shared" si="5"/>
        <v>1.7578399999999996</v>
      </c>
      <c r="I39" s="68">
        <f t="shared" si="5"/>
        <v>0.119196</v>
      </c>
      <c r="J39" s="68">
        <f t="shared" si="5"/>
        <v>6.6219999999999994E-3</v>
      </c>
      <c r="K39" s="68">
        <f t="shared" si="5"/>
        <v>6.6219999999999994E-3</v>
      </c>
      <c r="L39" s="68">
        <f t="shared" si="5"/>
        <v>0.39009599999999994</v>
      </c>
      <c r="M39" s="68">
        <f t="shared" si="5"/>
        <v>0.25404399999999999</v>
      </c>
      <c r="N39" s="68">
        <f t="shared" si="5"/>
        <v>1529.08</v>
      </c>
      <c r="O39" s="68">
        <f t="shared" si="5"/>
        <v>323.87600000000003</v>
      </c>
      <c r="P39" s="68">
        <f t="shared" si="5"/>
        <v>0</v>
      </c>
      <c r="Q39" s="68">
        <f t="shared" si="10"/>
        <v>167.05499999999998</v>
      </c>
      <c r="R39" s="68">
        <f t="shared" si="11"/>
        <v>0</v>
      </c>
      <c r="S39" s="68">
        <f t="shared" si="11"/>
        <v>0.22875999999999996</v>
      </c>
      <c r="T39" s="68">
        <f t="shared" si="11"/>
        <v>0</v>
      </c>
      <c r="U39" s="68">
        <f t="shared" si="11"/>
        <v>0</v>
      </c>
    </row>
    <row r="40" spans="1:21" s="51" customFormat="1" x14ac:dyDescent="0.25">
      <c r="A40" s="10">
        <f>L8</f>
        <v>234</v>
      </c>
      <c r="B40" s="12">
        <v>70</v>
      </c>
      <c r="C40" s="68">
        <f t="shared" si="6"/>
        <v>128.828</v>
      </c>
      <c r="D40" s="68">
        <f t="shared" si="7"/>
        <v>69.234936399999981</v>
      </c>
      <c r="E40" s="68">
        <f t="shared" si="8"/>
        <v>10.1702482</v>
      </c>
      <c r="F40" s="68">
        <f t="shared" si="9"/>
        <v>32.338958399999996</v>
      </c>
      <c r="G40" s="68">
        <f t="shared" si="5"/>
        <v>0.64173199999999997</v>
      </c>
      <c r="H40" s="68">
        <f t="shared" si="5"/>
        <v>1.7578399999999996</v>
      </c>
      <c r="I40" s="68">
        <f t="shared" si="5"/>
        <v>0.119196</v>
      </c>
      <c r="J40" s="68">
        <f t="shared" si="5"/>
        <v>6.6219999999999994E-3</v>
      </c>
      <c r="K40" s="68">
        <f t="shared" si="5"/>
        <v>6.6219999999999994E-3</v>
      </c>
      <c r="L40" s="68">
        <f t="shared" si="5"/>
        <v>0.39009599999999994</v>
      </c>
      <c r="M40" s="68">
        <f t="shared" si="5"/>
        <v>0.25404399999999999</v>
      </c>
      <c r="N40" s="68">
        <f t="shared" si="5"/>
        <v>1529.08</v>
      </c>
      <c r="O40" s="68">
        <f t="shared" si="5"/>
        <v>323.87600000000003</v>
      </c>
      <c r="P40" s="68">
        <f t="shared" si="5"/>
        <v>0</v>
      </c>
      <c r="Q40" s="68">
        <f t="shared" si="10"/>
        <v>167.05499999999998</v>
      </c>
      <c r="R40" s="68">
        <f t="shared" si="11"/>
        <v>0</v>
      </c>
      <c r="S40" s="68">
        <f t="shared" si="11"/>
        <v>0.22875999999999996</v>
      </c>
      <c r="T40" s="68">
        <f t="shared" si="11"/>
        <v>0</v>
      </c>
      <c r="U40" s="68">
        <f t="shared" si="11"/>
        <v>0</v>
      </c>
    </row>
    <row r="41" spans="1:21" s="51" customFormat="1" x14ac:dyDescent="0.25">
      <c r="A41" s="10">
        <f>M8</f>
        <v>1735</v>
      </c>
      <c r="B41" s="12">
        <v>70</v>
      </c>
      <c r="C41" s="68">
        <f t="shared" si="6"/>
        <v>128.828</v>
      </c>
      <c r="D41" s="68">
        <f t="shared" si="7"/>
        <v>69.234936399999981</v>
      </c>
      <c r="E41" s="68">
        <f t="shared" si="8"/>
        <v>10.1702482</v>
      </c>
      <c r="F41" s="68">
        <f t="shared" si="9"/>
        <v>32.338958399999996</v>
      </c>
      <c r="G41" s="68">
        <f t="shared" si="5"/>
        <v>0.64173199999999997</v>
      </c>
      <c r="H41" s="68">
        <f t="shared" si="5"/>
        <v>1.7578399999999996</v>
      </c>
      <c r="I41" s="68">
        <f t="shared" si="5"/>
        <v>0.119196</v>
      </c>
      <c r="J41" s="68">
        <f t="shared" si="5"/>
        <v>6.6219999999999994E-3</v>
      </c>
      <c r="K41" s="68">
        <f t="shared" si="5"/>
        <v>6.6219999999999994E-3</v>
      </c>
      <c r="L41" s="68">
        <f t="shared" si="5"/>
        <v>0.39009599999999994</v>
      </c>
      <c r="M41" s="68">
        <f t="shared" si="5"/>
        <v>0.25404399999999999</v>
      </c>
      <c r="N41" s="68">
        <f t="shared" si="5"/>
        <v>1529.08</v>
      </c>
      <c r="O41" s="68">
        <f t="shared" si="5"/>
        <v>323.87600000000003</v>
      </c>
      <c r="P41" s="68">
        <f t="shared" si="5"/>
        <v>0</v>
      </c>
      <c r="Q41" s="68">
        <f t="shared" si="10"/>
        <v>167.05499999999998</v>
      </c>
      <c r="R41" s="68">
        <f t="shared" si="11"/>
        <v>0</v>
      </c>
      <c r="S41" s="68">
        <f t="shared" si="11"/>
        <v>0.22875999999999996</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2</v>
      </c>
      <c r="C57" s="8">
        <f t="shared" ref="C57:U57" si="13">D8</f>
        <v>3</v>
      </c>
      <c r="D57" s="8">
        <f t="shared" si="13"/>
        <v>4</v>
      </c>
      <c r="E57" s="8">
        <f t="shared" si="13"/>
        <v>10</v>
      </c>
      <c r="F57" s="8">
        <f t="shared" si="13"/>
        <v>20</v>
      </c>
      <c r="G57" s="8">
        <f t="shared" si="13"/>
        <v>7886</v>
      </c>
      <c r="H57" s="8">
        <f t="shared" si="13"/>
        <v>8440</v>
      </c>
      <c r="I57" s="8">
        <f t="shared" si="13"/>
        <v>8087</v>
      </c>
      <c r="J57" s="8">
        <f t="shared" si="13"/>
        <v>8019</v>
      </c>
      <c r="K57" s="8">
        <f t="shared" si="13"/>
        <v>234</v>
      </c>
      <c r="L57" s="8">
        <f t="shared" si="13"/>
        <v>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Arable</v>
      </c>
      <c r="F58" s="10" t="str">
        <f>G16&amp;" I "&amp;(VLOOKUP(G14,Table2458[],6,FALSE))</f>
        <v>Medium/Clay I Grass</v>
      </c>
      <c r="G58" s="10" t="str">
        <f>H16&amp;" I "&amp;(VLOOKUP(H14,Table2458[],6,FALSE))</f>
        <v>Medium/Clay I Arable</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100" t="s">
        <v>132</v>
      </c>
      <c r="B59" s="67">
        <f>VLOOKUP(C$14,Table2458[],5,FALSE)</f>
        <v>6.2</v>
      </c>
      <c r="C59" s="67">
        <f>VLOOKUP(D$14,Table2458[],5,FALSE)</f>
        <v>6.2</v>
      </c>
      <c r="D59" s="67">
        <f>VLOOKUP(E$14,Table2458[],5,FALSE)</f>
        <v>6.2</v>
      </c>
      <c r="E59" s="67">
        <f>VLOOKUP(F$14,Table2458[],5,FALSE)</f>
        <v>6.7</v>
      </c>
      <c r="F59" s="67">
        <f>VLOOKUP(G$14,Table2458[],5,FALSE)</f>
        <v>6.2</v>
      </c>
      <c r="G59" s="67">
        <f>VLOOKUP(H$14,Table2458[],5,FALSE)</f>
        <v>6.7</v>
      </c>
      <c r="H59" s="67">
        <f>VLOOKUP(I$14,Table2458[],5,FALSE)</f>
        <v>6.2</v>
      </c>
      <c r="I59" s="67">
        <f>VLOOKUP(J$14,Table2458[],5,FALSE)</f>
        <v>6.2</v>
      </c>
      <c r="J59" s="67">
        <f>VLOOKUP(K$14,Table2458[],5,FALSE)</f>
        <v>6.2</v>
      </c>
      <c r="K59" s="67">
        <f>VLOOKUP(L$14,Table2458[],5,FALSE)</f>
        <v>6.2</v>
      </c>
      <c r="L59" s="67">
        <f>VLOOKUP(M$14,Table2458[],5,FALSE)</f>
        <v>6.2</v>
      </c>
      <c r="M59" s="67" t="e">
        <f>VLOOKUP(N$14,Table2458[],5,FALSE)</f>
        <v>#N/A</v>
      </c>
      <c r="N59" s="67" t="e">
        <f>VLOOKUP(O$14,Table2458[],5,FALSE)</f>
        <v>#N/A</v>
      </c>
      <c r="O59" s="67" t="e">
        <f>VLOOKUP(P$14,Table2458[],5,FALSE)</f>
        <v>#N/A</v>
      </c>
      <c r="P59" s="67" t="e">
        <f>VLOOKUP(Q$14,Table2458[],5,FALSE)</f>
        <v>#N/A</v>
      </c>
      <c r="Q59" s="67" t="e">
        <f>VLOOKUP(R$14,Table2458[],5,FALSE)</f>
        <v>#N/A</v>
      </c>
      <c r="R59" s="67" t="e">
        <f>VLOOKUP(S$14,Table2458[],5,FALSE)</f>
        <v>#N/A</v>
      </c>
      <c r="S59" s="67" t="e">
        <f>VLOOKUP(T$14,Table2458[],5,FALSE)</f>
        <v>#N/A</v>
      </c>
      <c r="T59" s="67" t="e">
        <f>VLOOKUP(U$14,Table2458[],5,FALSE)</f>
        <v>#N/A</v>
      </c>
      <c r="U59" s="67" t="e">
        <f>VLOOKUP(V$14,Table2458[],5,FALSE)</f>
        <v>#N/A</v>
      </c>
    </row>
    <row r="60" spans="1:21" x14ac:dyDescent="0.2">
      <c r="A60" s="100" t="s">
        <v>4</v>
      </c>
      <c r="B60" s="67">
        <f>C10</f>
        <v>7</v>
      </c>
      <c r="C60" s="67">
        <f t="shared" ref="C60:U60" si="14">D10</f>
        <v>6.4</v>
      </c>
      <c r="D60" s="67">
        <f t="shared" si="14"/>
        <v>6.1</v>
      </c>
      <c r="E60" s="67">
        <f t="shared" si="14"/>
        <v>6.7</v>
      </c>
      <c r="F60" s="67">
        <f t="shared" si="14"/>
        <v>6.3</v>
      </c>
      <c r="G60" s="67">
        <f t="shared" si="14"/>
        <v>6.6</v>
      </c>
      <c r="H60" s="67">
        <f t="shared" si="14"/>
        <v>5.6</v>
      </c>
      <c r="I60" s="67">
        <f t="shared" si="14"/>
        <v>6.2</v>
      </c>
      <c r="J60" s="67">
        <f t="shared" si="14"/>
        <v>6.4</v>
      </c>
      <c r="K60" s="67">
        <f t="shared" si="14"/>
        <v>6.2</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8</v>
      </c>
      <c r="F61" s="67">
        <f t="shared" si="15"/>
        <v>6</v>
      </c>
      <c r="G61" s="67">
        <f t="shared" si="15"/>
        <v>8</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65</v>
      </c>
      <c r="C62" s="68">
        <f>B32</f>
        <v>65</v>
      </c>
      <c r="D62" s="68">
        <f>B33</f>
        <v>65</v>
      </c>
      <c r="E62" s="68">
        <f>B34</f>
        <v>47</v>
      </c>
      <c r="F62" s="68">
        <f>B35</f>
        <v>65</v>
      </c>
      <c r="G62" s="68">
        <f>B36</f>
        <v>70</v>
      </c>
      <c r="H62" s="68">
        <f>B37</f>
        <v>0</v>
      </c>
      <c r="I62" s="68">
        <f>B38</f>
        <v>70</v>
      </c>
      <c r="J62" s="68">
        <f>B39</f>
        <v>70</v>
      </c>
      <c r="K62" s="68">
        <f>B40</f>
        <v>70</v>
      </c>
      <c r="L62" s="68">
        <f>B41</f>
        <v>70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-4.7999999999999989</v>
      </c>
      <c r="C64" s="68">
        <f t="shared" ref="C64:U64" si="17">(C59-C60)*C61</f>
        <v>-1.2000000000000011</v>
      </c>
      <c r="D64" s="68">
        <f t="shared" si="17"/>
        <v>0.6000000000000032</v>
      </c>
      <c r="E64" s="68">
        <f t="shared" si="17"/>
        <v>0</v>
      </c>
      <c r="F64" s="68">
        <f t="shared" si="17"/>
        <v>-0.59999999999999787</v>
      </c>
      <c r="G64" s="68">
        <f t="shared" si="17"/>
        <v>0.80000000000000426</v>
      </c>
      <c r="H64" s="68">
        <f t="shared" si="17"/>
        <v>3.6000000000000032</v>
      </c>
      <c r="I64" s="68">
        <f t="shared" si="17"/>
        <v>0</v>
      </c>
      <c r="J64" s="68">
        <f t="shared" si="17"/>
        <v>-1.2000000000000011</v>
      </c>
      <c r="K64" s="68">
        <f t="shared" si="17"/>
        <v>0</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4.7999999999999989</v>
      </c>
      <c r="C65" s="68">
        <f t="shared" ref="C65:U65" si="18">C63-C64</f>
        <v>1.2000000000000011</v>
      </c>
      <c r="D65" s="68">
        <f t="shared" si="18"/>
        <v>-0.6000000000000032</v>
      </c>
      <c r="E65" s="68">
        <f t="shared" si="18"/>
        <v>0</v>
      </c>
      <c r="F65" s="68">
        <f t="shared" si="18"/>
        <v>0.59999999999999787</v>
      </c>
      <c r="G65" s="68">
        <f t="shared" si="18"/>
        <v>-0.80000000000000426</v>
      </c>
      <c r="H65" s="68">
        <f t="shared" si="18"/>
        <v>-3.6000000000000032</v>
      </c>
      <c r="I65" s="68">
        <f t="shared" si="18"/>
        <v>0</v>
      </c>
      <c r="J65" s="68">
        <f t="shared" si="18"/>
        <v>1.2000000000000011</v>
      </c>
      <c r="K65" s="68">
        <f t="shared" si="18"/>
        <v>0</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UNDER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1" priority="36" operator="greaterThan">
      <formula>$B$51</formula>
    </cfRule>
  </conditionalFormatting>
  <conditionalFormatting sqref="B66:U66">
    <cfRule type="cellIs" dxfId="110" priority="11" operator="equal">
      <formula>"UNDER"</formula>
    </cfRule>
    <cfRule type="cellIs" dxfId="109" priority="12" operator="equal">
      <formula>"OVER"</formula>
    </cfRule>
  </conditionalFormatting>
  <conditionalFormatting sqref="C31:C50">
    <cfRule type="cellIs" dxfId="108" priority="35" operator="greaterThan">
      <formula>$C$51</formula>
    </cfRule>
  </conditionalFormatting>
  <conditionalFormatting sqref="C17:V19">
    <cfRule type="cellIs" dxfId="107" priority="32" operator="equal">
      <formula>0</formula>
    </cfRule>
  </conditionalFormatting>
  <conditionalFormatting sqref="C20:V21">
    <cfRule type="cellIs" dxfId="106" priority="37" operator="equal">
      <formula>"DECREASE"</formula>
    </cfRule>
    <cfRule type="cellIs" dxfId="105" priority="38" operator="equal">
      <formula>"INCREASE"</formula>
    </cfRule>
  </conditionalFormatting>
  <conditionalFormatting sqref="C21:V21">
    <cfRule type="cellIs" dxfId="104" priority="13" operator="equal">
      <formula>0</formula>
    </cfRule>
  </conditionalFormatting>
  <conditionalFormatting sqref="C22:V23">
    <cfRule type="cellIs" dxfId="103" priority="17" operator="equal">
      <formula>0</formula>
    </cfRule>
  </conditionalFormatting>
  <conditionalFormatting sqref="C24:V24">
    <cfRule type="cellIs" dxfId="102" priority="18" operator="equal">
      <formula>"DECREASE"</formula>
    </cfRule>
    <cfRule type="cellIs" dxfId="101" priority="19" operator="equal">
      <formula>"INCREASE"</formula>
    </cfRule>
  </conditionalFormatting>
  <conditionalFormatting sqref="G31:G50">
    <cfRule type="cellIs" dxfId="100" priority="31" operator="greaterThan">
      <formula>$G$51</formula>
    </cfRule>
  </conditionalFormatting>
  <conditionalFormatting sqref="H31:H50">
    <cfRule type="cellIs" dxfId="99" priority="30" operator="greaterThan">
      <formula>$H$51</formula>
    </cfRule>
  </conditionalFormatting>
  <conditionalFormatting sqref="I1">
    <cfRule type="cellIs" dxfId="98" priority="3" operator="between">
      <formula>0.1</formula>
      <formula>5</formula>
    </cfRule>
  </conditionalFormatting>
  <conditionalFormatting sqref="I2">
    <cfRule type="cellIs" dxfId="97" priority="2" operator="greaterThan">
      <formula>5000.1</formula>
    </cfRule>
  </conditionalFormatting>
  <conditionalFormatting sqref="I3">
    <cfRule type="cellIs" dxfId="96" priority="1" operator="greaterThan">
      <formula>40000.01</formula>
    </cfRule>
  </conditionalFormatting>
  <conditionalFormatting sqref="I31:I50">
    <cfRule type="cellIs" dxfId="95" priority="29" operator="greaterThan">
      <formula>$I$51</formula>
    </cfRule>
  </conditionalFormatting>
  <conditionalFormatting sqref="J31:J50">
    <cfRule type="cellIs" dxfId="94" priority="8" operator="greaterThan">
      <formula>$J$51</formula>
    </cfRule>
  </conditionalFormatting>
  <conditionalFormatting sqref="K31:K50">
    <cfRule type="cellIs" dxfId="93" priority="28" operator="greaterThan">
      <formula>$K$51</formula>
    </cfRule>
  </conditionalFormatting>
  <conditionalFormatting sqref="L3">
    <cfRule type="cellIs" dxfId="92" priority="4" operator="lessThan">
      <formula>30</formula>
    </cfRule>
    <cfRule type="cellIs" dxfId="91" priority="5" operator="greaterThanOrEqual">
      <formula>30</formula>
    </cfRule>
  </conditionalFormatting>
  <conditionalFormatting sqref="L31:L50">
    <cfRule type="cellIs" dxfId="90" priority="27" operator="greaterThan">
      <formula>$L$51</formula>
    </cfRule>
  </conditionalFormatting>
  <conditionalFormatting sqref="M31:M50">
    <cfRule type="cellIs" dxfId="89" priority="26" operator="greaterThan">
      <formula>$M$51</formula>
    </cfRule>
  </conditionalFormatting>
  <conditionalFormatting sqref="P31:P50">
    <cfRule type="cellIs" dxfId="88" priority="25" operator="greaterThan">
      <formula>$P$51</formula>
    </cfRule>
  </conditionalFormatting>
  <conditionalFormatting sqref="R31:R50">
    <cfRule type="cellIs" dxfId="87" priority="24" operator="greaterThan">
      <formula>$R$51</formula>
    </cfRule>
  </conditionalFormatting>
  <conditionalFormatting sqref="S31:S50">
    <cfRule type="cellIs" dxfId="86" priority="23" operator="greaterThan">
      <formula>$S$51</formula>
    </cfRule>
  </conditionalFormatting>
  <conditionalFormatting sqref="T31:T50">
    <cfRule type="cellIs" dxfId="85" priority="22" operator="greaterThan">
      <formula>$T$51</formula>
    </cfRule>
  </conditionalFormatting>
  <conditionalFormatting sqref="U31:U50">
    <cfRule type="cellIs" dxfId="84" priority="21"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10" zoomScale="90" zoomScaleNormal="90" workbookViewId="0">
      <selection activeCell="A28" sqref="A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7" t="str">
        <f>'Field data and Waste 1'!C1:D1</f>
        <v>PAN-026719</v>
      </c>
      <c r="D1" s="128"/>
      <c r="E1" s="83" t="s">
        <v>45</v>
      </c>
      <c r="F1" s="32">
        <f>'Field data and Waste 1'!F1</f>
        <v>49.7</v>
      </c>
      <c r="G1" s="110" t="s">
        <v>43</v>
      </c>
      <c r="H1" s="111"/>
      <c r="I1" s="86">
        <v>6.4</v>
      </c>
      <c r="J1" s="114" t="s">
        <v>153</v>
      </c>
      <c r="K1" s="114"/>
      <c r="L1" s="86">
        <v>45.3</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29" t="str">
        <f>'Field data and Waste 1'!C2:D2</f>
        <v>EPR/AB3891CX</v>
      </c>
      <c r="D2" s="130"/>
      <c r="E2" s="83" t="s">
        <v>109</v>
      </c>
      <c r="F2" s="86" t="s">
        <v>173</v>
      </c>
      <c r="G2" s="112" t="s">
        <v>110</v>
      </c>
      <c r="H2" s="113"/>
      <c r="I2" s="86"/>
      <c r="J2" s="114" t="s">
        <v>158</v>
      </c>
      <c r="K2" s="114"/>
      <c r="L2" s="86">
        <v>1.33</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29" t="str">
        <f>'Field data and Waste 1'!C3:D3</f>
        <v>Stepside Agri</v>
      </c>
      <c r="D3" s="130"/>
      <c r="E3" s="83" t="s">
        <v>108</v>
      </c>
      <c r="F3" s="24" t="s">
        <v>78</v>
      </c>
      <c r="G3" s="114" t="s">
        <v>159</v>
      </c>
      <c r="H3" s="114"/>
      <c r="I3" s="86"/>
      <c r="J3" s="110" t="s">
        <v>154</v>
      </c>
      <c r="K3" s="111"/>
      <c r="L3" s="86">
        <f>(L1/(L2*10000))*100</f>
        <v>0.34060150375939846</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7" t="str">
        <f>'Field data and Waste 1'!C4:D4</f>
        <v>Castell Malgwyn Farm, Llechryd, Cardigan, Ceredigion, SA43 2QB</v>
      </c>
      <c r="D4" s="128"/>
      <c r="E4" s="84" t="s">
        <v>1</v>
      </c>
      <c r="F4" s="86" t="s">
        <v>176</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7" t="str">
        <f>'Field data and Waste 1'!C5:D5</f>
        <v>Ethan Banfield</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Waste 1'!C8</f>
        <v>2</v>
      </c>
      <c r="D8" s="52">
        <f>'Field data and Waste 1'!D8</f>
        <v>3</v>
      </c>
      <c r="E8" s="52">
        <f>'Field data and Waste 1'!E8</f>
        <v>4</v>
      </c>
      <c r="F8" s="52">
        <f>'Field data and Waste 1'!F8</f>
        <v>10</v>
      </c>
      <c r="G8" s="52">
        <f>'Field data and Waste 1'!G8</f>
        <v>20</v>
      </c>
      <c r="H8" s="52">
        <f>'Field data and Waste 1'!H8</f>
        <v>7886</v>
      </c>
      <c r="I8" s="52">
        <f>'Field data and Waste 1'!I8</f>
        <v>8440</v>
      </c>
      <c r="J8" s="52">
        <f>'Field data and Waste 1'!J8</f>
        <v>8087</v>
      </c>
      <c r="K8" s="52">
        <f>'Field data and Waste 1'!K8</f>
        <v>8019</v>
      </c>
      <c r="L8" s="52">
        <f>'Field data and Waste 1'!L8</f>
        <v>234</v>
      </c>
      <c r="M8" s="52">
        <f>'Field data and Waste 1'!M8</f>
        <v>1735</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Waste 1'!C9</f>
        <v>Moderate</v>
      </c>
      <c r="D9" s="52" t="str">
        <f>'Field data and Waste 1'!D9</f>
        <v>Moderate</v>
      </c>
      <c r="E9" s="52" t="str">
        <f>'Field data and Waste 1'!E9</f>
        <v>Moderate</v>
      </c>
      <c r="F9" s="52">
        <f>'Field data and Waste 1'!F9</f>
        <v>1</v>
      </c>
      <c r="G9" s="52" t="str">
        <f>'Field data and Waste 1'!G9</f>
        <v>Moderate</v>
      </c>
      <c r="H9" s="52">
        <f>'Field data and Waste 1'!H9</f>
        <v>1</v>
      </c>
      <c r="I9" s="52" t="str">
        <f>'Field data and Waste 1'!I9</f>
        <v>Moderate</v>
      </c>
      <c r="J9" s="52" t="str">
        <f>'Field data and Waste 1'!J9</f>
        <v>Moderate</v>
      </c>
      <c r="K9" s="52" t="str">
        <f>'Field data and Waste 1'!K9</f>
        <v>Moderate</v>
      </c>
      <c r="L9" s="52" t="str">
        <f>'Field data and Waste 1'!L9</f>
        <v>Moderate</v>
      </c>
      <c r="M9" s="52" t="str">
        <f>'Field data and Waste 1'!M9</f>
        <v>Moderate</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Waste 1'!C10</f>
        <v>7</v>
      </c>
      <c r="D10" s="52">
        <f>'Field data and Waste 1'!D10</f>
        <v>6.4</v>
      </c>
      <c r="E10" s="52">
        <f>'Field data and Waste 1'!E10</f>
        <v>6.1</v>
      </c>
      <c r="F10" s="52">
        <f>'Field data and Waste 1'!F10</f>
        <v>6.7</v>
      </c>
      <c r="G10" s="52">
        <f>'Field data and Waste 1'!G10</f>
        <v>6.3</v>
      </c>
      <c r="H10" s="52">
        <f>'Field data and Waste 1'!H10</f>
        <v>6.6</v>
      </c>
      <c r="I10" s="52">
        <f>'Field data and Waste 1'!I10</f>
        <v>5.6</v>
      </c>
      <c r="J10" s="52">
        <f>'Field data and Waste 1'!J10</f>
        <v>6.2</v>
      </c>
      <c r="K10" s="52">
        <f>'Field data and Waste 1'!K10</f>
        <v>6.4</v>
      </c>
      <c r="L10" s="52">
        <f>'Field data and Waste 1'!L10</f>
        <v>6.2</v>
      </c>
      <c r="M10" s="52">
        <f>'Field data and Waste 1'!M10</f>
        <v>6.3</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Waste 1'!C11</f>
        <v>2</v>
      </c>
      <c r="D11" s="52">
        <f>'Field data and Waste 1'!D11</f>
        <v>2</v>
      </c>
      <c r="E11" s="52">
        <f>'Field data and Waste 1'!E11</f>
        <v>2</v>
      </c>
      <c r="F11" s="52">
        <f>'Field data and Waste 1'!F11</f>
        <v>3</v>
      </c>
      <c r="G11" s="52">
        <f>'Field data and Waste 1'!G11</f>
        <v>3</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Waste 1'!C12</f>
        <v>2</v>
      </c>
      <c r="D12" s="52">
        <f>'Field data and Waste 1'!D12</f>
        <v>2</v>
      </c>
      <c r="E12" s="52">
        <f>'Field data and Waste 1'!E12</f>
        <v>1</v>
      </c>
      <c r="F12" s="52">
        <f>'Field data and Waste 1'!F12</f>
        <v>2</v>
      </c>
      <c r="G12" s="52">
        <f>'Field data and Waste 1'!G12</f>
        <v>2</v>
      </c>
      <c r="H12" s="52">
        <f>'Field data and Waste 1'!H12</f>
        <v>2</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Waste 1'!C13</f>
        <v>2</v>
      </c>
      <c r="D13" s="52">
        <f>'Field data and Waste 1'!D13</f>
        <v>3</v>
      </c>
      <c r="E13" s="52">
        <f>'Field data and Waste 1'!E13</f>
        <v>3</v>
      </c>
      <c r="F13" s="52">
        <f>'Field data and Waste 1'!F13</f>
        <v>3</v>
      </c>
      <c r="G13" s="52">
        <f>'Field data and Waste 1'!G13</f>
        <v>2</v>
      </c>
      <c r="H13" s="52">
        <f>'Field data and Waste 1'!H13</f>
        <v>2</v>
      </c>
      <c r="I13" s="52">
        <f>'Field data and Waste 1'!I13</f>
        <v>3</v>
      </c>
      <c r="J13" s="52">
        <f>'Field data and Waste 1'!J13</f>
        <v>3</v>
      </c>
      <c r="K13" s="52">
        <f>'Field data and Waste 1'!K13</f>
        <v>3</v>
      </c>
      <c r="L13" s="52">
        <f>'Field data and Waste 1'!L13</f>
        <v>3</v>
      </c>
      <c r="M13" s="52">
        <f>'Field data and Waste 1'!M13</f>
        <v>3</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3" t="s">
        <v>8</v>
      </c>
      <c r="B14" s="123"/>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Spring wheat/barley</v>
      </c>
      <c r="G14" s="91" t="str">
        <f>'Field data and Waste 1'!G14</f>
        <v xml:space="preserve">Grass Silage (25% DM) </v>
      </c>
      <c r="H14" s="91" t="str">
        <f>'Field data and Waste 1'!H14</f>
        <v>Winter wheat- grain &amp; straw</v>
      </c>
      <c r="I14" s="91" t="str">
        <f>'Field data and Waste 1'!I14</f>
        <v xml:space="preserve">Grass Silage (25% DM) </v>
      </c>
      <c r="J14" s="91" t="str">
        <f>'Field data and Waste 1'!J14</f>
        <v xml:space="preserve">Grass Silage (25% DM) </v>
      </c>
      <c r="K14" s="91" t="str">
        <f>'Field data and Waste 1'!K14</f>
        <v xml:space="preserve">Grass Silage (25% DM) </v>
      </c>
      <c r="L14" s="91" t="str">
        <f>'Field data and Waste 1'!L14</f>
        <v xml:space="preserve">Grass Silage (25% DM) </v>
      </c>
      <c r="M14" s="91" t="str">
        <f>'Field data and Waste 1'!M14</f>
        <v xml:space="preserve">Grass Silage (25% DM) </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22" t="s">
        <v>9</v>
      </c>
      <c r="B15" s="122"/>
      <c r="C15" s="52">
        <f>'Field data and Waste 1'!C15</f>
        <v>38</v>
      </c>
      <c r="D15" s="52">
        <f>'Field data and Waste 1'!D15</f>
        <v>38</v>
      </c>
      <c r="E15" s="52">
        <f>'Field data and Waste 1'!E15</f>
        <v>38</v>
      </c>
      <c r="F15" s="52">
        <f>'Field data and Waste 1'!F15</f>
        <v>5.5</v>
      </c>
      <c r="G15" s="52">
        <f>'Field data and Waste 1'!G15</f>
        <v>38</v>
      </c>
      <c r="H15" s="52">
        <f>'Field data and Waste 1'!H15</f>
        <v>8</v>
      </c>
      <c r="I15" s="52">
        <f>'Field data and Waste 1'!I15</f>
        <v>38</v>
      </c>
      <c r="J15" s="52">
        <f>'Field data and Waste 1'!J15</f>
        <v>38</v>
      </c>
      <c r="K15" s="52">
        <f>'Field data and Waste 1'!K15</f>
        <v>38</v>
      </c>
      <c r="L15" s="52">
        <f>'Field data and Waste 1'!L15</f>
        <v>38</v>
      </c>
      <c r="M15" s="52">
        <f>'Field data and Waste 1'!M15</f>
        <v>38</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24" t="s">
        <v>44</v>
      </c>
      <c r="B16" s="124"/>
      <c r="C16" s="92" t="str">
        <f>'Field data and Waste 1'!C16</f>
        <v>Medium/Clay</v>
      </c>
      <c r="D16" s="92" t="str">
        <f>'Field data and Waste 1'!D16</f>
        <v>Medium/Clay</v>
      </c>
      <c r="E16" s="92" t="str">
        <f>'Field data and Waste 1'!E16</f>
        <v>Medium/Clay</v>
      </c>
      <c r="F16" s="92" t="str">
        <f>'Field data and Waste 1'!F16</f>
        <v>Medium/Clay</v>
      </c>
      <c r="G16" s="92" t="str">
        <f>'Field data and Waste 1'!G16</f>
        <v>Medium/Clay</v>
      </c>
      <c r="H16" s="92" t="str">
        <f>'Field data and Waste 1'!H16</f>
        <v>Medium/Clay</v>
      </c>
      <c r="I16" s="92" t="str">
        <f>'Field data and Waste 1'!I16</f>
        <v>Medium/Clay</v>
      </c>
      <c r="J16" s="92" t="str">
        <f>'Field data and Waste 1'!J16</f>
        <v>Medium/Clay</v>
      </c>
      <c r="K16" s="92" t="str">
        <f>'Field data and Waste 1'!K16</f>
        <v>Medium/Clay</v>
      </c>
      <c r="L16" s="92" t="str">
        <f>'Field data and Waste 1'!L16</f>
        <v>Medium/Clay</v>
      </c>
      <c r="M16" s="92" t="str">
        <f>'Field data and Waste 1'!M16</f>
        <v>Medium/Clay</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20" t="s">
        <v>69</v>
      </c>
      <c r="B17" s="121"/>
      <c r="C17" s="21">
        <f>(VLOOKUP(C$14,$AI2:$AK26,2,FALSE))*C$15</f>
        <v>64.599999999999994</v>
      </c>
      <c r="D17" s="21">
        <f t="shared" ref="D17:V17" si="0">(VLOOKUP(D$14,$AI2:$AK26,2,FALSE))*D$15</f>
        <v>64.599999999999994</v>
      </c>
      <c r="E17" s="21">
        <f t="shared" si="0"/>
        <v>64.599999999999994</v>
      </c>
      <c r="F17" s="21">
        <f t="shared" si="0"/>
        <v>46.75</v>
      </c>
      <c r="G17" s="21">
        <f t="shared" si="0"/>
        <v>64.599999999999994</v>
      </c>
      <c r="H17" s="21">
        <f t="shared" si="0"/>
        <v>56</v>
      </c>
      <c r="I17" s="21">
        <f t="shared" si="0"/>
        <v>64.599999999999994</v>
      </c>
      <c r="J17" s="21">
        <f t="shared" si="0"/>
        <v>64.599999999999994</v>
      </c>
      <c r="K17" s="21">
        <f t="shared" si="0"/>
        <v>64.599999999999994</v>
      </c>
      <c r="L17" s="21">
        <f t="shared" si="0"/>
        <v>64.599999999999994</v>
      </c>
      <c r="M17" s="21">
        <f t="shared" si="0"/>
        <v>64.599999999999994</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8" t="s">
        <v>23</v>
      </c>
      <c r="B18" s="119"/>
      <c r="C18" s="13">
        <f>$D31</f>
        <v>53.43528400000001</v>
      </c>
      <c r="D18" s="13">
        <f>$D32</f>
        <v>53.43528400000001</v>
      </c>
      <c r="E18" s="13">
        <f>$D33</f>
        <v>53.43528400000001</v>
      </c>
      <c r="F18" s="13">
        <f>$D34</f>
        <v>46.565033200000002</v>
      </c>
      <c r="G18" s="13">
        <f>$D35</f>
        <v>53.43528400000001</v>
      </c>
      <c r="H18" s="13">
        <f>$D36</f>
        <v>53.43528400000001</v>
      </c>
      <c r="I18" s="13">
        <f>$D37</f>
        <v>0</v>
      </c>
      <c r="J18" s="13">
        <f>$D38</f>
        <v>53.43528400000001</v>
      </c>
      <c r="K18" s="13">
        <f>$D39</f>
        <v>53.43528400000001</v>
      </c>
      <c r="L18" s="13">
        <f>$D40</f>
        <v>53.43528400000001</v>
      </c>
      <c r="M18" s="13">
        <f>$D41</f>
        <v>53.43528400000001</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8" t="s">
        <v>90</v>
      </c>
      <c r="B19" s="119"/>
      <c r="C19" s="13">
        <f>C18-C17</f>
        <v>-11.164715999999984</v>
      </c>
      <c r="D19" s="13">
        <f t="shared" ref="D19:V19" si="1">D18-D17</f>
        <v>-11.164715999999984</v>
      </c>
      <c r="E19" s="13">
        <f t="shared" si="1"/>
        <v>-11.164715999999984</v>
      </c>
      <c r="F19" s="13">
        <f t="shared" si="1"/>
        <v>-0.18496679999999799</v>
      </c>
      <c r="G19" s="13">
        <f t="shared" si="1"/>
        <v>-11.164715999999984</v>
      </c>
      <c r="H19" s="13">
        <f t="shared" si="1"/>
        <v>-2.56471599999999</v>
      </c>
      <c r="I19" s="13">
        <f t="shared" si="1"/>
        <v>-64.599999999999994</v>
      </c>
      <c r="J19" s="13">
        <f t="shared" si="1"/>
        <v>-11.164715999999984</v>
      </c>
      <c r="K19" s="13">
        <f t="shared" si="1"/>
        <v>-11.164715999999984</v>
      </c>
      <c r="L19" s="13">
        <f t="shared" si="1"/>
        <v>-11.164715999999984</v>
      </c>
      <c r="M19" s="13">
        <f t="shared" si="1"/>
        <v>-11.164715999999984</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0" t="s">
        <v>88</v>
      </c>
      <c r="B21" s="121"/>
      <c r="C21" s="21">
        <f>(VLOOKUP(C$14,$AI2:$AK26,3,FALSE))*C$15</f>
        <v>228</v>
      </c>
      <c r="D21" s="21">
        <f t="shared" ref="D21:V21" si="2">(VLOOKUP(D$14,$AI2:$AK26,3,FALSE))*D$15</f>
        <v>228</v>
      </c>
      <c r="E21" s="21">
        <f t="shared" si="2"/>
        <v>228</v>
      </c>
      <c r="F21" s="21">
        <f t="shared" si="2"/>
        <v>66</v>
      </c>
      <c r="G21" s="21">
        <f t="shared" si="2"/>
        <v>228</v>
      </c>
      <c r="H21" s="21">
        <f t="shared" si="2"/>
        <v>84</v>
      </c>
      <c r="I21" s="21">
        <f t="shared" si="2"/>
        <v>228</v>
      </c>
      <c r="J21" s="21">
        <f t="shared" si="2"/>
        <v>228</v>
      </c>
      <c r="K21" s="21">
        <f t="shared" si="2"/>
        <v>228</v>
      </c>
      <c r="L21" s="21">
        <f t="shared" si="2"/>
        <v>228</v>
      </c>
      <c r="M21" s="21">
        <f t="shared" si="2"/>
        <v>228</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8" t="s">
        <v>89</v>
      </c>
      <c r="B22" s="119"/>
      <c r="C22" s="13">
        <f>$E31</f>
        <v>1.9157572</v>
      </c>
      <c r="D22" s="13">
        <f>$E32</f>
        <v>1.9157572</v>
      </c>
      <c r="E22" s="13">
        <f>$E33</f>
        <v>1.9157572</v>
      </c>
      <c r="F22" s="13">
        <f>$E34</f>
        <v>1.66944556</v>
      </c>
      <c r="G22" s="13">
        <f>$E35</f>
        <v>1.9157572</v>
      </c>
      <c r="H22" s="13">
        <f>$E36</f>
        <v>1.9157572</v>
      </c>
      <c r="I22" s="13">
        <f>$E37</f>
        <v>0</v>
      </c>
      <c r="J22" s="13">
        <f>$E38</f>
        <v>1.9157572</v>
      </c>
      <c r="K22" s="13">
        <f>$E39</f>
        <v>1.9157572</v>
      </c>
      <c r="L22" s="13">
        <f>$E40</f>
        <v>1.9157572</v>
      </c>
      <c r="M22" s="13">
        <f>$E41</f>
        <v>1.9157572</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8" t="s">
        <v>92</v>
      </c>
      <c r="B23" s="119"/>
      <c r="C23" s="13">
        <f>C22-C21</f>
        <v>-226.0842428</v>
      </c>
      <c r="D23" s="13">
        <f t="shared" ref="D23:V23" si="3">D22-D21</f>
        <v>-226.0842428</v>
      </c>
      <c r="E23" s="13">
        <f t="shared" si="3"/>
        <v>-226.0842428</v>
      </c>
      <c r="F23" s="13">
        <f t="shared" si="3"/>
        <v>-64.33055444</v>
      </c>
      <c r="G23" s="13">
        <f t="shared" si="3"/>
        <v>-226.0842428</v>
      </c>
      <c r="H23" s="13">
        <f t="shared" si="3"/>
        <v>-82.084242799999998</v>
      </c>
      <c r="I23" s="13">
        <f t="shared" si="3"/>
        <v>-228</v>
      </c>
      <c r="J23" s="13">
        <f t="shared" si="3"/>
        <v>-226.0842428</v>
      </c>
      <c r="K23" s="13">
        <f t="shared" si="3"/>
        <v>-226.0842428</v>
      </c>
      <c r="L23" s="13">
        <f t="shared" si="3"/>
        <v>-226.0842428</v>
      </c>
      <c r="M23" s="13">
        <f t="shared" si="3"/>
        <v>-226.0842428</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25">
      <c r="A28" s="97"/>
      <c r="B28" s="17">
        <v>13.6</v>
      </c>
      <c r="C28" s="12">
        <v>1.33</v>
      </c>
      <c r="D28" s="12">
        <v>0.245</v>
      </c>
      <c r="E28" s="12">
        <v>1.67E-2</v>
      </c>
      <c r="F28" s="12">
        <v>226</v>
      </c>
      <c r="G28" s="12">
        <v>21</v>
      </c>
      <c r="H28" s="12">
        <v>79.599999999999994</v>
      </c>
      <c r="I28" s="12">
        <v>31</v>
      </c>
      <c r="J28" s="12">
        <v>0.44</v>
      </c>
      <c r="K28" s="16">
        <v>0.75</v>
      </c>
      <c r="L28" s="12">
        <v>5.0999999999999996</v>
      </c>
      <c r="M28" s="12">
        <v>4.3</v>
      </c>
      <c r="N28" s="12">
        <v>126000</v>
      </c>
      <c r="O28" s="12">
        <v>30900</v>
      </c>
      <c r="P28" s="12"/>
      <c r="Q28" s="12">
        <v>4270</v>
      </c>
      <c r="R28" s="12"/>
      <c r="S28" s="12">
        <v>58.9</v>
      </c>
      <c r="T28" s="12"/>
      <c r="U28" s="12"/>
    </row>
    <row r="29" spans="1:40" s="7" customFormat="1" ht="27" x14ac:dyDescent="0.2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2</v>
      </c>
      <c r="B31" s="12">
        <v>70</v>
      </c>
      <c r="C31" s="68">
        <f>IF(C$27="%w/w SAR",((C$28*10)*$B31),IF(C$27="%w/w DM",(((C$28*10)*($B$28/100))*$B31),IF(C$27="kg/t SAR",(C$28*$B31),IF(C$27="kg/t DM",((C$28*($B$28/100))*$B31),IF(C$27="mg/kg SAR",((C$28*0.001)*$B31),IF(C$27="mg/kg DM",(((C$28*0.001)*($B$28/100))*$B31),0))))))</f>
        <v>126.61600000000001</v>
      </c>
      <c r="D31" s="68">
        <f>(IF(D$27="%w/w SAR",((D$28*10)*$B31),IF(D$27="%w/w DM",(((D$28*10)*($B$28/100))*$B31),IF(D$27="kg/t SAR",(D$28*$B31),IF(D$27="kg/t DM",((D$28*($B$28/100))*$B31),IF(D$27="mg/kg SAR",((D$28*0.001)*$B31),IF(D$27="mg/kg DM",(((D$28*0.001)*($B$28/100))*$B31),"0")))))))*2.291</f>
        <v>53.43528400000001</v>
      </c>
      <c r="E31" s="68">
        <f>(IF(E$27="%w/w SAR",((E$28*10)*$B31),IF(E$27="%w/w DM",(((E$28*10)*($B$28/100))*$B31),IF(E$27="kg/t SAR",(E$28*$B31),IF(E$27="kg/t DM",((E$28*($B$28/100))*$B31),IF(E$27="mg/kg SAR",((E$28*0.001)*$B31),IF(E$27="mg/kg DM",(((E$28*0.001)*($B$28/100))*$B31),"0")))))))*1.205</f>
        <v>1.9157572</v>
      </c>
      <c r="F31" s="68">
        <f>(IF(F$27="%w/w SAR",((F$28*10)*$B31),IF(F$27="%w/w DM",(((F$28*10)*($B$28/100))*$B31),IF(F$27="kg/t SAR",(F$28*$B31),IF(F$27="kg/t DM",((F$28*($B$28/100))*$B31),IF(F$27="mg/kg SAR",((F$28*0.001)*$B31),IF(F$27="mg/kg DM",(((F$28*0.001)*($B$28/100))*$B31),"0")))))))*1.658</f>
        <v>3.5672201600000002</v>
      </c>
      <c r="G31" s="68">
        <f t="shared" ref="G31:P46" si="5">IF(G$27="%w/w SAR",((G$28*10)*$B31),IF(G$27="%w/w DM",(((G$28*10)*($B$28/100))*$B31),IF(G$27="kg/t SAR",(G$28*$B31),IF(G$27="kg/t DM",((G$28*($B$28/100))*$B31),IF(G$27="mg/kg SAR",((G$28*0.001)*$B31),IF(G$27="mg/kg DM",(((G$28*0.001)*($B$28/100))*$B31),0))))))</f>
        <v>0.19992000000000004</v>
      </c>
      <c r="H31" s="68">
        <f t="shared" si="5"/>
        <v>0.75779199999999991</v>
      </c>
      <c r="I31" s="68">
        <f t="shared" si="5"/>
        <v>0.29511999999999999</v>
      </c>
      <c r="J31" s="68">
        <f t="shared" si="5"/>
        <v>4.1888000000000003E-3</v>
      </c>
      <c r="K31" s="68">
        <f t="shared" si="5"/>
        <v>7.1400000000000005E-3</v>
      </c>
      <c r="L31" s="68">
        <f t="shared" si="5"/>
        <v>4.8551999999999998E-2</v>
      </c>
      <c r="M31" s="68">
        <f t="shared" si="5"/>
        <v>4.0936E-2</v>
      </c>
      <c r="N31" s="68">
        <f t="shared" si="5"/>
        <v>1199.5200000000002</v>
      </c>
      <c r="O31" s="68">
        <f t="shared" si="5"/>
        <v>294.16800000000006</v>
      </c>
      <c r="P31" s="68">
        <f t="shared" si="5"/>
        <v>0</v>
      </c>
      <c r="Q31" s="68">
        <f>(IF(Q$27="%w/w SAR",((Q$28*10)*$B31),IF(Q$27="%w/w DM",(((Q$28*10)*($B$28/100))*$B31),IF(Q$27="kg/t SAR",(Q$28*$B31),IF(Q$27="kg/t DM",((Q$28*($B$28/100))*$B31),IF(Q$27="mg/kg SAR",((Q$28*0.001)*$B31),IF(Q$27="mg/kg DM",(((Q$28*0.001)*($B$28/100))*$B31),0)))))))*2.5</f>
        <v>101.62600000000003</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0.56072800000000012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3</v>
      </c>
      <c r="B32" s="12">
        <v>70</v>
      </c>
      <c r="C32" s="68">
        <f t="shared" ref="C32:C50" si="6">IF(C$27="%w/w SAR",((C$28*10)*$B32),IF(C$27="%w/w DM",(((C$28*10)*($B$28/100))*$B32),IF(C$27="kg/t SAR",(C$28*$B32),IF(C$27="kg/t DM",((C$28*($B$28/100))*$B32),IF(C$27="mg/kg SAR",((C$28*0.001)*$B32),IF(C$27="mg/kg DM",(((C$28*0.001)*($B$28/100))*$B32),0))))))</f>
        <v>126.61600000000001</v>
      </c>
      <c r="D32" s="68">
        <f t="shared" ref="D32:D50" si="7">(IF(D$27="%w/w SAR",((D$28*10)*$B32),IF(D$27="%w/w DM",(((D$28*10)*($B$28/100))*$B32),IF(D$27="kg/t SAR",(D$28*$B32),IF(D$27="kg/t DM",((D$28*($B$28/100))*$B32),IF(D$27="mg/kg SAR",((D$28*0.001)*$B32),IF(D$27="mg/kg DM",(((D$28*0.001)*($B$28/100))*$B32),"0")))))))*2.291</f>
        <v>53.43528400000001</v>
      </c>
      <c r="E32" s="68">
        <f t="shared" ref="E32:E50" si="8">(IF(E$27="%w/w SAR",((E$28*10)*$B32),IF(E$27="%w/w DM",(((E$28*10)*($B$28/100))*$B32),IF(E$27="kg/t SAR",(E$28*$B32),IF(E$27="kg/t DM",((E$28*($B$28/100))*$B32),IF(E$27="mg/kg SAR",((E$28*0.001)*$B32),IF(E$27="mg/kg DM",(((E$28*0.001)*($B$28/100))*$B32),"0")))))))*1.205</f>
        <v>1.9157572</v>
      </c>
      <c r="F32" s="68">
        <f t="shared" ref="F32:F50" si="9">(IF(F$27="%w/w SAR",((F$28*10)*$B32),IF(F$27="%w/w DM",(((F$28*10)*($B$28/100))*$B32),IF(F$27="kg/t SAR",(F$28*$B32),IF(F$27="kg/t DM",((F$28*($B$28/100))*$B32),IF(F$27="mg/kg SAR",((F$28*0.001)*$B32),IF(F$27="mg/kg DM",(((F$28*0.001)*($B$28/100))*$B32),"0")))))))*1.658</f>
        <v>3.5672201600000002</v>
      </c>
      <c r="G32" s="68">
        <f t="shared" si="5"/>
        <v>0.19992000000000004</v>
      </c>
      <c r="H32" s="68">
        <f t="shared" si="5"/>
        <v>0.75779199999999991</v>
      </c>
      <c r="I32" s="68">
        <f t="shared" si="5"/>
        <v>0.29511999999999999</v>
      </c>
      <c r="J32" s="68">
        <f t="shared" si="5"/>
        <v>4.1888000000000003E-3</v>
      </c>
      <c r="K32" s="68">
        <f t="shared" si="5"/>
        <v>7.1400000000000005E-3</v>
      </c>
      <c r="L32" s="68">
        <f t="shared" si="5"/>
        <v>4.8551999999999998E-2</v>
      </c>
      <c r="M32" s="68">
        <f t="shared" si="5"/>
        <v>4.0936E-2</v>
      </c>
      <c r="N32" s="68">
        <f t="shared" si="5"/>
        <v>1199.5200000000002</v>
      </c>
      <c r="O32" s="68">
        <f t="shared" si="5"/>
        <v>294.16800000000006</v>
      </c>
      <c r="P32" s="68">
        <f t="shared" si="5"/>
        <v>0</v>
      </c>
      <c r="Q32" s="68">
        <f t="shared" ref="Q32:Q50" si="10">(IF(Q$27="%w/w SAR",((Q$28*10)*$B32),IF(Q$27="%w/w DM",(((Q$28*10)*($B$28/100))*$B32),IF(Q$27="kg/t SAR",(Q$28*$B32),IF(Q$27="kg/t DM",((Q$28*($B$28/100))*$B32),IF(Q$27="mg/kg SAR",((Q$28*0.001)*$B32),IF(Q$27="mg/kg DM",(((Q$28*0.001)*($B$28/100))*$B32),0)))))))*2.5</f>
        <v>101.62600000000003</v>
      </c>
      <c r="R32" s="68">
        <f t="shared" ref="R32:U50" si="11">IF(R$27="%w/w SAR",((R$28*10)*$B32),IF(R$27="%w/w DM",(((R$28*10)*($B$28/100))*$B32),IF(R$27="kg/t SAR",(R$28*$B32),IF(R$27="kg/t DM",((R$28*($B$28/100))*$B32),IF(R$27="mg/kg SAR",((R$28*0.001)*$B32),IF(R$27="mg/kg DM",(((R$28*0.001)*($B$28/100))*$B32),0))))))</f>
        <v>0</v>
      </c>
      <c r="S32" s="68">
        <f t="shared" si="11"/>
        <v>0.56072800000000012</v>
      </c>
      <c r="T32" s="68">
        <f t="shared" si="11"/>
        <v>0</v>
      </c>
      <c r="U32" s="68">
        <f t="shared" si="11"/>
        <v>0</v>
      </c>
    </row>
    <row r="33" spans="1:21" s="51" customFormat="1" x14ac:dyDescent="0.25">
      <c r="A33" s="10">
        <f>E8</f>
        <v>4</v>
      </c>
      <c r="B33" s="12">
        <v>70</v>
      </c>
      <c r="C33" s="68">
        <f t="shared" si="6"/>
        <v>126.61600000000001</v>
      </c>
      <c r="D33" s="68">
        <f t="shared" si="7"/>
        <v>53.43528400000001</v>
      </c>
      <c r="E33" s="68">
        <f t="shared" si="8"/>
        <v>1.9157572</v>
      </c>
      <c r="F33" s="68">
        <f t="shared" si="9"/>
        <v>3.5672201600000002</v>
      </c>
      <c r="G33" s="68">
        <f t="shared" si="5"/>
        <v>0.19992000000000004</v>
      </c>
      <c r="H33" s="68">
        <f t="shared" si="5"/>
        <v>0.75779199999999991</v>
      </c>
      <c r="I33" s="68">
        <f t="shared" si="5"/>
        <v>0.29511999999999999</v>
      </c>
      <c r="J33" s="68">
        <f t="shared" si="5"/>
        <v>4.1888000000000003E-3</v>
      </c>
      <c r="K33" s="68">
        <f t="shared" si="5"/>
        <v>7.1400000000000005E-3</v>
      </c>
      <c r="L33" s="68">
        <f t="shared" si="5"/>
        <v>4.8551999999999998E-2</v>
      </c>
      <c r="M33" s="68">
        <f t="shared" si="5"/>
        <v>4.0936E-2</v>
      </c>
      <c r="N33" s="68">
        <f t="shared" si="5"/>
        <v>1199.5200000000002</v>
      </c>
      <c r="O33" s="68">
        <f t="shared" si="5"/>
        <v>294.16800000000006</v>
      </c>
      <c r="P33" s="68">
        <f t="shared" si="5"/>
        <v>0</v>
      </c>
      <c r="Q33" s="68">
        <f t="shared" si="10"/>
        <v>101.62600000000003</v>
      </c>
      <c r="R33" s="68">
        <f t="shared" si="11"/>
        <v>0</v>
      </c>
      <c r="S33" s="68">
        <f t="shared" si="11"/>
        <v>0.56072800000000012</v>
      </c>
      <c r="T33" s="68">
        <f t="shared" si="11"/>
        <v>0</v>
      </c>
      <c r="U33" s="68">
        <f t="shared" si="11"/>
        <v>0</v>
      </c>
    </row>
    <row r="34" spans="1:21" s="51" customFormat="1" x14ac:dyDescent="0.25">
      <c r="A34" s="10">
        <f>F8</f>
        <v>10</v>
      </c>
      <c r="B34" s="12">
        <v>61</v>
      </c>
      <c r="C34" s="68">
        <f t="shared" si="6"/>
        <v>110.33680000000001</v>
      </c>
      <c r="D34" s="68">
        <f t="shared" si="7"/>
        <v>46.565033200000002</v>
      </c>
      <c r="E34" s="68">
        <f t="shared" si="8"/>
        <v>1.66944556</v>
      </c>
      <c r="F34" s="68">
        <f t="shared" si="9"/>
        <v>3.1085775679999998</v>
      </c>
      <c r="G34" s="68">
        <f t="shared" si="5"/>
        <v>0.17421600000000004</v>
      </c>
      <c r="H34" s="68">
        <f t="shared" si="5"/>
        <v>0.66036159999999999</v>
      </c>
      <c r="I34" s="68">
        <f t="shared" si="5"/>
        <v>0.25717600000000002</v>
      </c>
      <c r="J34" s="68">
        <f t="shared" si="5"/>
        <v>3.6502400000000003E-3</v>
      </c>
      <c r="K34" s="68">
        <f t="shared" si="5"/>
        <v>6.222000000000001E-3</v>
      </c>
      <c r="L34" s="68">
        <f t="shared" si="5"/>
        <v>4.2309599999999996E-2</v>
      </c>
      <c r="M34" s="68">
        <f t="shared" si="5"/>
        <v>3.5672799999999998E-2</v>
      </c>
      <c r="N34" s="68">
        <f t="shared" si="5"/>
        <v>1045.2960000000003</v>
      </c>
      <c r="O34" s="68">
        <f t="shared" si="5"/>
        <v>256.34640000000007</v>
      </c>
      <c r="P34" s="68">
        <f t="shared" si="5"/>
        <v>0</v>
      </c>
      <c r="Q34" s="68">
        <f t="shared" si="10"/>
        <v>88.559800000000024</v>
      </c>
      <c r="R34" s="68">
        <f t="shared" si="11"/>
        <v>0</v>
      </c>
      <c r="S34" s="68">
        <f t="shared" si="11"/>
        <v>0.48863440000000002</v>
      </c>
      <c r="T34" s="68">
        <f t="shared" si="11"/>
        <v>0</v>
      </c>
      <c r="U34" s="68">
        <f t="shared" si="11"/>
        <v>0</v>
      </c>
    </row>
    <row r="35" spans="1:21" s="51" customFormat="1" x14ac:dyDescent="0.25">
      <c r="A35" s="10">
        <f>G8</f>
        <v>20</v>
      </c>
      <c r="B35" s="12">
        <v>70</v>
      </c>
      <c r="C35" s="68">
        <f t="shared" si="6"/>
        <v>126.61600000000001</v>
      </c>
      <c r="D35" s="68">
        <f t="shared" si="7"/>
        <v>53.43528400000001</v>
      </c>
      <c r="E35" s="68">
        <f t="shared" si="8"/>
        <v>1.9157572</v>
      </c>
      <c r="F35" s="68">
        <f t="shared" si="9"/>
        <v>3.5672201600000002</v>
      </c>
      <c r="G35" s="68">
        <f t="shared" si="5"/>
        <v>0.19992000000000004</v>
      </c>
      <c r="H35" s="68">
        <f t="shared" si="5"/>
        <v>0.75779199999999991</v>
      </c>
      <c r="I35" s="68">
        <f t="shared" si="5"/>
        <v>0.29511999999999999</v>
      </c>
      <c r="J35" s="68">
        <f t="shared" si="5"/>
        <v>4.1888000000000003E-3</v>
      </c>
      <c r="K35" s="68">
        <f t="shared" si="5"/>
        <v>7.1400000000000005E-3</v>
      </c>
      <c r="L35" s="68">
        <f t="shared" si="5"/>
        <v>4.8551999999999998E-2</v>
      </c>
      <c r="M35" s="68">
        <f t="shared" si="5"/>
        <v>4.0936E-2</v>
      </c>
      <c r="N35" s="68">
        <f t="shared" si="5"/>
        <v>1199.5200000000002</v>
      </c>
      <c r="O35" s="68">
        <f t="shared" si="5"/>
        <v>294.16800000000006</v>
      </c>
      <c r="P35" s="68">
        <f t="shared" si="5"/>
        <v>0</v>
      </c>
      <c r="Q35" s="68">
        <f t="shared" si="10"/>
        <v>101.62600000000003</v>
      </c>
      <c r="R35" s="68">
        <f t="shared" si="11"/>
        <v>0</v>
      </c>
      <c r="S35" s="68">
        <f t="shared" si="11"/>
        <v>0.56072800000000012</v>
      </c>
      <c r="T35" s="68">
        <f t="shared" si="11"/>
        <v>0</v>
      </c>
      <c r="U35" s="68">
        <f t="shared" si="11"/>
        <v>0</v>
      </c>
    </row>
    <row r="36" spans="1:21" s="51" customFormat="1" x14ac:dyDescent="0.25">
      <c r="A36" s="10">
        <f>H8</f>
        <v>7886</v>
      </c>
      <c r="B36" s="12">
        <v>70</v>
      </c>
      <c r="C36" s="68">
        <f t="shared" si="6"/>
        <v>126.61600000000001</v>
      </c>
      <c r="D36" s="68">
        <f t="shared" si="7"/>
        <v>53.43528400000001</v>
      </c>
      <c r="E36" s="68">
        <f t="shared" si="8"/>
        <v>1.9157572</v>
      </c>
      <c r="F36" s="68">
        <f t="shared" si="9"/>
        <v>3.5672201600000002</v>
      </c>
      <c r="G36" s="68">
        <f t="shared" si="5"/>
        <v>0.19992000000000004</v>
      </c>
      <c r="H36" s="68">
        <f t="shared" si="5"/>
        <v>0.75779199999999991</v>
      </c>
      <c r="I36" s="68">
        <f t="shared" si="5"/>
        <v>0.29511999999999999</v>
      </c>
      <c r="J36" s="68">
        <f t="shared" si="5"/>
        <v>4.1888000000000003E-3</v>
      </c>
      <c r="K36" s="68">
        <f t="shared" si="5"/>
        <v>7.1400000000000005E-3</v>
      </c>
      <c r="L36" s="68">
        <f t="shared" si="5"/>
        <v>4.8551999999999998E-2</v>
      </c>
      <c r="M36" s="68">
        <f t="shared" si="5"/>
        <v>4.0936E-2</v>
      </c>
      <c r="N36" s="68">
        <f t="shared" si="5"/>
        <v>1199.5200000000002</v>
      </c>
      <c r="O36" s="68">
        <f t="shared" si="5"/>
        <v>294.16800000000006</v>
      </c>
      <c r="P36" s="68">
        <f t="shared" si="5"/>
        <v>0</v>
      </c>
      <c r="Q36" s="68">
        <f t="shared" si="10"/>
        <v>101.62600000000003</v>
      </c>
      <c r="R36" s="68">
        <f t="shared" si="11"/>
        <v>0</v>
      </c>
      <c r="S36" s="68">
        <f t="shared" si="11"/>
        <v>0.56072800000000012</v>
      </c>
      <c r="T36" s="68">
        <f t="shared" si="11"/>
        <v>0</v>
      </c>
      <c r="U36" s="68">
        <f t="shared" si="11"/>
        <v>0</v>
      </c>
    </row>
    <row r="37" spans="1:21" s="51" customFormat="1" x14ac:dyDescent="0.25">
      <c r="A37" s="10">
        <f>I8</f>
        <v>8440</v>
      </c>
      <c r="B37" s="12">
        <v>0</v>
      </c>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8087</v>
      </c>
      <c r="B38" s="12">
        <v>70</v>
      </c>
      <c r="C38" s="68">
        <f t="shared" si="6"/>
        <v>126.61600000000001</v>
      </c>
      <c r="D38" s="68">
        <f t="shared" si="7"/>
        <v>53.43528400000001</v>
      </c>
      <c r="E38" s="68">
        <f t="shared" si="8"/>
        <v>1.9157572</v>
      </c>
      <c r="F38" s="68">
        <f t="shared" si="9"/>
        <v>3.5672201600000002</v>
      </c>
      <c r="G38" s="68">
        <f t="shared" si="5"/>
        <v>0.19992000000000004</v>
      </c>
      <c r="H38" s="68">
        <f t="shared" si="5"/>
        <v>0.75779199999999991</v>
      </c>
      <c r="I38" s="68">
        <f t="shared" si="5"/>
        <v>0.29511999999999999</v>
      </c>
      <c r="J38" s="68">
        <f t="shared" si="5"/>
        <v>4.1888000000000003E-3</v>
      </c>
      <c r="K38" s="68">
        <f t="shared" si="5"/>
        <v>7.1400000000000005E-3</v>
      </c>
      <c r="L38" s="68">
        <f t="shared" si="5"/>
        <v>4.8551999999999998E-2</v>
      </c>
      <c r="M38" s="68">
        <f t="shared" si="5"/>
        <v>4.0936E-2</v>
      </c>
      <c r="N38" s="68">
        <f t="shared" si="5"/>
        <v>1199.5200000000002</v>
      </c>
      <c r="O38" s="68">
        <f t="shared" si="5"/>
        <v>294.16800000000006</v>
      </c>
      <c r="P38" s="68">
        <f t="shared" si="5"/>
        <v>0</v>
      </c>
      <c r="Q38" s="68">
        <f t="shared" si="10"/>
        <v>101.62600000000003</v>
      </c>
      <c r="R38" s="68">
        <f t="shared" si="11"/>
        <v>0</v>
      </c>
      <c r="S38" s="68">
        <f t="shared" si="11"/>
        <v>0.56072800000000012</v>
      </c>
      <c r="T38" s="68">
        <f t="shared" si="11"/>
        <v>0</v>
      </c>
      <c r="U38" s="68">
        <f t="shared" si="11"/>
        <v>0</v>
      </c>
    </row>
    <row r="39" spans="1:21" s="51" customFormat="1" x14ac:dyDescent="0.25">
      <c r="A39" s="10">
        <f>K8</f>
        <v>8019</v>
      </c>
      <c r="B39" s="12">
        <v>70</v>
      </c>
      <c r="C39" s="68">
        <f t="shared" si="6"/>
        <v>126.61600000000001</v>
      </c>
      <c r="D39" s="68">
        <f t="shared" si="7"/>
        <v>53.43528400000001</v>
      </c>
      <c r="E39" s="68">
        <f t="shared" si="8"/>
        <v>1.9157572</v>
      </c>
      <c r="F39" s="68">
        <f t="shared" si="9"/>
        <v>3.5672201600000002</v>
      </c>
      <c r="G39" s="68">
        <f t="shared" si="5"/>
        <v>0.19992000000000004</v>
      </c>
      <c r="H39" s="68">
        <f t="shared" si="5"/>
        <v>0.75779199999999991</v>
      </c>
      <c r="I39" s="68">
        <f t="shared" si="5"/>
        <v>0.29511999999999999</v>
      </c>
      <c r="J39" s="68">
        <f t="shared" si="5"/>
        <v>4.1888000000000003E-3</v>
      </c>
      <c r="K39" s="68">
        <f t="shared" si="5"/>
        <v>7.1400000000000005E-3</v>
      </c>
      <c r="L39" s="68">
        <f t="shared" si="5"/>
        <v>4.8551999999999998E-2</v>
      </c>
      <c r="M39" s="68">
        <f t="shared" si="5"/>
        <v>4.0936E-2</v>
      </c>
      <c r="N39" s="68">
        <f t="shared" si="5"/>
        <v>1199.5200000000002</v>
      </c>
      <c r="O39" s="68">
        <f t="shared" si="5"/>
        <v>294.16800000000006</v>
      </c>
      <c r="P39" s="68">
        <f t="shared" si="5"/>
        <v>0</v>
      </c>
      <c r="Q39" s="68">
        <f t="shared" si="10"/>
        <v>101.62600000000003</v>
      </c>
      <c r="R39" s="68">
        <f t="shared" si="11"/>
        <v>0</v>
      </c>
      <c r="S39" s="68">
        <f t="shared" si="11"/>
        <v>0.56072800000000012</v>
      </c>
      <c r="T39" s="68">
        <f t="shared" si="11"/>
        <v>0</v>
      </c>
      <c r="U39" s="68">
        <f t="shared" si="11"/>
        <v>0</v>
      </c>
    </row>
    <row r="40" spans="1:21" s="51" customFormat="1" x14ac:dyDescent="0.25">
      <c r="A40" s="10">
        <f>L8</f>
        <v>234</v>
      </c>
      <c r="B40" s="12">
        <v>70</v>
      </c>
      <c r="C40" s="68">
        <f t="shared" si="6"/>
        <v>126.61600000000001</v>
      </c>
      <c r="D40" s="68">
        <f t="shared" si="7"/>
        <v>53.43528400000001</v>
      </c>
      <c r="E40" s="68">
        <f t="shared" si="8"/>
        <v>1.9157572</v>
      </c>
      <c r="F40" s="68">
        <f t="shared" si="9"/>
        <v>3.5672201600000002</v>
      </c>
      <c r="G40" s="68">
        <f t="shared" si="5"/>
        <v>0.19992000000000004</v>
      </c>
      <c r="H40" s="68">
        <f t="shared" si="5"/>
        <v>0.75779199999999991</v>
      </c>
      <c r="I40" s="68">
        <f t="shared" si="5"/>
        <v>0.29511999999999999</v>
      </c>
      <c r="J40" s="68">
        <f t="shared" si="5"/>
        <v>4.1888000000000003E-3</v>
      </c>
      <c r="K40" s="68">
        <f t="shared" si="5"/>
        <v>7.1400000000000005E-3</v>
      </c>
      <c r="L40" s="68">
        <f t="shared" si="5"/>
        <v>4.8551999999999998E-2</v>
      </c>
      <c r="M40" s="68">
        <f t="shared" si="5"/>
        <v>4.0936E-2</v>
      </c>
      <c r="N40" s="68">
        <f t="shared" si="5"/>
        <v>1199.5200000000002</v>
      </c>
      <c r="O40" s="68">
        <f t="shared" si="5"/>
        <v>294.16800000000006</v>
      </c>
      <c r="P40" s="68">
        <f t="shared" si="5"/>
        <v>0</v>
      </c>
      <c r="Q40" s="68">
        <f t="shared" si="10"/>
        <v>101.62600000000003</v>
      </c>
      <c r="R40" s="68">
        <f t="shared" si="11"/>
        <v>0</v>
      </c>
      <c r="S40" s="68">
        <f t="shared" si="11"/>
        <v>0.56072800000000012</v>
      </c>
      <c r="T40" s="68">
        <f t="shared" si="11"/>
        <v>0</v>
      </c>
      <c r="U40" s="68">
        <f t="shared" si="11"/>
        <v>0</v>
      </c>
    </row>
    <row r="41" spans="1:21" s="51" customFormat="1" x14ac:dyDescent="0.25">
      <c r="A41" s="10">
        <f>M8</f>
        <v>1735</v>
      </c>
      <c r="B41" s="12">
        <v>70</v>
      </c>
      <c r="C41" s="68">
        <f t="shared" si="6"/>
        <v>126.61600000000001</v>
      </c>
      <c r="D41" s="68">
        <f t="shared" si="7"/>
        <v>53.43528400000001</v>
      </c>
      <c r="E41" s="68">
        <f t="shared" si="8"/>
        <v>1.9157572</v>
      </c>
      <c r="F41" s="68">
        <f t="shared" si="9"/>
        <v>3.5672201600000002</v>
      </c>
      <c r="G41" s="68">
        <f t="shared" si="5"/>
        <v>0.19992000000000004</v>
      </c>
      <c r="H41" s="68">
        <f t="shared" si="5"/>
        <v>0.75779199999999991</v>
      </c>
      <c r="I41" s="68">
        <f t="shared" si="5"/>
        <v>0.29511999999999999</v>
      </c>
      <c r="J41" s="68">
        <f t="shared" si="5"/>
        <v>4.1888000000000003E-3</v>
      </c>
      <c r="K41" s="68">
        <f t="shared" si="5"/>
        <v>7.1400000000000005E-3</v>
      </c>
      <c r="L41" s="68">
        <f t="shared" si="5"/>
        <v>4.8551999999999998E-2</v>
      </c>
      <c r="M41" s="68">
        <f t="shared" si="5"/>
        <v>4.0936E-2</v>
      </c>
      <c r="N41" s="68">
        <f t="shared" si="5"/>
        <v>1199.5200000000002</v>
      </c>
      <c r="O41" s="68">
        <f t="shared" si="5"/>
        <v>294.16800000000006</v>
      </c>
      <c r="P41" s="68">
        <f t="shared" si="5"/>
        <v>0</v>
      </c>
      <c r="Q41" s="68">
        <f t="shared" si="10"/>
        <v>101.62600000000003</v>
      </c>
      <c r="R41" s="68">
        <f t="shared" si="11"/>
        <v>0</v>
      </c>
      <c r="S41" s="68">
        <f t="shared" si="11"/>
        <v>0.56072800000000012</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2</v>
      </c>
      <c r="C57" s="8">
        <f t="shared" ref="C57:U57" si="13">D8</f>
        <v>3</v>
      </c>
      <c r="D57" s="8">
        <f t="shared" si="13"/>
        <v>4</v>
      </c>
      <c r="E57" s="8">
        <f t="shared" si="13"/>
        <v>10</v>
      </c>
      <c r="F57" s="8">
        <f t="shared" si="13"/>
        <v>20</v>
      </c>
      <c r="G57" s="8">
        <f t="shared" si="13"/>
        <v>7886</v>
      </c>
      <c r="H57" s="8">
        <f t="shared" si="13"/>
        <v>8440</v>
      </c>
      <c r="I57" s="8">
        <f t="shared" si="13"/>
        <v>8087</v>
      </c>
      <c r="J57" s="8">
        <f t="shared" si="13"/>
        <v>8019</v>
      </c>
      <c r="K57" s="8">
        <f t="shared" si="13"/>
        <v>234</v>
      </c>
      <c r="L57" s="8">
        <f t="shared" si="13"/>
        <v>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Arable</v>
      </c>
      <c r="F58" s="10" t="str">
        <f>G16&amp;" I "&amp;(VLOOKUP(G14,Table24581113[],6,FALSE))</f>
        <v>Medium/Clay I Grass</v>
      </c>
      <c r="G58" s="10" t="str">
        <f>H16&amp;" I "&amp;(VLOOKUP(H14,Table24581113[],6,FALSE))</f>
        <v>Medium/Clay I Arable</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100" t="s">
        <v>132</v>
      </c>
      <c r="B59" s="67">
        <f>VLOOKUP(C$14,Table24581113[],5,FALSE)</f>
        <v>6.2</v>
      </c>
      <c r="C59" s="67">
        <f>VLOOKUP(D$14,Table24581113[],5,FALSE)</f>
        <v>6.2</v>
      </c>
      <c r="D59" s="67">
        <f>VLOOKUP(E$14,Table24581113[],5,FALSE)</f>
        <v>6.2</v>
      </c>
      <c r="E59" s="67">
        <f>VLOOKUP(F$14,Table24581113[],5,FALSE)</f>
        <v>6.7</v>
      </c>
      <c r="F59" s="67">
        <f>VLOOKUP(G$14,Table24581113[],5,FALSE)</f>
        <v>6.2</v>
      </c>
      <c r="G59" s="67">
        <f>VLOOKUP(H$14,Table24581113[],5,FALSE)</f>
        <v>6.7</v>
      </c>
      <c r="H59" s="67">
        <f>VLOOKUP(I$14,Table24581113[],5,FALSE)</f>
        <v>6.2</v>
      </c>
      <c r="I59" s="67">
        <f>VLOOKUP(J$14,Table24581113[],5,FALSE)</f>
        <v>6.2</v>
      </c>
      <c r="J59" s="67">
        <f>VLOOKUP(K$14,Table24581113[],5,FALSE)</f>
        <v>6.2</v>
      </c>
      <c r="K59" s="67">
        <f>VLOOKUP(L$14,Table24581113[],5,FALSE)</f>
        <v>6.2</v>
      </c>
      <c r="L59" s="67">
        <f>VLOOKUP(M$14,Table24581113[],5,FALSE)</f>
        <v>6.2</v>
      </c>
      <c r="M59" s="67" t="e">
        <f>VLOOKUP(N$14,Table24581113[],5,FALSE)</f>
        <v>#N/A</v>
      </c>
      <c r="N59" s="67" t="e">
        <f>VLOOKUP(O$14,Table24581113[],5,FALSE)</f>
        <v>#N/A</v>
      </c>
      <c r="O59" s="67" t="e">
        <f>VLOOKUP(P$14,Table24581113[],5,FALSE)</f>
        <v>#N/A</v>
      </c>
      <c r="P59" s="67" t="e">
        <f>VLOOKUP(Q$14,Table24581113[],5,FALSE)</f>
        <v>#N/A</v>
      </c>
      <c r="Q59" s="67" t="e">
        <f>VLOOKUP(R$14,Table24581113[],5,FALSE)</f>
        <v>#N/A</v>
      </c>
      <c r="R59" s="67" t="e">
        <f>VLOOKUP(S$14,Table24581113[],5,FALSE)</f>
        <v>#N/A</v>
      </c>
      <c r="S59" s="67" t="e">
        <f>VLOOKUP(T$14,Table24581113[],5,FALSE)</f>
        <v>#N/A</v>
      </c>
      <c r="T59" s="67" t="e">
        <f>VLOOKUP(U$14,Table24581113[],5,FALSE)</f>
        <v>#N/A</v>
      </c>
      <c r="U59" s="67" t="e">
        <f>VLOOKUP(V$14,Table24581113[],5,FALSE)</f>
        <v>#N/A</v>
      </c>
    </row>
    <row r="60" spans="1:21" x14ac:dyDescent="0.2">
      <c r="A60" s="100" t="s">
        <v>4</v>
      </c>
      <c r="B60" s="67">
        <f>C10</f>
        <v>7</v>
      </c>
      <c r="C60" s="67">
        <f t="shared" ref="C60:U60" si="14">D10</f>
        <v>6.4</v>
      </c>
      <c r="D60" s="67">
        <f t="shared" si="14"/>
        <v>6.1</v>
      </c>
      <c r="E60" s="67">
        <f t="shared" si="14"/>
        <v>6.7</v>
      </c>
      <c r="F60" s="67">
        <f t="shared" si="14"/>
        <v>6.3</v>
      </c>
      <c r="G60" s="67">
        <f t="shared" si="14"/>
        <v>6.6</v>
      </c>
      <c r="H60" s="67">
        <f t="shared" si="14"/>
        <v>5.6</v>
      </c>
      <c r="I60" s="67">
        <f t="shared" si="14"/>
        <v>6.2</v>
      </c>
      <c r="J60" s="67">
        <f t="shared" si="14"/>
        <v>6.4</v>
      </c>
      <c r="K60" s="67">
        <f t="shared" si="14"/>
        <v>6.2</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8</v>
      </c>
      <c r="F61" s="67">
        <f t="shared" si="15"/>
        <v>6</v>
      </c>
      <c r="G61" s="67">
        <f t="shared" si="15"/>
        <v>8</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70</v>
      </c>
      <c r="C62" s="68">
        <f>B32</f>
        <v>70</v>
      </c>
      <c r="D62" s="68">
        <f>B33</f>
        <v>70</v>
      </c>
      <c r="E62" s="68">
        <f>B34</f>
        <v>61</v>
      </c>
      <c r="F62" s="68">
        <f>B35</f>
        <v>70</v>
      </c>
      <c r="G62" s="68">
        <f>B36</f>
        <v>70</v>
      </c>
      <c r="H62" s="68">
        <f>B37</f>
        <v>0</v>
      </c>
      <c r="I62" s="68">
        <f>B38</f>
        <v>70</v>
      </c>
      <c r="J62" s="68">
        <f>B39</f>
        <v>70</v>
      </c>
      <c r="K62" s="68">
        <f>B40</f>
        <v>70</v>
      </c>
      <c r="L62" s="68">
        <f>B41</f>
        <v>70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-4.7999999999999989</v>
      </c>
      <c r="C64" s="68">
        <f t="shared" ref="C64:U64" si="17">(C59-C60)*C61</f>
        <v>-1.2000000000000011</v>
      </c>
      <c r="D64" s="68">
        <f t="shared" si="17"/>
        <v>0.6000000000000032</v>
      </c>
      <c r="E64" s="68">
        <f t="shared" si="17"/>
        <v>0</v>
      </c>
      <c r="F64" s="68">
        <f t="shared" si="17"/>
        <v>-0.59999999999999787</v>
      </c>
      <c r="G64" s="68">
        <f t="shared" si="17"/>
        <v>0.80000000000000426</v>
      </c>
      <c r="H64" s="68">
        <f t="shared" si="17"/>
        <v>3.6000000000000032</v>
      </c>
      <c r="I64" s="68">
        <f t="shared" si="17"/>
        <v>0</v>
      </c>
      <c r="J64" s="68">
        <f t="shared" si="17"/>
        <v>-1.2000000000000011</v>
      </c>
      <c r="K64" s="68">
        <f t="shared" si="17"/>
        <v>0</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4.7999999999999989</v>
      </c>
      <c r="C65" s="68">
        <f t="shared" ref="C65:U65" si="18">C63-C64</f>
        <v>1.2000000000000011</v>
      </c>
      <c r="D65" s="68">
        <f t="shared" si="18"/>
        <v>-0.6000000000000032</v>
      </c>
      <c r="E65" s="68">
        <f t="shared" si="18"/>
        <v>0</v>
      </c>
      <c r="F65" s="68">
        <f t="shared" si="18"/>
        <v>0.59999999999999787</v>
      </c>
      <c r="G65" s="68">
        <f t="shared" si="18"/>
        <v>-0.80000000000000426</v>
      </c>
      <c r="H65" s="68">
        <f t="shared" si="18"/>
        <v>-3.6000000000000032</v>
      </c>
      <c r="I65" s="68">
        <f t="shared" si="18"/>
        <v>0</v>
      </c>
      <c r="J65" s="68">
        <f t="shared" si="18"/>
        <v>1.2000000000000011</v>
      </c>
      <c r="K65" s="68">
        <f t="shared" si="18"/>
        <v>0</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UNDER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3" priority="36" operator="greaterThan">
      <formula>$B$51</formula>
    </cfRule>
  </conditionalFormatting>
  <conditionalFormatting sqref="B66:U66">
    <cfRule type="cellIs" dxfId="82" priority="11" operator="equal">
      <formula>"UNDER"</formula>
    </cfRule>
    <cfRule type="cellIs" dxfId="81" priority="12" operator="equal">
      <formula>"OVER"</formula>
    </cfRule>
  </conditionalFormatting>
  <conditionalFormatting sqref="C31:C50">
    <cfRule type="cellIs" dxfId="80" priority="35" operator="greaterThan">
      <formula>$C$51</formula>
    </cfRule>
  </conditionalFormatting>
  <conditionalFormatting sqref="C17:V19">
    <cfRule type="cellIs" dxfId="79" priority="32" operator="equal">
      <formula>0</formula>
    </cfRule>
  </conditionalFormatting>
  <conditionalFormatting sqref="C20:V21">
    <cfRule type="cellIs" dxfId="78" priority="37" operator="equal">
      <formula>"DECREASE"</formula>
    </cfRule>
    <cfRule type="cellIs" dxfId="77" priority="38" operator="equal">
      <formula>"INCREASE"</formula>
    </cfRule>
  </conditionalFormatting>
  <conditionalFormatting sqref="C21:V21">
    <cfRule type="cellIs" dxfId="76" priority="13" operator="equal">
      <formula>0</formula>
    </cfRule>
  </conditionalFormatting>
  <conditionalFormatting sqref="C22:V23">
    <cfRule type="cellIs" dxfId="75" priority="17" operator="equal">
      <formula>0</formula>
    </cfRule>
  </conditionalFormatting>
  <conditionalFormatting sqref="C24:V24">
    <cfRule type="cellIs" dxfId="74" priority="18" operator="equal">
      <formula>"DECREASE"</formula>
    </cfRule>
    <cfRule type="cellIs" dxfId="73" priority="19"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3" operator="between">
      <formula>0.1</formula>
      <formula>5</formula>
    </cfRule>
  </conditionalFormatting>
  <conditionalFormatting sqref="I2">
    <cfRule type="cellIs" dxfId="69" priority="2" operator="greaterThan">
      <formula>5000.1</formula>
    </cfRule>
  </conditionalFormatting>
  <conditionalFormatting sqref="I3">
    <cfRule type="cellIs" dxfId="68" priority="1" operator="greaterThan">
      <formula>40000.01</formula>
    </cfRule>
  </conditionalFormatting>
  <conditionalFormatting sqref="I31:I50">
    <cfRule type="cellIs" dxfId="67" priority="29" operator="greaterThan">
      <formula>$I$51</formula>
    </cfRule>
  </conditionalFormatting>
  <conditionalFormatting sqref="J31:J50">
    <cfRule type="cellIs" dxfId="66" priority="8" operator="greaterThan">
      <formula>$J$51</formula>
    </cfRule>
  </conditionalFormatting>
  <conditionalFormatting sqref="K31:K50">
    <cfRule type="cellIs" dxfId="65" priority="28" operator="greaterThan">
      <formula>$K$51</formula>
    </cfRule>
  </conditionalFormatting>
  <conditionalFormatting sqref="L3">
    <cfRule type="cellIs" dxfId="64" priority="4" operator="lessThan">
      <formula>30</formula>
    </cfRule>
    <cfRule type="cellIs" dxfId="63" priority="5" operator="greaterThanOrEqual">
      <formula>30</formula>
    </cfRule>
  </conditionalFormatting>
  <conditionalFormatting sqref="L31:L50">
    <cfRule type="cellIs" dxfId="62" priority="27" operator="greaterThan">
      <formula>$L$51</formula>
    </cfRule>
  </conditionalFormatting>
  <conditionalFormatting sqref="M31:M50">
    <cfRule type="cellIs" dxfId="61" priority="26" operator="greaterThan">
      <formula>$M$51</formula>
    </cfRule>
  </conditionalFormatting>
  <conditionalFormatting sqref="P31:P50">
    <cfRule type="cellIs" dxfId="60" priority="25" operator="greaterThan">
      <formula>$P$51</formula>
    </cfRule>
  </conditionalFormatting>
  <conditionalFormatting sqref="R31:R50">
    <cfRule type="cellIs" dxfId="59" priority="24" operator="greaterThan">
      <formula>$R$51</formula>
    </cfRule>
  </conditionalFormatting>
  <conditionalFormatting sqref="S31:S50">
    <cfRule type="cellIs" dxfId="58" priority="23" operator="greaterThan">
      <formula>$S$51</formula>
    </cfRule>
  </conditionalFormatting>
  <conditionalFormatting sqref="T31:T50">
    <cfRule type="cellIs" dxfId="57" priority="22" operator="greaterThan">
      <formula>$T$51</formula>
    </cfRule>
  </conditionalFormatting>
  <conditionalFormatting sqref="U31:U50">
    <cfRule type="cellIs" dxfId="56" priority="21"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B10" zoomScale="90" zoomScaleNormal="90" workbookViewId="0">
      <selection activeCell="B28" sqref="B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7" t="str">
        <f>'Field data and Waste 1'!C1:D1</f>
        <v>PAN-026719</v>
      </c>
      <c r="D1" s="128"/>
      <c r="E1" s="83" t="s">
        <v>45</v>
      </c>
      <c r="F1" s="32">
        <f>'Field data and Waste 1'!F1</f>
        <v>49.7</v>
      </c>
      <c r="G1" s="110" t="s">
        <v>43</v>
      </c>
      <c r="H1" s="111"/>
      <c r="I1" s="86">
        <v>6.3</v>
      </c>
      <c r="J1" s="114" t="s">
        <v>153</v>
      </c>
      <c r="K1" s="114"/>
      <c r="L1" s="86">
        <v>50.4</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29" t="str">
        <f>'Field data and Waste 1'!C2:D2</f>
        <v>EPR/AB3891CX</v>
      </c>
      <c r="D2" s="130"/>
      <c r="E2" s="83" t="s">
        <v>109</v>
      </c>
      <c r="F2" s="86" t="s">
        <v>173</v>
      </c>
      <c r="G2" s="112" t="s">
        <v>110</v>
      </c>
      <c r="H2" s="113"/>
      <c r="I2" s="86"/>
      <c r="J2" s="114" t="s">
        <v>158</v>
      </c>
      <c r="K2" s="114"/>
      <c r="L2" s="86">
        <v>1.3</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29" t="str">
        <f>'Field data and Waste 1'!C3:D3</f>
        <v>Stepside Agri</v>
      </c>
      <c r="D3" s="130"/>
      <c r="E3" s="83" t="s">
        <v>108</v>
      </c>
      <c r="F3" s="24" t="s">
        <v>104</v>
      </c>
      <c r="G3" s="114" t="s">
        <v>159</v>
      </c>
      <c r="H3" s="114"/>
      <c r="I3" s="86"/>
      <c r="J3" s="110" t="s">
        <v>154</v>
      </c>
      <c r="K3" s="111"/>
      <c r="L3" s="86">
        <f>(L1/(L2*10000))*100</f>
        <v>0.38769230769230767</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7" t="str">
        <f>'Field data and Waste 1'!C4:D4</f>
        <v>Castell Malgwyn Farm, Llechryd, Cardigan, Ceredigion, SA43 2QB</v>
      </c>
      <c r="D4" s="128"/>
      <c r="E4" s="84" t="s">
        <v>1</v>
      </c>
      <c r="F4" s="86" t="s">
        <v>177</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7" t="str">
        <f>'Field data and Waste 1'!C5:D5</f>
        <v>Ethan Banfield</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Waste 1'!C8</f>
        <v>2</v>
      </c>
      <c r="D8" s="52">
        <f>'Field data and Waste 1'!D8</f>
        <v>3</v>
      </c>
      <c r="E8" s="52">
        <f>'Field data and Waste 1'!E8</f>
        <v>4</v>
      </c>
      <c r="F8" s="52">
        <f>'Field data and Waste 1'!F8</f>
        <v>10</v>
      </c>
      <c r="G8" s="52">
        <f>'Field data and Waste 1'!G8</f>
        <v>20</v>
      </c>
      <c r="H8" s="52">
        <f>'Field data and Waste 1'!H8</f>
        <v>7886</v>
      </c>
      <c r="I8" s="52">
        <f>'Field data and Waste 1'!I8</f>
        <v>8440</v>
      </c>
      <c r="J8" s="52">
        <f>'Field data and Waste 1'!J8</f>
        <v>8087</v>
      </c>
      <c r="K8" s="52">
        <f>'Field data and Waste 1'!K8</f>
        <v>8019</v>
      </c>
      <c r="L8" s="52">
        <f>'Field data and Waste 1'!L8</f>
        <v>234</v>
      </c>
      <c r="M8" s="52">
        <f>'Field data and Waste 1'!M8</f>
        <v>1735</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Waste 1'!C9</f>
        <v>Moderate</v>
      </c>
      <c r="D9" s="52" t="str">
        <f>'Field data and Waste 1'!D9</f>
        <v>Moderate</v>
      </c>
      <c r="E9" s="52" t="str">
        <f>'Field data and Waste 1'!E9</f>
        <v>Moderate</v>
      </c>
      <c r="F9" s="52">
        <f>'Field data and Waste 1'!F9</f>
        <v>1</v>
      </c>
      <c r="G9" s="52" t="str">
        <f>'Field data and Waste 1'!G9</f>
        <v>Moderate</v>
      </c>
      <c r="H9" s="52">
        <f>'Field data and Waste 1'!H9</f>
        <v>1</v>
      </c>
      <c r="I9" s="52" t="str">
        <f>'Field data and Waste 1'!I9</f>
        <v>Moderate</v>
      </c>
      <c r="J9" s="52" t="str">
        <f>'Field data and Waste 1'!J9</f>
        <v>Moderate</v>
      </c>
      <c r="K9" s="52" t="str">
        <f>'Field data and Waste 1'!K9</f>
        <v>Moderate</v>
      </c>
      <c r="L9" s="52" t="str">
        <f>'Field data and Waste 1'!L9</f>
        <v>Moderate</v>
      </c>
      <c r="M9" s="52" t="str">
        <f>'Field data and Waste 1'!M9</f>
        <v>Moderate</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Waste 1'!C10</f>
        <v>7</v>
      </c>
      <c r="D10" s="52">
        <f>'Field data and Waste 1'!D10</f>
        <v>6.4</v>
      </c>
      <c r="E10" s="52">
        <f>'Field data and Waste 1'!E10</f>
        <v>6.1</v>
      </c>
      <c r="F10" s="52">
        <f>'Field data and Waste 1'!F10</f>
        <v>6.7</v>
      </c>
      <c r="G10" s="52">
        <f>'Field data and Waste 1'!G10</f>
        <v>6.3</v>
      </c>
      <c r="H10" s="52">
        <f>'Field data and Waste 1'!H10</f>
        <v>6.6</v>
      </c>
      <c r="I10" s="52">
        <f>'Field data and Waste 1'!I10</f>
        <v>5.6</v>
      </c>
      <c r="J10" s="52">
        <f>'Field data and Waste 1'!J10</f>
        <v>6.2</v>
      </c>
      <c r="K10" s="52">
        <f>'Field data and Waste 1'!K10</f>
        <v>6.4</v>
      </c>
      <c r="L10" s="52">
        <f>'Field data and Waste 1'!L10</f>
        <v>6.2</v>
      </c>
      <c r="M10" s="52">
        <f>'Field data and Waste 1'!M10</f>
        <v>6.3</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Waste 1'!C11</f>
        <v>2</v>
      </c>
      <c r="D11" s="52">
        <f>'Field data and Waste 1'!D11</f>
        <v>2</v>
      </c>
      <c r="E11" s="52">
        <f>'Field data and Waste 1'!E11</f>
        <v>2</v>
      </c>
      <c r="F11" s="52">
        <f>'Field data and Waste 1'!F11</f>
        <v>3</v>
      </c>
      <c r="G11" s="52">
        <f>'Field data and Waste 1'!G11</f>
        <v>3</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Waste 1'!C12</f>
        <v>2</v>
      </c>
      <c r="D12" s="52">
        <f>'Field data and Waste 1'!D12</f>
        <v>2</v>
      </c>
      <c r="E12" s="52">
        <f>'Field data and Waste 1'!E12</f>
        <v>1</v>
      </c>
      <c r="F12" s="52">
        <f>'Field data and Waste 1'!F12</f>
        <v>2</v>
      </c>
      <c r="G12" s="52">
        <f>'Field data and Waste 1'!G12</f>
        <v>2</v>
      </c>
      <c r="H12" s="52">
        <f>'Field data and Waste 1'!H12</f>
        <v>2</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Waste 1'!C13</f>
        <v>2</v>
      </c>
      <c r="D13" s="52">
        <f>'Field data and Waste 1'!D13</f>
        <v>3</v>
      </c>
      <c r="E13" s="52">
        <f>'Field data and Waste 1'!E13</f>
        <v>3</v>
      </c>
      <c r="F13" s="52">
        <f>'Field data and Waste 1'!F13</f>
        <v>3</v>
      </c>
      <c r="G13" s="52">
        <f>'Field data and Waste 1'!G13</f>
        <v>2</v>
      </c>
      <c r="H13" s="52">
        <f>'Field data and Waste 1'!H13</f>
        <v>2</v>
      </c>
      <c r="I13" s="52">
        <f>'Field data and Waste 1'!I13</f>
        <v>3</v>
      </c>
      <c r="J13" s="52">
        <f>'Field data and Waste 1'!J13</f>
        <v>3</v>
      </c>
      <c r="K13" s="52">
        <f>'Field data and Waste 1'!K13</f>
        <v>3</v>
      </c>
      <c r="L13" s="52">
        <f>'Field data and Waste 1'!L13</f>
        <v>3</v>
      </c>
      <c r="M13" s="52">
        <f>'Field data and Waste 1'!M13</f>
        <v>3</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3" t="s">
        <v>8</v>
      </c>
      <c r="B14" s="123"/>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Spring wheat/barley</v>
      </c>
      <c r="G14" s="91" t="str">
        <f>'Field data and Waste 1'!G14</f>
        <v xml:space="preserve">Grass Silage (25% DM) </v>
      </c>
      <c r="H14" s="91" t="str">
        <f>'Field data and Waste 1'!H14</f>
        <v>Winter wheat- grain &amp; straw</v>
      </c>
      <c r="I14" s="91" t="str">
        <f>'Field data and Waste 1'!I14</f>
        <v xml:space="preserve">Grass Silage (25% DM) </v>
      </c>
      <c r="J14" s="91" t="str">
        <f>'Field data and Waste 1'!J14</f>
        <v xml:space="preserve">Grass Silage (25% DM) </v>
      </c>
      <c r="K14" s="91" t="str">
        <f>'Field data and Waste 1'!K14</f>
        <v xml:space="preserve">Grass Silage (25% DM) </v>
      </c>
      <c r="L14" s="91" t="str">
        <f>'Field data and Waste 1'!L14</f>
        <v xml:space="preserve">Grass Silage (25% DM) </v>
      </c>
      <c r="M14" s="91" t="str">
        <f>'Field data and Waste 1'!M14</f>
        <v xml:space="preserve">Grass Silage (25% DM) </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22" t="s">
        <v>9</v>
      </c>
      <c r="B15" s="122"/>
      <c r="C15" s="52">
        <f>'Field data and Waste 1'!C15</f>
        <v>38</v>
      </c>
      <c r="D15" s="52">
        <f>'Field data and Waste 1'!D15</f>
        <v>38</v>
      </c>
      <c r="E15" s="52">
        <f>'Field data and Waste 1'!E15</f>
        <v>38</v>
      </c>
      <c r="F15" s="52">
        <f>'Field data and Waste 1'!F15</f>
        <v>5.5</v>
      </c>
      <c r="G15" s="52">
        <f>'Field data and Waste 1'!G15</f>
        <v>38</v>
      </c>
      <c r="H15" s="52">
        <f>'Field data and Waste 1'!H15</f>
        <v>8</v>
      </c>
      <c r="I15" s="52">
        <f>'Field data and Waste 1'!I15</f>
        <v>38</v>
      </c>
      <c r="J15" s="52">
        <f>'Field data and Waste 1'!J15</f>
        <v>38</v>
      </c>
      <c r="K15" s="52">
        <f>'Field data and Waste 1'!K15</f>
        <v>38</v>
      </c>
      <c r="L15" s="52">
        <f>'Field data and Waste 1'!L15</f>
        <v>38</v>
      </c>
      <c r="M15" s="52">
        <f>'Field data and Waste 1'!M15</f>
        <v>38</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24" t="s">
        <v>44</v>
      </c>
      <c r="B16" s="124"/>
      <c r="C16" s="92" t="str">
        <f>'Field data and Waste 1'!C16</f>
        <v>Medium/Clay</v>
      </c>
      <c r="D16" s="92" t="str">
        <f>'Field data and Waste 1'!D16</f>
        <v>Medium/Clay</v>
      </c>
      <c r="E16" s="92" t="str">
        <f>'Field data and Waste 1'!E16</f>
        <v>Medium/Clay</v>
      </c>
      <c r="F16" s="92" t="str">
        <f>'Field data and Waste 1'!F16</f>
        <v>Medium/Clay</v>
      </c>
      <c r="G16" s="92" t="str">
        <f>'Field data and Waste 1'!G16</f>
        <v>Medium/Clay</v>
      </c>
      <c r="H16" s="92" t="str">
        <f>'Field data and Waste 1'!H16</f>
        <v>Medium/Clay</v>
      </c>
      <c r="I16" s="92" t="str">
        <f>'Field data and Waste 1'!I16</f>
        <v>Medium/Clay</v>
      </c>
      <c r="J16" s="92" t="str">
        <f>'Field data and Waste 1'!J16</f>
        <v>Medium/Clay</v>
      </c>
      <c r="K16" s="92" t="str">
        <f>'Field data and Waste 1'!K16</f>
        <v>Medium/Clay</v>
      </c>
      <c r="L16" s="92" t="str">
        <f>'Field data and Waste 1'!L16</f>
        <v>Medium/Clay</v>
      </c>
      <c r="M16" s="92" t="str">
        <f>'Field data and Waste 1'!M16</f>
        <v>Medium/Clay</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20" t="s">
        <v>69</v>
      </c>
      <c r="B17" s="121"/>
      <c r="C17" s="21">
        <f>(VLOOKUP(C$14,$AI2:$AK26,2,FALSE))*C$15</f>
        <v>64.599999999999994</v>
      </c>
      <c r="D17" s="21">
        <f t="shared" ref="D17:V17" si="0">(VLOOKUP(D$14,$AI2:$AK26,2,FALSE))*D$15</f>
        <v>64.599999999999994</v>
      </c>
      <c r="E17" s="21">
        <f t="shared" si="0"/>
        <v>64.599999999999994</v>
      </c>
      <c r="F17" s="21">
        <f t="shared" si="0"/>
        <v>46.75</v>
      </c>
      <c r="G17" s="21">
        <f t="shared" si="0"/>
        <v>64.599999999999994</v>
      </c>
      <c r="H17" s="21">
        <f t="shared" si="0"/>
        <v>56</v>
      </c>
      <c r="I17" s="21">
        <f t="shared" si="0"/>
        <v>64.599999999999994</v>
      </c>
      <c r="J17" s="21">
        <f t="shared" si="0"/>
        <v>64.599999999999994</v>
      </c>
      <c r="K17" s="21">
        <f t="shared" si="0"/>
        <v>64.599999999999994</v>
      </c>
      <c r="L17" s="21">
        <f t="shared" si="0"/>
        <v>64.599999999999994</v>
      </c>
      <c r="M17" s="21">
        <f t="shared" si="0"/>
        <v>64.599999999999994</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8" t="s">
        <v>23</v>
      </c>
      <c r="B18" s="119"/>
      <c r="C18" s="13">
        <f>$D31</f>
        <v>52.101005600000001</v>
      </c>
      <c r="D18" s="13">
        <f>$D32</f>
        <v>52.101005600000001</v>
      </c>
      <c r="E18" s="13">
        <f>$D33</f>
        <v>52.101005600000001</v>
      </c>
      <c r="F18" s="13">
        <f>$D34</f>
        <v>46.89090504</v>
      </c>
      <c r="G18" s="13">
        <f>$D35</f>
        <v>52.101005600000001</v>
      </c>
      <c r="H18" s="13">
        <f>$D36</f>
        <v>52.101005600000001</v>
      </c>
      <c r="I18" s="13">
        <f>$D37</f>
        <v>0</v>
      </c>
      <c r="J18" s="13">
        <f>$D38</f>
        <v>52.101005600000001</v>
      </c>
      <c r="K18" s="13">
        <f>$D39</f>
        <v>52.101005600000001</v>
      </c>
      <c r="L18" s="13">
        <f>$D40</f>
        <v>52.101005600000001</v>
      </c>
      <c r="M18" s="13">
        <f>$D41</f>
        <v>52.101005600000001</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8" t="s">
        <v>90</v>
      </c>
      <c r="B19" s="119"/>
      <c r="C19" s="13">
        <f>C18-C17</f>
        <v>-12.498994399999994</v>
      </c>
      <c r="D19" s="13">
        <f t="shared" ref="D19:V19" si="1">D18-D17</f>
        <v>-12.498994399999994</v>
      </c>
      <c r="E19" s="13">
        <f t="shared" si="1"/>
        <v>-12.498994399999994</v>
      </c>
      <c r="F19" s="13">
        <f t="shared" si="1"/>
        <v>0.14090503999999981</v>
      </c>
      <c r="G19" s="13">
        <f t="shared" si="1"/>
        <v>-12.498994399999994</v>
      </c>
      <c r="H19" s="13">
        <f t="shared" si="1"/>
        <v>-3.8989943999999994</v>
      </c>
      <c r="I19" s="13">
        <f t="shared" si="1"/>
        <v>-64.599999999999994</v>
      </c>
      <c r="J19" s="13">
        <f t="shared" si="1"/>
        <v>-12.498994399999994</v>
      </c>
      <c r="K19" s="13">
        <f t="shared" si="1"/>
        <v>-12.498994399999994</v>
      </c>
      <c r="L19" s="13">
        <f t="shared" si="1"/>
        <v>-12.498994399999994</v>
      </c>
      <c r="M19" s="13">
        <f t="shared" si="1"/>
        <v>-12.498994399999994</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6" t="s">
        <v>91</v>
      </c>
      <c r="B20" s="117"/>
      <c r="C20" s="19" t="str">
        <f>IF($B31="","",IF(C$19&gt;=0,"INCREASE","DECREASE"))</f>
        <v>DECREASE</v>
      </c>
      <c r="D20" s="19" t="str">
        <f>IF($B32="","",IF(D$19&gt;=0,"INCREASE","DECREASE"))</f>
        <v>DECREASE</v>
      </c>
      <c r="E20" s="19" t="str">
        <f>IF($B33="","",IF(E$19&gt;=0,"INCREASE","DECREASE"))</f>
        <v>DECREASE</v>
      </c>
      <c r="F20" s="19" t="str">
        <f>IF($B34="","",IF(F$19&gt;=0,"INCREASE","DECREASE"))</f>
        <v>INCREASE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0" t="s">
        <v>88</v>
      </c>
      <c r="B21" s="121"/>
      <c r="C21" s="21">
        <f>(VLOOKUP(C$14,$AI2:$AK26,3,FALSE))*C$15</f>
        <v>228</v>
      </c>
      <c r="D21" s="21">
        <f t="shared" ref="D21:V21" si="2">(VLOOKUP(D$14,$AI2:$AK26,3,FALSE))*D$15</f>
        <v>228</v>
      </c>
      <c r="E21" s="21">
        <f t="shared" si="2"/>
        <v>228</v>
      </c>
      <c r="F21" s="21">
        <f t="shared" si="2"/>
        <v>66</v>
      </c>
      <c r="G21" s="21">
        <f t="shared" si="2"/>
        <v>228</v>
      </c>
      <c r="H21" s="21">
        <f t="shared" si="2"/>
        <v>84</v>
      </c>
      <c r="I21" s="21">
        <f t="shared" si="2"/>
        <v>228</v>
      </c>
      <c r="J21" s="21">
        <f t="shared" si="2"/>
        <v>228</v>
      </c>
      <c r="K21" s="21">
        <f t="shared" si="2"/>
        <v>228</v>
      </c>
      <c r="L21" s="21">
        <f t="shared" si="2"/>
        <v>228</v>
      </c>
      <c r="M21" s="21">
        <f t="shared" si="2"/>
        <v>228</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8" t="s">
        <v>89</v>
      </c>
      <c r="B22" s="119"/>
      <c r="C22" s="13">
        <f>$E31</f>
        <v>1.7127267500000003</v>
      </c>
      <c r="D22" s="13">
        <f>$E32</f>
        <v>1.7127267500000003</v>
      </c>
      <c r="E22" s="13">
        <f>$E33</f>
        <v>1.7127267500000003</v>
      </c>
      <c r="F22" s="13">
        <f>$E34</f>
        <v>1.5414540750000001</v>
      </c>
      <c r="G22" s="13">
        <f>$E35</f>
        <v>1.7127267500000003</v>
      </c>
      <c r="H22" s="13">
        <f>$E36</f>
        <v>1.7127267500000003</v>
      </c>
      <c r="I22" s="13">
        <f>$E37</f>
        <v>0</v>
      </c>
      <c r="J22" s="13">
        <f>$E38</f>
        <v>1.7127267500000003</v>
      </c>
      <c r="K22" s="13">
        <f>$E39</f>
        <v>1.7127267500000003</v>
      </c>
      <c r="L22" s="13">
        <f>$E40</f>
        <v>1.7127267500000003</v>
      </c>
      <c r="M22" s="13">
        <f>$E41</f>
        <v>1.7127267500000003</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8" t="s">
        <v>92</v>
      </c>
      <c r="B23" s="119"/>
      <c r="C23" s="13">
        <f>C22-C21</f>
        <v>-226.28727325</v>
      </c>
      <c r="D23" s="13">
        <f t="shared" ref="D23:V23" si="3">D22-D21</f>
        <v>-226.28727325</v>
      </c>
      <c r="E23" s="13">
        <f t="shared" si="3"/>
        <v>-226.28727325</v>
      </c>
      <c r="F23" s="13">
        <f t="shared" si="3"/>
        <v>-64.458545924999996</v>
      </c>
      <c r="G23" s="13">
        <f t="shared" si="3"/>
        <v>-226.28727325</v>
      </c>
      <c r="H23" s="13">
        <f t="shared" si="3"/>
        <v>-82.287273249999998</v>
      </c>
      <c r="I23" s="13">
        <f t="shared" si="3"/>
        <v>-228</v>
      </c>
      <c r="J23" s="13">
        <f t="shared" si="3"/>
        <v>-226.28727325</v>
      </c>
      <c r="K23" s="13">
        <f t="shared" si="3"/>
        <v>-226.28727325</v>
      </c>
      <c r="L23" s="13">
        <f t="shared" si="3"/>
        <v>-226.28727325</v>
      </c>
      <c r="M23" s="13">
        <f t="shared" si="3"/>
        <v>-226.28727325</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25">
      <c r="A28" s="97"/>
      <c r="B28" s="17">
        <v>13.1</v>
      </c>
      <c r="C28" s="12">
        <v>1.3</v>
      </c>
      <c r="D28" s="12">
        <v>0.248</v>
      </c>
      <c r="E28" s="12">
        <v>1.55E-2</v>
      </c>
      <c r="F28" s="12">
        <v>239</v>
      </c>
      <c r="G28" s="12">
        <v>20.2</v>
      </c>
      <c r="H28" s="12">
        <v>80.2</v>
      </c>
      <c r="I28" s="12">
        <v>46.7</v>
      </c>
      <c r="J28" s="12">
        <v>0.37</v>
      </c>
      <c r="K28" s="16">
        <v>0.76</v>
      </c>
      <c r="L28" s="12">
        <v>1.62</v>
      </c>
      <c r="M28" s="12">
        <v>4.3</v>
      </c>
      <c r="N28" s="12">
        <v>125000</v>
      </c>
      <c r="O28" s="12">
        <v>31000</v>
      </c>
      <c r="P28" s="12"/>
      <c r="Q28" s="12">
        <v>4450</v>
      </c>
      <c r="R28" s="12"/>
      <c r="S28" s="12">
        <v>68.7</v>
      </c>
      <c r="T28" s="12"/>
      <c r="U28" s="12"/>
    </row>
    <row r="29" spans="1:40" s="7" customFormat="1" ht="27" x14ac:dyDescent="0.2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2</v>
      </c>
      <c r="B31" s="12">
        <v>70</v>
      </c>
      <c r="C31" s="68">
        <f>IF(C$27="%w/w SAR",((C$28*10)*$B31),IF(C$27="%w/w DM",(((C$28*10)*($B$28/100))*$B31),IF(C$27="kg/t SAR",(C$28*$B31),IF(C$27="kg/t DM",((C$28*($B$28/100))*$B31),IF(C$27="mg/kg SAR",((C$28*0.001)*$B31),IF(C$27="mg/kg DM",(((C$28*0.001)*($B$28/100))*$B31),0))))))</f>
        <v>119.21000000000001</v>
      </c>
      <c r="D31" s="68">
        <f>(IF(D$27="%w/w SAR",((D$28*10)*$B31),IF(D$27="%w/w DM",(((D$28*10)*($B$28/100))*$B31),IF(D$27="kg/t SAR",(D$28*$B31),IF(D$27="kg/t DM",((D$28*($B$28/100))*$B31),IF(D$27="mg/kg SAR",((D$28*0.001)*$B31),IF(D$27="mg/kg DM",(((D$28*0.001)*($B$28/100))*$B31),"0")))))))*2.291</f>
        <v>52.101005600000001</v>
      </c>
      <c r="E31" s="68">
        <f>(IF(E$27="%w/w SAR",((E$28*10)*$B31),IF(E$27="%w/w DM",(((E$28*10)*($B$28/100))*$B31),IF(E$27="kg/t SAR",(E$28*$B31),IF(E$27="kg/t DM",((E$28*($B$28/100))*$B31),IF(E$27="mg/kg SAR",((E$28*0.001)*$B31),IF(E$27="mg/kg DM",(((E$28*0.001)*($B$28/100))*$B31),"0")))))))*1.205</f>
        <v>1.7127267500000003</v>
      </c>
      <c r="F31" s="68">
        <f>(IF(F$27="%w/w SAR",((F$28*10)*$B31),IF(F$27="%w/w DM",(((F$28*10)*($B$28/100))*$B31),IF(F$27="kg/t SAR",(F$28*$B31),IF(F$27="kg/t DM",((F$28*($B$28/100))*$B31),IF(F$27="mg/kg SAR",((F$28*0.001)*$B31),IF(F$27="mg/kg DM",(((F$28*0.001)*($B$28/100))*$B31),"0")))))))*1.658</f>
        <v>3.6337225400000004</v>
      </c>
      <c r="G31" s="68">
        <f t="shared" ref="G31:P46" si="5">IF(G$27="%w/w SAR",((G$28*10)*$B31),IF(G$27="%w/w DM",(((G$28*10)*($B$28/100))*$B31),IF(G$27="kg/t SAR",(G$28*$B31),IF(G$27="kg/t DM",((G$28*($B$28/100))*$B31),IF(G$27="mg/kg SAR",((G$28*0.001)*$B31),IF(G$27="mg/kg DM",(((G$28*0.001)*($B$28/100))*$B31),0))))))</f>
        <v>0.18523400000000001</v>
      </c>
      <c r="H31" s="68">
        <f t="shared" si="5"/>
        <v>0.73543400000000014</v>
      </c>
      <c r="I31" s="68">
        <f t="shared" si="5"/>
        <v>0.42823900000000009</v>
      </c>
      <c r="J31" s="68">
        <f t="shared" si="5"/>
        <v>3.3928999999999999E-3</v>
      </c>
      <c r="K31" s="68">
        <f t="shared" si="5"/>
        <v>6.9692000000000009E-3</v>
      </c>
      <c r="L31" s="68">
        <f t="shared" si="5"/>
        <v>1.4855400000000001E-2</v>
      </c>
      <c r="M31" s="68">
        <f t="shared" si="5"/>
        <v>3.9431000000000001E-2</v>
      </c>
      <c r="N31" s="68">
        <f t="shared" si="5"/>
        <v>1146.25</v>
      </c>
      <c r="O31" s="68">
        <f t="shared" si="5"/>
        <v>284.27</v>
      </c>
      <c r="P31" s="68">
        <f t="shared" si="5"/>
        <v>0</v>
      </c>
      <c r="Q31" s="68">
        <f>(IF(Q$27="%w/w SAR",((Q$28*10)*$B31),IF(Q$27="%w/w DM",(((Q$28*10)*($B$28/100))*$B31),IF(Q$27="kg/t SAR",(Q$28*$B31),IF(Q$27="kg/t DM",((Q$28*($B$28/100))*$B31),IF(Q$27="mg/kg SAR",((Q$28*0.001)*$B31),IF(Q$27="mg/kg DM",(((Q$28*0.001)*($B$28/100))*$B31),0)))))))*2.5</f>
        <v>102.01625000000001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0.62997900000000007</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3</v>
      </c>
      <c r="B32" s="12">
        <v>70</v>
      </c>
      <c r="C32" s="68">
        <f t="shared" ref="C32:C50" si="6">IF(C$27="%w/w SAR",((C$28*10)*$B32),IF(C$27="%w/w DM",(((C$28*10)*($B$28/100))*$B32),IF(C$27="kg/t SAR",(C$28*$B32),IF(C$27="kg/t DM",((C$28*($B$28/100))*$B32),IF(C$27="mg/kg SAR",((C$28*0.001)*$B32),IF(C$27="mg/kg DM",(((C$28*0.001)*($B$28/100))*$B32),0))))))</f>
        <v>119.21000000000001</v>
      </c>
      <c r="D32" s="68">
        <f t="shared" ref="D32:D50" si="7">(IF(D$27="%w/w SAR",((D$28*10)*$B32),IF(D$27="%w/w DM",(((D$28*10)*($B$28/100))*$B32),IF(D$27="kg/t SAR",(D$28*$B32),IF(D$27="kg/t DM",((D$28*($B$28/100))*$B32),IF(D$27="mg/kg SAR",((D$28*0.001)*$B32),IF(D$27="mg/kg DM",(((D$28*0.001)*($B$28/100))*$B32),"0")))))))*2.291</f>
        <v>52.101005600000001</v>
      </c>
      <c r="E32" s="68">
        <f t="shared" ref="E32:E50" si="8">(IF(E$27="%w/w SAR",((E$28*10)*$B32),IF(E$27="%w/w DM",(((E$28*10)*($B$28/100))*$B32),IF(E$27="kg/t SAR",(E$28*$B32),IF(E$27="kg/t DM",((E$28*($B$28/100))*$B32),IF(E$27="mg/kg SAR",((E$28*0.001)*$B32),IF(E$27="mg/kg DM",(((E$28*0.001)*($B$28/100))*$B32),"0")))))))*1.205</f>
        <v>1.7127267500000003</v>
      </c>
      <c r="F32" s="68">
        <f t="shared" ref="F32:F50" si="9">(IF(F$27="%w/w SAR",((F$28*10)*$B32),IF(F$27="%w/w DM",(((F$28*10)*($B$28/100))*$B32),IF(F$27="kg/t SAR",(F$28*$B32),IF(F$27="kg/t DM",((F$28*($B$28/100))*$B32),IF(F$27="mg/kg SAR",((F$28*0.001)*$B32),IF(F$27="mg/kg DM",(((F$28*0.001)*($B$28/100))*$B32),"0")))))))*1.658</f>
        <v>3.6337225400000004</v>
      </c>
      <c r="G32" s="68">
        <f t="shared" si="5"/>
        <v>0.18523400000000001</v>
      </c>
      <c r="H32" s="68">
        <f t="shared" si="5"/>
        <v>0.73543400000000014</v>
      </c>
      <c r="I32" s="68">
        <f t="shared" si="5"/>
        <v>0.42823900000000009</v>
      </c>
      <c r="J32" s="68">
        <f t="shared" si="5"/>
        <v>3.3928999999999999E-3</v>
      </c>
      <c r="K32" s="68">
        <f t="shared" si="5"/>
        <v>6.9692000000000009E-3</v>
      </c>
      <c r="L32" s="68">
        <f t="shared" si="5"/>
        <v>1.4855400000000001E-2</v>
      </c>
      <c r="M32" s="68">
        <f t="shared" si="5"/>
        <v>3.9431000000000001E-2</v>
      </c>
      <c r="N32" s="68">
        <f t="shared" si="5"/>
        <v>1146.25</v>
      </c>
      <c r="O32" s="68">
        <f t="shared" si="5"/>
        <v>284.27</v>
      </c>
      <c r="P32" s="68">
        <f t="shared" si="5"/>
        <v>0</v>
      </c>
      <c r="Q32" s="68">
        <f t="shared" ref="Q32:Q50" si="10">(IF(Q$27="%w/w SAR",((Q$28*10)*$B32),IF(Q$27="%w/w DM",(((Q$28*10)*($B$28/100))*$B32),IF(Q$27="kg/t SAR",(Q$28*$B32),IF(Q$27="kg/t DM",((Q$28*($B$28/100))*$B32),IF(Q$27="mg/kg SAR",((Q$28*0.001)*$B32),IF(Q$27="mg/kg DM",(((Q$28*0.001)*($B$28/100))*$B32),0)))))))*2.5</f>
        <v>102.01625000000001</v>
      </c>
      <c r="R32" s="68">
        <f t="shared" ref="R32:U50" si="11">IF(R$27="%w/w SAR",((R$28*10)*$B32),IF(R$27="%w/w DM",(((R$28*10)*($B$28/100))*$B32),IF(R$27="kg/t SAR",(R$28*$B32),IF(R$27="kg/t DM",((R$28*($B$28/100))*$B32),IF(R$27="mg/kg SAR",((R$28*0.001)*$B32),IF(R$27="mg/kg DM",(((R$28*0.001)*($B$28/100))*$B32),0))))))</f>
        <v>0</v>
      </c>
      <c r="S32" s="68">
        <f t="shared" si="11"/>
        <v>0.62997900000000007</v>
      </c>
      <c r="T32" s="68">
        <f t="shared" si="11"/>
        <v>0</v>
      </c>
      <c r="U32" s="68">
        <f t="shared" si="11"/>
        <v>0</v>
      </c>
    </row>
    <row r="33" spans="1:21" s="51" customFormat="1" x14ac:dyDescent="0.25">
      <c r="A33" s="10">
        <f>E8</f>
        <v>4</v>
      </c>
      <c r="B33" s="12">
        <v>70</v>
      </c>
      <c r="C33" s="68">
        <f t="shared" si="6"/>
        <v>119.21000000000001</v>
      </c>
      <c r="D33" s="68">
        <f t="shared" si="7"/>
        <v>52.101005600000001</v>
      </c>
      <c r="E33" s="68">
        <f t="shared" si="8"/>
        <v>1.7127267500000003</v>
      </c>
      <c r="F33" s="68">
        <f t="shared" si="9"/>
        <v>3.6337225400000004</v>
      </c>
      <c r="G33" s="68">
        <f t="shared" si="5"/>
        <v>0.18523400000000001</v>
      </c>
      <c r="H33" s="68">
        <f t="shared" si="5"/>
        <v>0.73543400000000014</v>
      </c>
      <c r="I33" s="68">
        <f t="shared" si="5"/>
        <v>0.42823900000000009</v>
      </c>
      <c r="J33" s="68">
        <f t="shared" si="5"/>
        <v>3.3928999999999999E-3</v>
      </c>
      <c r="K33" s="68">
        <f t="shared" si="5"/>
        <v>6.9692000000000009E-3</v>
      </c>
      <c r="L33" s="68">
        <f t="shared" si="5"/>
        <v>1.4855400000000001E-2</v>
      </c>
      <c r="M33" s="68">
        <f t="shared" si="5"/>
        <v>3.9431000000000001E-2</v>
      </c>
      <c r="N33" s="68">
        <f t="shared" si="5"/>
        <v>1146.25</v>
      </c>
      <c r="O33" s="68">
        <f t="shared" si="5"/>
        <v>284.27</v>
      </c>
      <c r="P33" s="68">
        <f t="shared" si="5"/>
        <v>0</v>
      </c>
      <c r="Q33" s="68">
        <f t="shared" si="10"/>
        <v>102.01625000000001</v>
      </c>
      <c r="R33" s="68">
        <f t="shared" si="11"/>
        <v>0</v>
      </c>
      <c r="S33" s="68">
        <f t="shared" si="11"/>
        <v>0.62997900000000007</v>
      </c>
      <c r="T33" s="68">
        <f t="shared" si="11"/>
        <v>0</v>
      </c>
      <c r="U33" s="68">
        <f t="shared" si="11"/>
        <v>0</v>
      </c>
    </row>
    <row r="34" spans="1:21" s="51" customFormat="1" x14ac:dyDescent="0.25">
      <c r="A34" s="10">
        <f>F8</f>
        <v>10</v>
      </c>
      <c r="B34" s="12">
        <v>63</v>
      </c>
      <c r="C34" s="68">
        <f t="shared" si="6"/>
        <v>107.289</v>
      </c>
      <c r="D34" s="68">
        <f t="shared" si="7"/>
        <v>46.89090504</v>
      </c>
      <c r="E34" s="68">
        <f t="shared" si="8"/>
        <v>1.5414540750000001</v>
      </c>
      <c r="F34" s="68">
        <f t="shared" si="9"/>
        <v>3.2703502860000002</v>
      </c>
      <c r="G34" s="68">
        <f t="shared" si="5"/>
        <v>0.16671060000000001</v>
      </c>
      <c r="H34" s="68">
        <f t="shared" si="5"/>
        <v>0.66189060000000011</v>
      </c>
      <c r="I34" s="68">
        <f t="shared" si="5"/>
        <v>0.38541510000000007</v>
      </c>
      <c r="J34" s="68">
        <f t="shared" si="5"/>
        <v>3.05361E-3</v>
      </c>
      <c r="K34" s="68">
        <f t="shared" si="5"/>
        <v>6.2722800000000007E-3</v>
      </c>
      <c r="L34" s="68">
        <f t="shared" si="5"/>
        <v>1.3369860000000001E-2</v>
      </c>
      <c r="M34" s="68">
        <f t="shared" si="5"/>
        <v>3.5487899999999996E-2</v>
      </c>
      <c r="N34" s="68">
        <f t="shared" si="5"/>
        <v>1031.625</v>
      </c>
      <c r="O34" s="68">
        <f t="shared" si="5"/>
        <v>255.84299999999999</v>
      </c>
      <c r="P34" s="68">
        <f t="shared" si="5"/>
        <v>0</v>
      </c>
      <c r="Q34" s="68">
        <f t="shared" si="10"/>
        <v>91.814625000000021</v>
      </c>
      <c r="R34" s="68">
        <f t="shared" si="11"/>
        <v>0</v>
      </c>
      <c r="S34" s="68">
        <f t="shared" si="11"/>
        <v>0.56698110000000002</v>
      </c>
      <c r="T34" s="68">
        <f t="shared" si="11"/>
        <v>0</v>
      </c>
      <c r="U34" s="68">
        <f t="shared" si="11"/>
        <v>0</v>
      </c>
    </row>
    <row r="35" spans="1:21" s="51" customFormat="1" x14ac:dyDescent="0.25">
      <c r="A35" s="10">
        <f>G8</f>
        <v>20</v>
      </c>
      <c r="B35" s="12">
        <v>70</v>
      </c>
      <c r="C35" s="68">
        <f t="shared" si="6"/>
        <v>119.21000000000001</v>
      </c>
      <c r="D35" s="68">
        <f t="shared" si="7"/>
        <v>52.101005600000001</v>
      </c>
      <c r="E35" s="68">
        <f t="shared" si="8"/>
        <v>1.7127267500000003</v>
      </c>
      <c r="F35" s="68">
        <f t="shared" si="9"/>
        <v>3.6337225400000004</v>
      </c>
      <c r="G35" s="68">
        <f t="shared" si="5"/>
        <v>0.18523400000000001</v>
      </c>
      <c r="H35" s="68">
        <f t="shared" si="5"/>
        <v>0.73543400000000014</v>
      </c>
      <c r="I35" s="68">
        <f t="shared" si="5"/>
        <v>0.42823900000000009</v>
      </c>
      <c r="J35" s="68">
        <f t="shared" si="5"/>
        <v>3.3928999999999999E-3</v>
      </c>
      <c r="K35" s="68">
        <f t="shared" si="5"/>
        <v>6.9692000000000009E-3</v>
      </c>
      <c r="L35" s="68">
        <f t="shared" si="5"/>
        <v>1.4855400000000001E-2</v>
      </c>
      <c r="M35" s="68">
        <f t="shared" si="5"/>
        <v>3.9431000000000001E-2</v>
      </c>
      <c r="N35" s="68">
        <f t="shared" si="5"/>
        <v>1146.25</v>
      </c>
      <c r="O35" s="68">
        <f t="shared" si="5"/>
        <v>284.27</v>
      </c>
      <c r="P35" s="68">
        <f t="shared" si="5"/>
        <v>0</v>
      </c>
      <c r="Q35" s="68">
        <f t="shared" si="10"/>
        <v>102.01625000000001</v>
      </c>
      <c r="R35" s="68">
        <f t="shared" si="11"/>
        <v>0</v>
      </c>
      <c r="S35" s="68">
        <f t="shared" si="11"/>
        <v>0.62997900000000007</v>
      </c>
      <c r="T35" s="68">
        <f t="shared" si="11"/>
        <v>0</v>
      </c>
      <c r="U35" s="68">
        <f t="shared" si="11"/>
        <v>0</v>
      </c>
    </row>
    <row r="36" spans="1:21" s="51" customFormat="1" x14ac:dyDescent="0.25">
      <c r="A36" s="10">
        <f>H8</f>
        <v>7886</v>
      </c>
      <c r="B36" s="12">
        <v>70</v>
      </c>
      <c r="C36" s="68">
        <f t="shared" si="6"/>
        <v>119.21000000000001</v>
      </c>
      <c r="D36" s="68">
        <f t="shared" si="7"/>
        <v>52.101005600000001</v>
      </c>
      <c r="E36" s="68">
        <f t="shared" si="8"/>
        <v>1.7127267500000003</v>
      </c>
      <c r="F36" s="68">
        <f t="shared" si="9"/>
        <v>3.6337225400000004</v>
      </c>
      <c r="G36" s="68">
        <f t="shared" si="5"/>
        <v>0.18523400000000001</v>
      </c>
      <c r="H36" s="68">
        <f t="shared" si="5"/>
        <v>0.73543400000000014</v>
      </c>
      <c r="I36" s="68">
        <f t="shared" si="5"/>
        <v>0.42823900000000009</v>
      </c>
      <c r="J36" s="68">
        <f t="shared" si="5"/>
        <v>3.3928999999999999E-3</v>
      </c>
      <c r="K36" s="68">
        <f t="shared" si="5"/>
        <v>6.9692000000000009E-3</v>
      </c>
      <c r="L36" s="68">
        <f t="shared" si="5"/>
        <v>1.4855400000000001E-2</v>
      </c>
      <c r="M36" s="68">
        <f t="shared" si="5"/>
        <v>3.9431000000000001E-2</v>
      </c>
      <c r="N36" s="68">
        <f t="shared" si="5"/>
        <v>1146.25</v>
      </c>
      <c r="O36" s="68">
        <f t="shared" si="5"/>
        <v>284.27</v>
      </c>
      <c r="P36" s="68">
        <f t="shared" si="5"/>
        <v>0</v>
      </c>
      <c r="Q36" s="68">
        <f t="shared" si="10"/>
        <v>102.01625000000001</v>
      </c>
      <c r="R36" s="68">
        <f t="shared" si="11"/>
        <v>0</v>
      </c>
      <c r="S36" s="68">
        <f t="shared" si="11"/>
        <v>0.62997900000000007</v>
      </c>
      <c r="T36" s="68">
        <f t="shared" si="11"/>
        <v>0</v>
      </c>
      <c r="U36" s="68">
        <f t="shared" si="11"/>
        <v>0</v>
      </c>
    </row>
    <row r="37" spans="1:21" s="51" customFormat="1" x14ac:dyDescent="0.25">
      <c r="A37" s="10">
        <f>I8</f>
        <v>8440</v>
      </c>
      <c r="B37" s="12">
        <v>0</v>
      </c>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8087</v>
      </c>
      <c r="B38" s="12">
        <v>70</v>
      </c>
      <c r="C38" s="68">
        <f t="shared" si="6"/>
        <v>119.21000000000001</v>
      </c>
      <c r="D38" s="68">
        <f t="shared" si="7"/>
        <v>52.101005600000001</v>
      </c>
      <c r="E38" s="68">
        <f t="shared" si="8"/>
        <v>1.7127267500000003</v>
      </c>
      <c r="F38" s="68">
        <f t="shared" si="9"/>
        <v>3.6337225400000004</v>
      </c>
      <c r="G38" s="68">
        <f t="shared" si="5"/>
        <v>0.18523400000000001</v>
      </c>
      <c r="H38" s="68">
        <f t="shared" si="5"/>
        <v>0.73543400000000014</v>
      </c>
      <c r="I38" s="68">
        <f t="shared" si="5"/>
        <v>0.42823900000000009</v>
      </c>
      <c r="J38" s="68">
        <f t="shared" si="5"/>
        <v>3.3928999999999999E-3</v>
      </c>
      <c r="K38" s="68">
        <f t="shared" si="5"/>
        <v>6.9692000000000009E-3</v>
      </c>
      <c r="L38" s="68">
        <f t="shared" si="5"/>
        <v>1.4855400000000001E-2</v>
      </c>
      <c r="M38" s="68">
        <f t="shared" si="5"/>
        <v>3.9431000000000001E-2</v>
      </c>
      <c r="N38" s="68">
        <f t="shared" si="5"/>
        <v>1146.25</v>
      </c>
      <c r="O38" s="68">
        <f t="shared" si="5"/>
        <v>284.27</v>
      </c>
      <c r="P38" s="68">
        <f t="shared" si="5"/>
        <v>0</v>
      </c>
      <c r="Q38" s="68">
        <f t="shared" si="10"/>
        <v>102.01625000000001</v>
      </c>
      <c r="R38" s="68">
        <f t="shared" si="11"/>
        <v>0</v>
      </c>
      <c r="S38" s="68">
        <f t="shared" si="11"/>
        <v>0.62997900000000007</v>
      </c>
      <c r="T38" s="68">
        <f t="shared" si="11"/>
        <v>0</v>
      </c>
      <c r="U38" s="68">
        <f t="shared" si="11"/>
        <v>0</v>
      </c>
    </row>
    <row r="39" spans="1:21" s="51" customFormat="1" x14ac:dyDescent="0.25">
      <c r="A39" s="10">
        <f>K8</f>
        <v>8019</v>
      </c>
      <c r="B39" s="12">
        <v>70</v>
      </c>
      <c r="C39" s="68">
        <f t="shared" si="6"/>
        <v>119.21000000000001</v>
      </c>
      <c r="D39" s="68">
        <f t="shared" si="7"/>
        <v>52.101005600000001</v>
      </c>
      <c r="E39" s="68">
        <f t="shared" si="8"/>
        <v>1.7127267500000003</v>
      </c>
      <c r="F39" s="68">
        <f t="shared" si="9"/>
        <v>3.6337225400000004</v>
      </c>
      <c r="G39" s="68">
        <f t="shared" si="5"/>
        <v>0.18523400000000001</v>
      </c>
      <c r="H39" s="68">
        <f t="shared" si="5"/>
        <v>0.73543400000000014</v>
      </c>
      <c r="I39" s="68">
        <f t="shared" si="5"/>
        <v>0.42823900000000009</v>
      </c>
      <c r="J39" s="68">
        <f t="shared" si="5"/>
        <v>3.3928999999999999E-3</v>
      </c>
      <c r="K39" s="68">
        <f t="shared" si="5"/>
        <v>6.9692000000000009E-3</v>
      </c>
      <c r="L39" s="68">
        <f t="shared" si="5"/>
        <v>1.4855400000000001E-2</v>
      </c>
      <c r="M39" s="68">
        <f t="shared" si="5"/>
        <v>3.9431000000000001E-2</v>
      </c>
      <c r="N39" s="68">
        <f t="shared" si="5"/>
        <v>1146.25</v>
      </c>
      <c r="O39" s="68">
        <f t="shared" si="5"/>
        <v>284.27</v>
      </c>
      <c r="P39" s="68">
        <f t="shared" si="5"/>
        <v>0</v>
      </c>
      <c r="Q39" s="68">
        <f t="shared" si="10"/>
        <v>102.01625000000001</v>
      </c>
      <c r="R39" s="68">
        <f t="shared" si="11"/>
        <v>0</v>
      </c>
      <c r="S39" s="68">
        <f t="shared" si="11"/>
        <v>0.62997900000000007</v>
      </c>
      <c r="T39" s="68">
        <f t="shared" si="11"/>
        <v>0</v>
      </c>
      <c r="U39" s="68">
        <f t="shared" si="11"/>
        <v>0</v>
      </c>
    </row>
    <row r="40" spans="1:21" s="51" customFormat="1" x14ac:dyDescent="0.25">
      <c r="A40" s="10">
        <f>L8</f>
        <v>234</v>
      </c>
      <c r="B40" s="12">
        <v>70</v>
      </c>
      <c r="C40" s="68">
        <f t="shared" si="6"/>
        <v>119.21000000000001</v>
      </c>
      <c r="D40" s="68">
        <f t="shared" si="7"/>
        <v>52.101005600000001</v>
      </c>
      <c r="E40" s="68">
        <f t="shared" si="8"/>
        <v>1.7127267500000003</v>
      </c>
      <c r="F40" s="68">
        <f t="shared" si="9"/>
        <v>3.6337225400000004</v>
      </c>
      <c r="G40" s="68">
        <f t="shared" si="5"/>
        <v>0.18523400000000001</v>
      </c>
      <c r="H40" s="68">
        <f t="shared" si="5"/>
        <v>0.73543400000000014</v>
      </c>
      <c r="I40" s="68">
        <f t="shared" si="5"/>
        <v>0.42823900000000009</v>
      </c>
      <c r="J40" s="68">
        <f t="shared" si="5"/>
        <v>3.3928999999999999E-3</v>
      </c>
      <c r="K40" s="68">
        <f t="shared" si="5"/>
        <v>6.9692000000000009E-3</v>
      </c>
      <c r="L40" s="68">
        <f t="shared" si="5"/>
        <v>1.4855400000000001E-2</v>
      </c>
      <c r="M40" s="68">
        <f t="shared" si="5"/>
        <v>3.9431000000000001E-2</v>
      </c>
      <c r="N40" s="68">
        <f t="shared" si="5"/>
        <v>1146.25</v>
      </c>
      <c r="O40" s="68">
        <f t="shared" si="5"/>
        <v>284.27</v>
      </c>
      <c r="P40" s="68">
        <f t="shared" si="5"/>
        <v>0</v>
      </c>
      <c r="Q40" s="68">
        <f t="shared" si="10"/>
        <v>102.01625000000001</v>
      </c>
      <c r="R40" s="68">
        <f t="shared" si="11"/>
        <v>0</v>
      </c>
      <c r="S40" s="68">
        <f t="shared" si="11"/>
        <v>0.62997900000000007</v>
      </c>
      <c r="T40" s="68">
        <f t="shared" si="11"/>
        <v>0</v>
      </c>
      <c r="U40" s="68">
        <f t="shared" si="11"/>
        <v>0</v>
      </c>
    </row>
    <row r="41" spans="1:21" s="51" customFormat="1" x14ac:dyDescent="0.25">
      <c r="A41" s="10">
        <f>M8</f>
        <v>1735</v>
      </c>
      <c r="B41" s="12">
        <v>70</v>
      </c>
      <c r="C41" s="68">
        <f t="shared" si="6"/>
        <v>119.21000000000001</v>
      </c>
      <c r="D41" s="68">
        <f t="shared" si="7"/>
        <v>52.101005600000001</v>
      </c>
      <c r="E41" s="68">
        <f t="shared" si="8"/>
        <v>1.7127267500000003</v>
      </c>
      <c r="F41" s="68">
        <f t="shared" si="9"/>
        <v>3.6337225400000004</v>
      </c>
      <c r="G41" s="68">
        <f t="shared" si="5"/>
        <v>0.18523400000000001</v>
      </c>
      <c r="H41" s="68">
        <f t="shared" si="5"/>
        <v>0.73543400000000014</v>
      </c>
      <c r="I41" s="68">
        <f t="shared" si="5"/>
        <v>0.42823900000000009</v>
      </c>
      <c r="J41" s="68">
        <f t="shared" si="5"/>
        <v>3.3928999999999999E-3</v>
      </c>
      <c r="K41" s="68">
        <f t="shared" si="5"/>
        <v>6.9692000000000009E-3</v>
      </c>
      <c r="L41" s="68">
        <f t="shared" si="5"/>
        <v>1.4855400000000001E-2</v>
      </c>
      <c r="M41" s="68">
        <f t="shared" si="5"/>
        <v>3.9431000000000001E-2</v>
      </c>
      <c r="N41" s="68">
        <f t="shared" si="5"/>
        <v>1146.25</v>
      </c>
      <c r="O41" s="68">
        <f t="shared" si="5"/>
        <v>284.27</v>
      </c>
      <c r="P41" s="68">
        <f t="shared" si="5"/>
        <v>0</v>
      </c>
      <c r="Q41" s="68">
        <f t="shared" si="10"/>
        <v>102.01625000000001</v>
      </c>
      <c r="R41" s="68">
        <f t="shared" si="11"/>
        <v>0</v>
      </c>
      <c r="S41" s="68">
        <f t="shared" si="11"/>
        <v>0.62997900000000007</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2</v>
      </c>
      <c r="C57" s="8">
        <f t="shared" ref="C57:U57" si="13">D8</f>
        <v>3</v>
      </c>
      <c r="D57" s="8">
        <f t="shared" si="13"/>
        <v>4</v>
      </c>
      <c r="E57" s="8">
        <f t="shared" si="13"/>
        <v>10</v>
      </c>
      <c r="F57" s="8">
        <f t="shared" si="13"/>
        <v>20</v>
      </c>
      <c r="G57" s="8">
        <f t="shared" si="13"/>
        <v>7886</v>
      </c>
      <c r="H57" s="8">
        <f t="shared" si="13"/>
        <v>8440</v>
      </c>
      <c r="I57" s="8">
        <f t="shared" si="13"/>
        <v>8087</v>
      </c>
      <c r="J57" s="8">
        <f t="shared" si="13"/>
        <v>8019</v>
      </c>
      <c r="K57" s="8">
        <f t="shared" si="13"/>
        <v>234</v>
      </c>
      <c r="L57" s="8">
        <f t="shared" si="13"/>
        <v>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Arable</v>
      </c>
      <c r="F58" s="10" t="str">
        <f>G16&amp;" I "&amp;(VLOOKUP(G14,Table24567[],6,FALSE))</f>
        <v>Medium/Clay I Grass</v>
      </c>
      <c r="G58" s="10" t="str">
        <f>H16&amp;" I "&amp;(VLOOKUP(H14,Table24567[],6,FALSE))</f>
        <v>Medium/Clay I Arable</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100" t="s">
        <v>132</v>
      </c>
      <c r="B59" s="67">
        <f>VLOOKUP(C$14,Table24567[],5,FALSE)</f>
        <v>6.2</v>
      </c>
      <c r="C59" s="67">
        <f>VLOOKUP(D$14,Table24567[],5,FALSE)</f>
        <v>6.2</v>
      </c>
      <c r="D59" s="67">
        <f>VLOOKUP(E$14,Table24567[],5,FALSE)</f>
        <v>6.2</v>
      </c>
      <c r="E59" s="67">
        <f>VLOOKUP(F$14,Table24567[],5,FALSE)</f>
        <v>6.7</v>
      </c>
      <c r="F59" s="67">
        <f>VLOOKUP(G$14,Table24567[],5,FALSE)</f>
        <v>6.2</v>
      </c>
      <c r="G59" s="67">
        <f>VLOOKUP(H$14,Table24567[],5,FALSE)</f>
        <v>6.7</v>
      </c>
      <c r="H59" s="67">
        <f>VLOOKUP(I$14,Table24567[],5,FALSE)</f>
        <v>6.2</v>
      </c>
      <c r="I59" s="67">
        <f>VLOOKUP(J$14,Table24567[],5,FALSE)</f>
        <v>6.2</v>
      </c>
      <c r="J59" s="67">
        <f>VLOOKUP(K$14,Table24567[],5,FALSE)</f>
        <v>6.2</v>
      </c>
      <c r="K59" s="67">
        <f>VLOOKUP(L$14,Table24567[],5,FALSE)</f>
        <v>6.2</v>
      </c>
      <c r="L59" s="67">
        <f>VLOOKUP(M$14,Table24567[],5,FALSE)</f>
        <v>6.2</v>
      </c>
      <c r="M59" s="67" t="e">
        <f>VLOOKUP(N$14,Table24567[],5,FALSE)</f>
        <v>#N/A</v>
      </c>
      <c r="N59" s="67" t="e">
        <f>VLOOKUP(O$14,Table24567[],5,FALSE)</f>
        <v>#N/A</v>
      </c>
      <c r="O59" s="67" t="e">
        <f>VLOOKUP(P$14,Table24567[],5,FALSE)</f>
        <v>#N/A</v>
      </c>
      <c r="P59" s="67" t="e">
        <f>VLOOKUP(Q$14,Table24567[],5,FALSE)</f>
        <v>#N/A</v>
      </c>
      <c r="Q59" s="67" t="e">
        <f>VLOOKUP(R$14,Table24567[],5,FALSE)</f>
        <v>#N/A</v>
      </c>
      <c r="R59" s="67" t="e">
        <f>VLOOKUP(S$14,Table24567[],5,FALSE)</f>
        <v>#N/A</v>
      </c>
      <c r="S59" s="67" t="e">
        <f>VLOOKUP(T$14,Table24567[],5,FALSE)</f>
        <v>#N/A</v>
      </c>
      <c r="T59" s="67" t="e">
        <f>VLOOKUP(U$14,Table24567[],5,FALSE)</f>
        <v>#N/A</v>
      </c>
      <c r="U59" s="67" t="e">
        <f>VLOOKUP(V$14,Table24567[],5,FALSE)</f>
        <v>#N/A</v>
      </c>
    </row>
    <row r="60" spans="1:21" x14ac:dyDescent="0.2">
      <c r="A60" s="100" t="s">
        <v>4</v>
      </c>
      <c r="B60" s="67">
        <f>C10</f>
        <v>7</v>
      </c>
      <c r="C60" s="67">
        <f t="shared" ref="C60:U60" si="14">D10</f>
        <v>6.4</v>
      </c>
      <c r="D60" s="67">
        <f t="shared" si="14"/>
        <v>6.1</v>
      </c>
      <c r="E60" s="67">
        <f t="shared" si="14"/>
        <v>6.7</v>
      </c>
      <c r="F60" s="67">
        <f t="shared" si="14"/>
        <v>6.3</v>
      </c>
      <c r="G60" s="67">
        <f t="shared" si="14"/>
        <v>6.6</v>
      </c>
      <c r="H60" s="67">
        <f t="shared" si="14"/>
        <v>5.6</v>
      </c>
      <c r="I60" s="67">
        <f t="shared" si="14"/>
        <v>6.2</v>
      </c>
      <c r="J60" s="67">
        <f t="shared" si="14"/>
        <v>6.4</v>
      </c>
      <c r="K60" s="67">
        <f t="shared" si="14"/>
        <v>6.2</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8</v>
      </c>
      <c r="F61" s="67">
        <f t="shared" si="15"/>
        <v>6</v>
      </c>
      <c r="G61" s="67">
        <f t="shared" si="15"/>
        <v>8</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70</v>
      </c>
      <c r="C62" s="68">
        <f>B32</f>
        <v>70</v>
      </c>
      <c r="D62" s="68">
        <f>B33</f>
        <v>70</v>
      </c>
      <c r="E62" s="68">
        <f>B34</f>
        <v>63</v>
      </c>
      <c r="F62" s="68">
        <f>B35</f>
        <v>70</v>
      </c>
      <c r="G62" s="68">
        <f>B36</f>
        <v>70</v>
      </c>
      <c r="H62" s="68">
        <f>B37</f>
        <v>0</v>
      </c>
      <c r="I62" s="68">
        <f>B38</f>
        <v>70</v>
      </c>
      <c r="J62" s="68">
        <f>B39</f>
        <v>70</v>
      </c>
      <c r="K62" s="68">
        <f>B40</f>
        <v>70</v>
      </c>
      <c r="L62" s="68">
        <f>B41</f>
        <v>70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-4.7999999999999989</v>
      </c>
      <c r="C64" s="68">
        <f t="shared" ref="C64:U64" si="17">(C59-C60)*C61</f>
        <v>-1.2000000000000011</v>
      </c>
      <c r="D64" s="68">
        <f t="shared" si="17"/>
        <v>0.6000000000000032</v>
      </c>
      <c r="E64" s="68">
        <f t="shared" si="17"/>
        <v>0</v>
      </c>
      <c r="F64" s="68">
        <f t="shared" si="17"/>
        <v>-0.59999999999999787</v>
      </c>
      <c r="G64" s="68">
        <f t="shared" si="17"/>
        <v>0.80000000000000426</v>
      </c>
      <c r="H64" s="68">
        <f t="shared" si="17"/>
        <v>3.6000000000000032</v>
      </c>
      <c r="I64" s="68">
        <f t="shared" si="17"/>
        <v>0</v>
      </c>
      <c r="J64" s="68">
        <f t="shared" si="17"/>
        <v>-1.2000000000000011</v>
      </c>
      <c r="K64" s="68">
        <f t="shared" si="17"/>
        <v>0</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4.7999999999999989</v>
      </c>
      <c r="C65" s="68">
        <f t="shared" ref="C65:U65" si="18">C63-C64</f>
        <v>1.2000000000000011</v>
      </c>
      <c r="D65" s="68">
        <f t="shared" si="18"/>
        <v>-0.6000000000000032</v>
      </c>
      <c r="E65" s="68">
        <f t="shared" si="18"/>
        <v>0</v>
      </c>
      <c r="F65" s="68">
        <f t="shared" si="18"/>
        <v>0.59999999999999787</v>
      </c>
      <c r="G65" s="68">
        <f t="shared" si="18"/>
        <v>-0.80000000000000426</v>
      </c>
      <c r="H65" s="68">
        <f t="shared" si="18"/>
        <v>-3.6000000000000032</v>
      </c>
      <c r="I65" s="68">
        <f t="shared" si="18"/>
        <v>0</v>
      </c>
      <c r="J65" s="68">
        <f t="shared" si="18"/>
        <v>1.2000000000000011</v>
      </c>
      <c r="K65" s="68">
        <f t="shared" si="18"/>
        <v>0</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UNDER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opLeftCell="A13" zoomScale="90" zoomScaleNormal="90" workbookViewId="0">
      <selection activeCell="J18" sqref="J1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7" t="str">
        <f>'Field data and Waste 1'!C1:D1</f>
        <v>PAN-026719</v>
      </c>
      <c r="D1" s="128"/>
      <c r="E1" s="83" t="s">
        <v>45</v>
      </c>
      <c r="F1" s="32">
        <f>'Field data and Waste 1'!F1</f>
        <v>49.7</v>
      </c>
      <c r="G1" s="110" t="s">
        <v>43</v>
      </c>
      <c r="H1" s="111"/>
      <c r="I1" s="86">
        <v>6.6</v>
      </c>
      <c r="J1" s="114" t="s">
        <v>153</v>
      </c>
      <c r="K1" s="114"/>
      <c r="L1" s="86">
        <v>28.6</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29" t="str">
        <f>'Field data and Waste 1'!C2:D2</f>
        <v>EPR/AB3891CX</v>
      </c>
      <c r="D2" s="130"/>
      <c r="E2" s="83" t="s">
        <v>109</v>
      </c>
      <c r="F2" s="86" t="s">
        <v>173</v>
      </c>
      <c r="G2" s="112" t="s">
        <v>110</v>
      </c>
      <c r="H2" s="113"/>
      <c r="I2" s="86"/>
      <c r="J2" s="114" t="s">
        <v>158</v>
      </c>
      <c r="K2" s="114"/>
      <c r="L2" s="86">
        <v>1.53</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29" t="str">
        <f>'Field data and Waste 1'!C3:D3</f>
        <v>Stepside Agri</v>
      </c>
      <c r="D3" s="130"/>
      <c r="E3" s="83" t="s">
        <v>108</v>
      </c>
      <c r="F3" s="24" t="s">
        <v>104</v>
      </c>
      <c r="G3" s="114" t="s">
        <v>159</v>
      </c>
      <c r="H3" s="114"/>
      <c r="I3" s="86"/>
      <c r="J3" s="110" t="s">
        <v>154</v>
      </c>
      <c r="K3" s="111"/>
      <c r="L3" s="86">
        <f>(L1/(L2*10000))*100</f>
        <v>0.1869281045751634</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7" t="str">
        <f>'Field data and Waste 1'!C4:D4</f>
        <v>Castell Malgwyn Farm, Llechryd, Cardigan, Ceredigion, SA43 2QB</v>
      </c>
      <c r="D4" s="128"/>
      <c r="E4" s="84" t="s">
        <v>1</v>
      </c>
      <c r="F4" s="86" t="s">
        <v>178</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7" t="str">
        <f>'Field data and Waste 1'!C5:D5</f>
        <v>Ethan Banfield</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Waste 1'!C8</f>
        <v>2</v>
      </c>
      <c r="D8" s="52">
        <f>'Field data and Waste 1'!D8</f>
        <v>3</v>
      </c>
      <c r="E8" s="52">
        <f>'Field data and Waste 1'!E8</f>
        <v>4</v>
      </c>
      <c r="F8" s="52">
        <f>'Field data and Waste 1'!F8</f>
        <v>10</v>
      </c>
      <c r="G8" s="52">
        <f>'Field data and Waste 1'!G8</f>
        <v>20</v>
      </c>
      <c r="H8" s="52">
        <f>'Field data and Waste 1'!H8</f>
        <v>7886</v>
      </c>
      <c r="I8" s="52">
        <f>'Field data and Waste 1'!I8</f>
        <v>8440</v>
      </c>
      <c r="J8" s="52">
        <f>'Field data and Waste 1'!J8</f>
        <v>8087</v>
      </c>
      <c r="K8" s="52">
        <f>'Field data and Waste 1'!K8</f>
        <v>8019</v>
      </c>
      <c r="L8" s="52">
        <f>'Field data and Waste 1'!L8</f>
        <v>234</v>
      </c>
      <c r="M8" s="52">
        <f>'Field data and Waste 1'!M8</f>
        <v>1735</v>
      </c>
      <c r="N8" s="52">
        <f>'Field data and Waste 1'!N8</f>
        <v>0</v>
      </c>
      <c r="O8" s="52">
        <f>'Field data and Waste 1'!O8</f>
        <v>0</v>
      </c>
      <c r="P8" s="52">
        <f>'Field data and Waste 1'!P8</f>
        <v>0</v>
      </c>
      <c r="Q8" s="52">
        <f>'Field data and Waste 1'!Q8</f>
        <v>0</v>
      </c>
      <c r="R8" s="52">
        <f>'Field data and Waste 1'!R8</f>
        <v>0</v>
      </c>
      <c r="S8" s="52">
        <f>'Field data and Waste 1'!S8</f>
        <v>0</v>
      </c>
      <c r="T8" s="52">
        <f>'Field data and Waste 1'!T8</f>
        <v>0</v>
      </c>
      <c r="U8" s="52">
        <f>'Field data and Waste 1'!U8</f>
        <v>0</v>
      </c>
      <c r="V8" s="52">
        <f>'Field data and Waste 1'!V8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Waste 1'!C9</f>
        <v>Moderate</v>
      </c>
      <c r="D9" s="52" t="str">
        <f>'Field data and Waste 1'!D9</f>
        <v>Moderate</v>
      </c>
      <c r="E9" s="52" t="str">
        <f>'Field data and Waste 1'!E9</f>
        <v>Moderate</v>
      </c>
      <c r="F9" s="52">
        <f>'Field data and Waste 1'!F9</f>
        <v>1</v>
      </c>
      <c r="G9" s="52" t="str">
        <f>'Field data and Waste 1'!G9</f>
        <v>Moderate</v>
      </c>
      <c r="H9" s="52">
        <f>'Field data and Waste 1'!H9</f>
        <v>1</v>
      </c>
      <c r="I9" s="52" t="str">
        <f>'Field data and Waste 1'!I9</f>
        <v>Moderate</v>
      </c>
      <c r="J9" s="52" t="str">
        <f>'Field data and Waste 1'!J9</f>
        <v>Moderate</v>
      </c>
      <c r="K9" s="52" t="str">
        <f>'Field data and Waste 1'!K9</f>
        <v>Moderate</v>
      </c>
      <c r="L9" s="52" t="str">
        <f>'Field data and Waste 1'!L9</f>
        <v>Moderate</v>
      </c>
      <c r="M9" s="52" t="str">
        <f>'Field data and Waste 1'!M9</f>
        <v>Moderate</v>
      </c>
      <c r="N9" s="52">
        <f>'Field data and Waste 1'!N9</f>
        <v>0</v>
      </c>
      <c r="O9" s="52">
        <f>'Field data and Waste 1'!O9</f>
        <v>0</v>
      </c>
      <c r="P9" s="52">
        <f>'Field data and Waste 1'!P9</f>
        <v>0</v>
      </c>
      <c r="Q9" s="52">
        <f>'Field data and Waste 1'!Q9</f>
        <v>0</v>
      </c>
      <c r="R9" s="52">
        <f>'Field data and Waste 1'!R9</f>
        <v>0</v>
      </c>
      <c r="S9" s="52">
        <f>'Field data and Waste 1'!S9</f>
        <v>0</v>
      </c>
      <c r="T9" s="52">
        <f>'Field data and Waste 1'!T9</f>
        <v>0</v>
      </c>
      <c r="U9" s="52">
        <f>'Field data and Waste 1'!U9</f>
        <v>0</v>
      </c>
      <c r="V9" s="52">
        <f>'Field data and Waste 1'!V9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Waste 1'!C10</f>
        <v>7</v>
      </c>
      <c r="D10" s="52">
        <f>'Field data and Waste 1'!D10</f>
        <v>6.4</v>
      </c>
      <c r="E10" s="52">
        <f>'Field data and Waste 1'!E10</f>
        <v>6.1</v>
      </c>
      <c r="F10" s="52">
        <f>'Field data and Waste 1'!F10</f>
        <v>6.7</v>
      </c>
      <c r="G10" s="52">
        <f>'Field data and Waste 1'!G10</f>
        <v>6.3</v>
      </c>
      <c r="H10" s="52">
        <f>'Field data and Waste 1'!H10</f>
        <v>6.6</v>
      </c>
      <c r="I10" s="52">
        <f>'Field data and Waste 1'!I10</f>
        <v>5.6</v>
      </c>
      <c r="J10" s="52">
        <f>'Field data and Waste 1'!J10</f>
        <v>6.2</v>
      </c>
      <c r="K10" s="52">
        <f>'Field data and Waste 1'!K10</f>
        <v>6.4</v>
      </c>
      <c r="L10" s="52">
        <f>'Field data and Waste 1'!L10</f>
        <v>6.2</v>
      </c>
      <c r="M10" s="52">
        <f>'Field data and Waste 1'!M10</f>
        <v>6.3</v>
      </c>
      <c r="N10" s="52">
        <f>'Field data and Waste 1'!N10</f>
        <v>0</v>
      </c>
      <c r="O10" s="52">
        <f>'Field data and Waste 1'!O10</f>
        <v>0</v>
      </c>
      <c r="P10" s="52">
        <f>'Field data and Waste 1'!P10</f>
        <v>0</v>
      </c>
      <c r="Q10" s="52">
        <f>'Field data and Waste 1'!Q10</f>
        <v>0</v>
      </c>
      <c r="R10" s="52">
        <f>'Field data and Waste 1'!R10</f>
        <v>0</v>
      </c>
      <c r="S10" s="52">
        <f>'Field data and Waste 1'!S10</f>
        <v>0</v>
      </c>
      <c r="T10" s="52">
        <f>'Field data and Waste 1'!T10</f>
        <v>0</v>
      </c>
      <c r="U10" s="52">
        <f>'Field data and Waste 1'!U10</f>
        <v>0</v>
      </c>
      <c r="V10" s="52">
        <f>'Field data and Waste 1'!V10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Waste 1'!C11</f>
        <v>2</v>
      </c>
      <c r="D11" s="52">
        <f>'Field data and Waste 1'!D11</f>
        <v>2</v>
      </c>
      <c r="E11" s="52">
        <f>'Field data and Waste 1'!E11</f>
        <v>2</v>
      </c>
      <c r="F11" s="52">
        <f>'Field data and Waste 1'!F11</f>
        <v>3</v>
      </c>
      <c r="G11" s="52">
        <f>'Field data and Waste 1'!G11</f>
        <v>3</v>
      </c>
      <c r="H11" s="52">
        <f>'Field data and Waste 1'!H11</f>
        <v>0</v>
      </c>
      <c r="I11" s="52">
        <f>'Field data and Waste 1'!I11</f>
        <v>0</v>
      </c>
      <c r="J11" s="52">
        <f>'Field data and Waste 1'!J11</f>
        <v>0</v>
      </c>
      <c r="K11" s="52">
        <f>'Field data and Waste 1'!K11</f>
        <v>0</v>
      </c>
      <c r="L11" s="52">
        <f>'Field data and Waste 1'!L11</f>
        <v>0</v>
      </c>
      <c r="M11" s="52">
        <f>'Field data and Waste 1'!M11</f>
        <v>0</v>
      </c>
      <c r="N11" s="52">
        <f>'Field data and Waste 1'!N11</f>
        <v>0</v>
      </c>
      <c r="O11" s="52">
        <f>'Field data and Waste 1'!O11</f>
        <v>0</v>
      </c>
      <c r="P11" s="52">
        <f>'Field data and Waste 1'!P11</f>
        <v>0</v>
      </c>
      <c r="Q11" s="52">
        <f>'Field data and Waste 1'!Q11</f>
        <v>0</v>
      </c>
      <c r="R11" s="52">
        <f>'Field data and Waste 1'!R11</f>
        <v>0</v>
      </c>
      <c r="S11" s="52">
        <f>'Field data and Waste 1'!S11</f>
        <v>0</v>
      </c>
      <c r="T11" s="52">
        <f>'Field data and Waste 1'!T11</f>
        <v>0</v>
      </c>
      <c r="U11" s="52">
        <f>'Field data and Waste 1'!U11</f>
        <v>0</v>
      </c>
      <c r="V11" s="52">
        <f>'Field data and Waste 1'!V11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Waste 1'!C12</f>
        <v>2</v>
      </c>
      <c r="D12" s="52">
        <f>'Field data and Waste 1'!D12</f>
        <v>2</v>
      </c>
      <c r="E12" s="52">
        <f>'Field data and Waste 1'!E12</f>
        <v>1</v>
      </c>
      <c r="F12" s="52">
        <f>'Field data and Waste 1'!F12</f>
        <v>2</v>
      </c>
      <c r="G12" s="52">
        <f>'Field data and Waste 1'!G12</f>
        <v>2</v>
      </c>
      <c r="H12" s="52">
        <f>'Field data and Waste 1'!H12</f>
        <v>2</v>
      </c>
      <c r="I12" s="52">
        <f>'Field data and Waste 1'!I12</f>
        <v>0</v>
      </c>
      <c r="J12" s="52">
        <f>'Field data and Waste 1'!J12</f>
        <v>0</v>
      </c>
      <c r="K12" s="52">
        <f>'Field data and Waste 1'!K12</f>
        <v>0</v>
      </c>
      <c r="L12" s="52">
        <f>'Field data and Waste 1'!L12</f>
        <v>0</v>
      </c>
      <c r="M12" s="52">
        <f>'Field data and Waste 1'!M12</f>
        <v>0</v>
      </c>
      <c r="N12" s="52">
        <f>'Field data and Waste 1'!N12</f>
        <v>0</v>
      </c>
      <c r="O12" s="52">
        <f>'Field data and Waste 1'!O12</f>
        <v>0</v>
      </c>
      <c r="P12" s="52">
        <f>'Field data and Waste 1'!P12</f>
        <v>0</v>
      </c>
      <c r="Q12" s="52">
        <f>'Field data and Waste 1'!Q12</f>
        <v>0</v>
      </c>
      <c r="R12" s="52">
        <f>'Field data and Waste 1'!R12</f>
        <v>0</v>
      </c>
      <c r="S12" s="52">
        <f>'Field data and Waste 1'!S12</f>
        <v>0</v>
      </c>
      <c r="T12" s="52">
        <f>'Field data and Waste 1'!T12</f>
        <v>0</v>
      </c>
      <c r="U12" s="52">
        <f>'Field data and Waste 1'!U12</f>
        <v>0</v>
      </c>
      <c r="V12" s="52">
        <f>'Field data and Waste 1'!V12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Waste 1'!C13</f>
        <v>2</v>
      </c>
      <c r="D13" s="52">
        <f>'Field data and Waste 1'!D13</f>
        <v>3</v>
      </c>
      <c r="E13" s="52">
        <f>'Field data and Waste 1'!E13</f>
        <v>3</v>
      </c>
      <c r="F13" s="52">
        <f>'Field data and Waste 1'!F13</f>
        <v>3</v>
      </c>
      <c r="G13" s="52">
        <f>'Field data and Waste 1'!G13</f>
        <v>2</v>
      </c>
      <c r="H13" s="52">
        <f>'Field data and Waste 1'!H13</f>
        <v>2</v>
      </c>
      <c r="I13" s="52">
        <f>'Field data and Waste 1'!I13</f>
        <v>3</v>
      </c>
      <c r="J13" s="52">
        <f>'Field data and Waste 1'!J13</f>
        <v>3</v>
      </c>
      <c r="K13" s="52">
        <f>'Field data and Waste 1'!K13</f>
        <v>3</v>
      </c>
      <c r="L13" s="52">
        <f>'Field data and Waste 1'!L13</f>
        <v>3</v>
      </c>
      <c r="M13" s="52">
        <f>'Field data and Waste 1'!M13</f>
        <v>3</v>
      </c>
      <c r="N13" s="52">
        <f>'Field data and Waste 1'!N13</f>
        <v>0</v>
      </c>
      <c r="O13" s="52">
        <f>'Field data and Waste 1'!O13</f>
        <v>0</v>
      </c>
      <c r="P13" s="52">
        <f>'Field data and Waste 1'!P13</f>
        <v>0</v>
      </c>
      <c r="Q13" s="52">
        <f>'Field data and Waste 1'!Q13</f>
        <v>0</v>
      </c>
      <c r="R13" s="52">
        <f>'Field data and Waste 1'!R13</f>
        <v>0</v>
      </c>
      <c r="S13" s="52">
        <f>'Field data and Waste 1'!S13</f>
        <v>0</v>
      </c>
      <c r="T13" s="52">
        <f>'Field data and Waste 1'!T13</f>
        <v>0</v>
      </c>
      <c r="U13" s="52">
        <f>'Field data and Waste 1'!U13</f>
        <v>0</v>
      </c>
      <c r="V13" s="52">
        <f>'Field data and Waste 1'!V13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3" t="s">
        <v>8</v>
      </c>
      <c r="B14" s="123"/>
      <c r="C14" s="91" t="str">
        <f>'Field data and Waste 1'!C14</f>
        <v xml:space="preserve">Grass Silage (25% DM) </v>
      </c>
      <c r="D14" s="91" t="str">
        <f>'Field data and Waste 1'!D14</f>
        <v xml:space="preserve">Grass Silage (25% DM) </v>
      </c>
      <c r="E14" s="91" t="str">
        <f>'Field data and Waste 1'!E14</f>
        <v xml:space="preserve">Grass Silage (25% DM) </v>
      </c>
      <c r="F14" s="91" t="str">
        <f>'Field data and Waste 1'!F14</f>
        <v>Spring wheat/barley</v>
      </c>
      <c r="G14" s="91" t="str">
        <f>'Field data and Waste 1'!G14</f>
        <v xml:space="preserve">Grass Silage (25% DM) </v>
      </c>
      <c r="H14" s="91" t="str">
        <f>'Field data and Waste 1'!H14</f>
        <v>Winter wheat- grain &amp; straw</v>
      </c>
      <c r="I14" s="91" t="str">
        <f>'Field data and Waste 1'!I14</f>
        <v xml:space="preserve">Grass Silage (25% DM) </v>
      </c>
      <c r="J14" s="91" t="str">
        <f>'Field data and Waste 1'!J14</f>
        <v xml:space="preserve">Grass Silage (25% DM) </v>
      </c>
      <c r="K14" s="91" t="str">
        <f>'Field data and Waste 1'!K14</f>
        <v xml:space="preserve">Grass Silage (25% DM) </v>
      </c>
      <c r="L14" s="91" t="str">
        <f>'Field data and Waste 1'!L14</f>
        <v xml:space="preserve">Grass Silage (25% DM) </v>
      </c>
      <c r="M14" s="91" t="str">
        <f>'Field data and Waste 1'!M14</f>
        <v xml:space="preserve">Grass Silage (25% DM) </v>
      </c>
      <c r="N14" s="91">
        <f>'Field data and Waste 1'!N14</f>
        <v>0</v>
      </c>
      <c r="O14" s="91">
        <f>'Field data and Waste 1'!O14</f>
        <v>0</v>
      </c>
      <c r="P14" s="91">
        <f>'Field data and Waste 1'!P14</f>
        <v>0</v>
      </c>
      <c r="Q14" s="91">
        <f>'Field data and Waste 1'!Q14</f>
        <v>0</v>
      </c>
      <c r="R14" s="91">
        <f>'Field data and Waste 1'!R14</f>
        <v>0</v>
      </c>
      <c r="S14" s="91">
        <f>'Field data and Waste 1'!S14</f>
        <v>0</v>
      </c>
      <c r="T14" s="91">
        <f>'Field data and Waste 1'!T14</f>
        <v>0</v>
      </c>
      <c r="U14" s="91">
        <f>'Field data and Waste 1'!U14</f>
        <v>0</v>
      </c>
      <c r="V14" s="91">
        <f>'Field data and Waste 1'!V14</f>
        <v>0</v>
      </c>
      <c r="AD14" s="23" t="s">
        <v>138</v>
      </c>
      <c r="AE14" s="23">
        <v>6</v>
      </c>
      <c r="AI14" s="46" t="s">
        <v>119</v>
      </c>
      <c r="AJ14" s="47">
        <v>0.8</v>
      </c>
      <c r="AK14" s="48">
        <v>1.7</v>
      </c>
      <c r="AL14" s="9">
        <v>12</v>
      </c>
      <c r="AM14" s="9">
        <v>6.7</v>
      </c>
      <c r="AN14" s="9" t="s">
        <v>135</v>
      </c>
    </row>
    <row r="15" spans="1:41" x14ac:dyDescent="0.2">
      <c r="A15" s="122" t="s">
        <v>9</v>
      </c>
      <c r="B15" s="122"/>
      <c r="C15" s="52">
        <f>'Field data and Waste 1'!C15</f>
        <v>38</v>
      </c>
      <c r="D15" s="52">
        <f>'Field data and Waste 1'!D15</f>
        <v>38</v>
      </c>
      <c r="E15" s="52">
        <f>'Field data and Waste 1'!E15</f>
        <v>38</v>
      </c>
      <c r="F15" s="52">
        <f>'Field data and Waste 1'!F15</f>
        <v>5.5</v>
      </c>
      <c r="G15" s="52">
        <f>'Field data and Waste 1'!G15</f>
        <v>38</v>
      </c>
      <c r="H15" s="52">
        <f>'Field data and Waste 1'!H15</f>
        <v>8</v>
      </c>
      <c r="I15" s="52">
        <f>'Field data and Waste 1'!I15</f>
        <v>38</v>
      </c>
      <c r="J15" s="52">
        <f>'Field data and Waste 1'!J15</f>
        <v>38</v>
      </c>
      <c r="K15" s="52">
        <f>'Field data and Waste 1'!K15</f>
        <v>38</v>
      </c>
      <c r="L15" s="52">
        <f>'Field data and Waste 1'!L15</f>
        <v>38</v>
      </c>
      <c r="M15" s="52">
        <f>'Field data and Waste 1'!M15</f>
        <v>38</v>
      </c>
      <c r="N15" s="52">
        <f>'Field data and Waste 1'!N15</f>
        <v>0</v>
      </c>
      <c r="O15" s="52">
        <f>'Field data and Waste 1'!O15</f>
        <v>0</v>
      </c>
      <c r="P15" s="52">
        <f>'Field data and Waste 1'!P15</f>
        <v>0</v>
      </c>
      <c r="Q15" s="52">
        <f>'Field data and Waste 1'!Q15</f>
        <v>0</v>
      </c>
      <c r="R15" s="52">
        <f>'Field data and Waste 1'!R15</f>
        <v>0</v>
      </c>
      <c r="S15" s="52">
        <f>'Field data and Waste 1'!S15</f>
        <v>0</v>
      </c>
      <c r="T15" s="52">
        <f>'Field data and Waste 1'!T15</f>
        <v>0</v>
      </c>
      <c r="U15" s="52">
        <f>'Field data and Waste 1'!U15</f>
        <v>0</v>
      </c>
      <c r="V15" s="52">
        <f>'Field data and Waste 1'!V15</f>
        <v>0</v>
      </c>
      <c r="AD15" s="23" t="s">
        <v>144</v>
      </c>
      <c r="AE15" s="23">
        <v>7</v>
      </c>
      <c r="AI15" s="46" t="s">
        <v>101</v>
      </c>
      <c r="AJ15" s="54">
        <v>1.8</v>
      </c>
      <c r="AK15" s="48">
        <v>5.4</v>
      </c>
      <c r="AL15" s="9">
        <v>13</v>
      </c>
      <c r="AM15" s="9">
        <v>6.7</v>
      </c>
      <c r="AN15" s="9" t="s">
        <v>135</v>
      </c>
    </row>
    <row r="16" spans="1:41" ht="13.5" thickBot="1" x14ac:dyDescent="0.25">
      <c r="A16" s="124" t="s">
        <v>44</v>
      </c>
      <c r="B16" s="124"/>
      <c r="C16" s="92" t="str">
        <f>'Field data and Waste 1'!C16</f>
        <v>Medium/Clay</v>
      </c>
      <c r="D16" s="92" t="str">
        <f>'Field data and Waste 1'!D16</f>
        <v>Medium/Clay</v>
      </c>
      <c r="E16" s="92" t="str">
        <f>'Field data and Waste 1'!E16</f>
        <v>Medium/Clay</v>
      </c>
      <c r="F16" s="92" t="str">
        <f>'Field data and Waste 1'!F16</f>
        <v>Medium/Clay</v>
      </c>
      <c r="G16" s="92" t="str">
        <f>'Field data and Waste 1'!G16</f>
        <v>Medium/Clay</v>
      </c>
      <c r="H16" s="92" t="str">
        <f>'Field data and Waste 1'!H16</f>
        <v>Medium/Clay</v>
      </c>
      <c r="I16" s="92" t="str">
        <f>'Field data and Waste 1'!I16</f>
        <v>Medium/Clay</v>
      </c>
      <c r="J16" s="92" t="str">
        <f>'Field data and Waste 1'!J16</f>
        <v>Medium/Clay</v>
      </c>
      <c r="K16" s="92" t="str">
        <f>'Field data and Waste 1'!K16</f>
        <v>Medium/Clay</v>
      </c>
      <c r="L16" s="92" t="str">
        <f>'Field data and Waste 1'!L16</f>
        <v>Medium/Clay</v>
      </c>
      <c r="M16" s="92" t="str">
        <f>'Field data and Waste 1'!M16</f>
        <v>Medium/Clay</v>
      </c>
      <c r="N16" s="92">
        <f>'Field data and Waste 1'!N16</f>
        <v>0</v>
      </c>
      <c r="O16" s="92">
        <f>'Field data and Waste 1'!O16</f>
        <v>0</v>
      </c>
      <c r="P16" s="92">
        <f>'Field data and Waste 1'!P16</f>
        <v>0</v>
      </c>
      <c r="Q16" s="92">
        <f>'Field data and Waste 1'!Q16</f>
        <v>0</v>
      </c>
      <c r="R16" s="92">
        <f>'Field data and Waste 1'!R16</f>
        <v>0</v>
      </c>
      <c r="S16" s="92">
        <f>'Field data and Waste 1'!S16</f>
        <v>0</v>
      </c>
      <c r="T16" s="92">
        <f>'Field data and Waste 1'!T16</f>
        <v>0</v>
      </c>
      <c r="U16" s="92">
        <f>'Field data and Waste 1'!U16</f>
        <v>0</v>
      </c>
      <c r="V16" s="92">
        <f>'Field data and Waste 1'!V16</f>
        <v>0</v>
      </c>
      <c r="AD16" s="45" t="s">
        <v>145</v>
      </c>
      <c r="AE16" s="23">
        <v>8</v>
      </c>
      <c r="AI16" s="46" t="s">
        <v>118</v>
      </c>
      <c r="AJ16" s="47">
        <v>8</v>
      </c>
      <c r="AK16" s="48">
        <v>5.5</v>
      </c>
      <c r="AL16" s="7">
        <v>14</v>
      </c>
      <c r="AM16" s="9">
        <v>6.7</v>
      </c>
      <c r="AN16" s="9" t="s">
        <v>135</v>
      </c>
    </row>
    <row r="17" spans="1:40" x14ac:dyDescent="0.2">
      <c r="A17" s="120" t="s">
        <v>69</v>
      </c>
      <c r="B17" s="121"/>
      <c r="C17" s="21">
        <f>(VLOOKUP(C$14,$AI2:$AK26,2,FALSE))*C$15</f>
        <v>64.599999999999994</v>
      </c>
      <c r="D17" s="21">
        <f t="shared" ref="D17:V17" si="0">(VLOOKUP(D$14,$AI2:$AK26,2,FALSE))*D$15</f>
        <v>64.599999999999994</v>
      </c>
      <c r="E17" s="21">
        <f t="shared" si="0"/>
        <v>64.599999999999994</v>
      </c>
      <c r="F17" s="21">
        <f t="shared" si="0"/>
        <v>46.75</v>
      </c>
      <c r="G17" s="21">
        <f t="shared" si="0"/>
        <v>64.599999999999994</v>
      </c>
      <c r="H17" s="21">
        <f t="shared" si="0"/>
        <v>56</v>
      </c>
      <c r="I17" s="21">
        <f t="shared" si="0"/>
        <v>64.599999999999994</v>
      </c>
      <c r="J17" s="21">
        <f t="shared" si="0"/>
        <v>64.599999999999994</v>
      </c>
      <c r="K17" s="21">
        <f t="shared" si="0"/>
        <v>64.599999999999994</v>
      </c>
      <c r="L17" s="21">
        <f t="shared" si="0"/>
        <v>64.599999999999994</v>
      </c>
      <c r="M17" s="21">
        <f t="shared" si="0"/>
        <v>64.599999999999994</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8" t="s">
        <v>23</v>
      </c>
      <c r="B18" s="119"/>
      <c r="C18" s="13">
        <f>$D31</f>
        <v>64.068456479999995</v>
      </c>
      <c r="D18" s="13">
        <f>$D32</f>
        <v>64.068456479999995</v>
      </c>
      <c r="E18" s="13">
        <f>$D33</f>
        <v>64.068456479999995</v>
      </c>
      <c r="F18" s="13">
        <f>$D34</f>
        <v>44.047063829999999</v>
      </c>
      <c r="G18" s="13">
        <f>$D35</f>
        <v>64.068456479999995</v>
      </c>
      <c r="H18" s="13">
        <f>$D36</f>
        <v>148.15830560999999</v>
      </c>
      <c r="I18" s="13">
        <f>$D37</f>
        <v>148.15830560999999</v>
      </c>
      <c r="J18" s="13">
        <f>$D38</f>
        <v>148.15830560999999</v>
      </c>
      <c r="K18" s="13">
        <f>$D39</f>
        <v>148.15830560999999</v>
      </c>
      <c r="L18" s="13">
        <f>$D40</f>
        <v>148.15830560999999</v>
      </c>
      <c r="M18" s="13">
        <f>$D41</f>
        <v>148.15830560999999</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8" t="s">
        <v>90</v>
      </c>
      <c r="B19" s="119"/>
      <c r="C19" s="13">
        <f>C18-C17</f>
        <v>-0.5315435199999996</v>
      </c>
      <c r="D19" s="13">
        <f t="shared" ref="D19:V19" si="1">D18-D17</f>
        <v>-0.5315435199999996</v>
      </c>
      <c r="E19" s="13">
        <f t="shared" si="1"/>
        <v>-0.5315435199999996</v>
      </c>
      <c r="F19" s="13">
        <f t="shared" si="1"/>
        <v>-2.702936170000001</v>
      </c>
      <c r="G19" s="13">
        <f t="shared" si="1"/>
        <v>-0.5315435199999996</v>
      </c>
      <c r="H19" s="13">
        <f t="shared" si="1"/>
        <v>92.158305609999985</v>
      </c>
      <c r="I19" s="13">
        <f t="shared" si="1"/>
        <v>83.558305609999991</v>
      </c>
      <c r="J19" s="13">
        <f t="shared" si="1"/>
        <v>83.558305609999991</v>
      </c>
      <c r="K19" s="13">
        <f t="shared" si="1"/>
        <v>83.558305609999991</v>
      </c>
      <c r="L19" s="13">
        <f t="shared" si="1"/>
        <v>83.558305609999991</v>
      </c>
      <c r="M19" s="13">
        <f t="shared" si="1"/>
        <v>83.558305609999991</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INCREASE</v>
      </c>
      <c r="I20" s="19" t="str">
        <f>IF($B37="","",IF(I$19&gt;=0,"INCREASE","DECREASE"))</f>
        <v>INCREASE</v>
      </c>
      <c r="J20" s="19" t="str">
        <f>IF($B38="","",IF(J$19&gt;=0,"INCREASE","DECREASE"))</f>
        <v>INCREASE</v>
      </c>
      <c r="K20" s="19" t="str">
        <f>IF($B39="","",IF(K$19&gt;=0,"INCREASE","DECREASE"))</f>
        <v>INCREASE</v>
      </c>
      <c r="L20" s="19" t="str">
        <f>IF($B40="","",IF(L$19&gt;=0,"INCREASE","DECREASE"))</f>
        <v>INCREASE</v>
      </c>
      <c r="M20" s="19" t="str">
        <f>IF($B41="","",IF(M$19&gt;=0,"INCREASE","DECREASE"))</f>
        <v>INCREASE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0" t="s">
        <v>88</v>
      </c>
      <c r="B21" s="121"/>
      <c r="C21" s="21">
        <f>(VLOOKUP(C$14,$AI2:$AK26,3,FALSE))*C$15</f>
        <v>228</v>
      </c>
      <c r="D21" s="21">
        <f t="shared" ref="D21:V21" si="2">(VLOOKUP(D$14,$AI2:$AK26,3,FALSE))*D$15</f>
        <v>228</v>
      </c>
      <c r="E21" s="21">
        <f t="shared" si="2"/>
        <v>228</v>
      </c>
      <c r="F21" s="21">
        <f t="shared" si="2"/>
        <v>66</v>
      </c>
      <c r="G21" s="21">
        <f t="shared" si="2"/>
        <v>228</v>
      </c>
      <c r="H21" s="21">
        <f t="shared" si="2"/>
        <v>84</v>
      </c>
      <c r="I21" s="21">
        <f t="shared" si="2"/>
        <v>228</v>
      </c>
      <c r="J21" s="21">
        <f t="shared" si="2"/>
        <v>228</v>
      </c>
      <c r="K21" s="21">
        <f t="shared" si="2"/>
        <v>228</v>
      </c>
      <c r="L21" s="21">
        <f t="shared" si="2"/>
        <v>228</v>
      </c>
      <c r="M21" s="21">
        <f t="shared" si="2"/>
        <v>228</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8" t="s">
        <v>89</v>
      </c>
      <c r="B22" s="119"/>
      <c r="C22" s="13">
        <f>$E31</f>
        <v>0.34050407999999999</v>
      </c>
      <c r="D22" s="13">
        <f>$E32</f>
        <v>0.34050407999999999</v>
      </c>
      <c r="E22" s="13">
        <f>$E33</f>
        <v>0.34050407999999999</v>
      </c>
      <c r="F22" s="13">
        <f>$E34</f>
        <v>0.23409655500000001</v>
      </c>
      <c r="G22" s="13">
        <f>$E35</f>
        <v>0.34050407999999999</v>
      </c>
      <c r="H22" s="13">
        <f>$E36</f>
        <v>0.78741568500000003</v>
      </c>
      <c r="I22" s="13">
        <f>$E37</f>
        <v>0.78741568500000003</v>
      </c>
      <c r="J22" s="13">
        <f>$E38</f>
        <v>0.78741568500000003</v>
      </c>
      <c r="K22" s="13">
        <f>$E39</f>
        <v>0.78741568500000003</v>
      </c>
      <c r="L22" s="13">
        <f>$E40</f>
        <v>0.78741568500000003</v>
      </c>
      <c r="M22" s="13">
        <f>$E41</f>
        <v>0.78741568500000003</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8" t="s">
        <v>92</v>
      </c>
      <c r="B23" s="119"/>
      <c r="C23" s="13">
        <f>C22-C21</f>
        <v>-227.65949592000001</v>
      </c>
      <c r="D23" s="13">
        <f t="shared" ref="D23:V23" si="3">D22-D21</f>
        <v>-227.65949592000001</v>
      </c>
      <c r="E23" s="13">
        <f t="shared" si="3"/>
        <v>-227.65949592000001</v>
      </c>
      <c r="F23" s="13">
        <f t="shared" si="3"/>
        <v>-65.765903445000006</v>
      </c>
      <c r="G23" s="13">
        <f t="shared" si="3"/>
        <v>-227.65949592000001</v>
      </c>
      <c r="H23" s="13">
        <f t="shared" si="3"/>
        <v>-83.212584315000001</v>
      </c>
      <c r="I23" s="13">
        <f t="shared" si="3"/>
        <v>-227.21258431499999</v>
      </c>
      <c r="J23" s="13">
        <f t="shared" si="3"/>
        <v>-227.21258431499999</v>
      </c>
      <c r="K23" s="13">
        <f t="shared" si="3"/>
        <v>-227.21258431499999</v>
      </c>
      <c r="L23" s="13">
        <f t="shared" si="3"/>
        <v>-227.21258431499999</v>
      </c>
      <c r="M23" s="13">
        <f t="shared" si="3"/>
        <v>-227.21258431499999</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25">
      <c r="A28" s="97"/>
      <c r="B28" s="17">
        <v>20.3</v>
      </c>
      <c r="C28" s="12">
        <v>1.53</v>
      </c>
      <c r="D28" s="12">
        <v>0.86099999999999999</v>
      </c>
      <c r="E28" s="12">
        <v>8.6999999999999994E-3</v>
      </c>
      <c r="F28" s="12">
        <v>794</v>
      </c>
      <c r="G28" s="12">
        <v>14.1</v>
      </c>
      <c r="H28" s="12">
        <v>270</v>
      </c>
      <c r="I28" s="12">
        <v>39.9</v>
      </c>
      <c r="J28" s="12">
        <v>0.12</v>
      </c>
      <c r="K28" s="16">
        <v>0.49</v>
      </c>
      <c r="L28" s="12">
        <v>23.1</v>
      </c>
      <c r="M28" s="12">
        <v>14.9</v>
      </c>
      <c r="N28" s="12">
        <v>6230</v>
      </c>
      <c r="O28" s="12">
        <v>522000</v>
      </c>
      <c r="P28" s="12"/>
      <c r="Q28" s="12">
        <v>2550</v>
      </c>
      <c r="R28" s="12"/>
      <c r="S28" s="12">
        <v>24.9</v>
      </c>
      <c r="T28" s="12"/>
      <c r="U28" s="12"/>
    </row>
    <row r="29" spans="1:40" s="7" customFormat="1" ht="27" x14ac:dyDescent="0.2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2</v>
      </c>
      <c r="B31" s="12">
        <v>16</v>
      </c>
      <c r="C31" s="68">
        <f>IF(C$27="%w/w SAR",((C$28*10)*$B31),IF(C$27="%w/w DM",(((C$28*10)*($B$28/100))*$B31),IF(C$27="kg/t SAR",(C$28*$B31),IF(C$27="kg/t DM",((C$28*($B$28/100))*$B31),IF(C$27="mg/kg SAR",((C$28*0.001)*$B31),IF(C$27="mg/kg DM",(((C$28*0.001)*($B$28/100))*$B31),0))))))</f>
        <v>49.694400000000009</v>
      </c>
      <c r="D31" s="68">
        <f>(IF(D$27="%w/w SAR",((D$28*10)*$B31),IF(D$27="%w/w DM",(((D$28*10)*($B$28/100))*$B31),IF(D$27="kg/t SAR",(D$28*$B31),IF(D$27="kg/t DM",((D$28*($B$28/100))*$B31),IF(D$27="mg/kg SAR",((D$28*0.001)*$B31),IF(D$27="mg/kg DM",(((D$28*0.001)*($B$28/100))*$B31),"0")))))))*2.291</f>
        <v>64.068456479999995</v>
      </c>
      <c r="E31" s="68">
        <f>(IF(E$27="%w/w SAR",((E$28*10)*$B31),IF(E$27="%w/w DM",(((E$28*10)*($B$28/100))*$B31),IF(E$27="kg/t SAR",(E$28*$B31),IF(E$27="kg/t DM",((E$28*($B$28/100))*$B31),IF(E$27="mg/kg SAR",((E$28*0.001)*$B31),IF(E$27="mg/kg DM",(((E$28*0.001)*($B$28/100))*$B31),"0")))))))*1.205</f>
        <v>0.34050407999999999</v>
      </c>
      <c r="F31" s="68">
        <f>(IF(F$27="%w/w SAR",((F$28*10)*$B31),IF(F$27="%w/w DM",(((F$28*10)*($B$28/100))*$B31),IF(F$27="kg/t SAR",(F$28*$B31),IF(F$27="kg/t DM",((F$28*($B$28/100))*$B31),IF(F$27="mg/kg SAR",((F$28*0.001)*$B31),IF(F$27="mg/kg DM",(((F$28*0.001)*($B$28/100))*$B31),"0")))))))*1.658</f>
        <v>4.2758360959999999</v>
      </c>
      <c r="G31" s="68">
        <f t="shared" ref="G31:P46" si="5">IF(G$27="%w/w SAR",((G$28*10)*$B31),IF(G$27="%w/w DM",(((G$28*10)*($B$28/100))*$B31),IF(G$27="kg/t SAR",(G$28*$B31),IF(G$27="kg/t DM",((G$28*($B$28/100))*$B31),IF(G$27="mg/kg SAR",((G$28*0.001)*$B31),IF(G$27="mg/kg DM",(((G$28*0.001)*($B$28/100))*$B31),0))))))</f>
        <v>4.5796799999999999E-2</v>
      </c>
      <c r="H31" s="68">
        <f t="shared" si="5"/>
        <v>0.87696000000000007</v>
      </c>
      <c r="I31" s="68">
        <f t="shared" si="5"/>
        <v>0.12959519999999999</v>
      </c>
      <c r="J31" s="68">
        <f t="shared" si="5"/>
        <v>3.8976000000000006E-4</v>
      </c>
      <c r="K31" s="68">
        <f t="shared" si="5"/>
        <v>1.5915200000000001E-3</v>
      </c>
      <c r="L31" s="68">
        <f t="shared" si="5"/>
        <v>7.5028800000000007E-2</v>
      </c>
      <c r="M31" s="68">
        <f t="shared" si="5"/>
        <v>4.8395200000000006E-2</v>
      </c>
      <c r="N31" s="68">
        <f t="shared" si="5"/>
        <v>20.235040000000001</v>
      </c>
      <c r="O31" s="68">
        <f t="shared" si="5"/>
        <v>1695.4560000000001</v>
      </c>
      <c r="P31" s="68">
        <f t="shared" si="5"/>
        <v>0</v>
      </c>
      <c r="Q31" s="68">
        <f>(IF(Q$27="%w/w SAR",((Q$28*10)*$B31),IF(Q$27="%w/w DM",(((Q$28*10)*($B$28/100))*$B31),IF(Q$27="kg/t SAR",(Q$28*$B31),IF(Q$27="kg/t DM",((Q$28*($B$28/100))*$B31),IF(Q$27="mg/kg SAR",((Q$28*0.001)*$B31),IF(Q$27="mg/kg DM",(((Q$28*0.001)*($B$28/100))*$B31),0)))))))*2.5</f>
        <v>20.706000000000003</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8.0875199999999994E-2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3</v>
      </c>
      <c r="B32" s="12">
        <v>16</v>
      </c>
      <c r="C32" s="68">
        <f t="shared" ref="C32:C50" si="6">IF(C$27="%w/w SAR",((C$28*10)*$B32),IF(C$27="%w/w DM",(((C$28*10)*($B$28/100))*$B32),IF(C$27="kg/t SAR",(C$28*$B32),IF(C$27="kg/t DM",((C$28*($B$28/100))*$B32),IF(C$27="mg/kg SAR",((C$28*0.001)*$B32),IF(C$27="mg/kg DM",(((C$28*0.001)*($B$28/100))*$B32),0))))))</f>
        <v>49.694400000000009</v>
      </c>
      <c r="D32" s="68">
        <f t="shared" ref="D32:D50" si="7">(IF(D$27="%w/w SAR",((D$28*10)*$B32),IF(D$27="%w/w DM",(((D$28*10)*($B$28/100))*$B32),IF(D$27="kg/t SAR",(D$28*$B32),IF(D$27="kg/t DM",((D$28*($B$28/100))*$B32),IF(D$27="mg/kg SAR",((D$28*0.001)*$B32),IF(D$27="mg/kg DM",(((D$28*0.001)*($B$28/100))*$B32),"0")))))))*2.291</f>
        <v>64.068456479999995</v>
      </c>
      <c r="E32" s="68">
        <f t="shared" ref="E32:E50" si="8">(IF(E$27="%w/w SAR",((E$28*10)*$B32),IF(E$27="%w/w DM",(((E$28*10)*($B$28/100))*$B32),IF(E$27="kg/t SAR",(E$28*$B32),IF(E$27="kg/t DM",((E$28*($B$28/100))*$B32),IF(E$27="mg/kg SAR",((E$28*0.001)*$B32),IF(E$27="mg/kg DM",(((E$28*0.001)*($B$28/100))*$B32),"0")))))))*1.205</f>
        <v>0.34050407999999999</v>
      </c>
      <c r="F32" s="68">
        <f t="shared" ref="F32:F50" si="9">(IF(F$27="%w/w SAR",((F$28*10)*$B32),IF(F$27="%w/w DM",(((F$28*10)*($B$28/100))*$B32),IF(F$27="kg/t SAR",(F$28*$B32),IF(F$27="kg/t DM",((F$28*($B$28/100))*$B32),IF(F$27="mg/kg SAR",((F$28*0.001)*$B32),IF(F$27="mg/kg DM",(((F$28*0.001)*($B$28/100))*$B32),"0")))))))*1.658</f>
        <v>4.2758360959999999</v>
      </c>
      <c r="G32" s="68">
        <f t="shared" si="5"/>
        <v>4.5796799999999999E-2</v>
      </c>
      <c r="H32" s="68">
        <f t="shared" si="5"/>
        <v>0.87696000000000007</v>
      </c>
      <c r="I32" s="68">
        <f t="shared" si="5"/>
        <v>0.12959519999999999</v>
      </c>
      <c r="J32" s="68">
        <f t="shared" si="5"/>
        <v>3.8976000000000006E-4</v>
      </c>
      <c r="K32" s="68">
        <f t="shared" si="5"/>
        <v>1.5915200000000001E-3</v>
      </c>
      <c r="L32" s="68">
        <f t="shared" si="5"/>
        <v>7.5028800000000007E-2</v>
      </c>
      <c r="M32" s="68">
        <f t="shared" si="5"/>
        <v>4.8395200000000006E-2</v>
      </c>
      <c r="N32" s="68">
        <f t="shared" si="5"/>
        <v>20.235040000000001</v>
      </c>
      <c r="O32" s="68">
        <f t="shared" si="5"/>
        <v>1695.4560000000001</v>
      </c>
      <c r="P32" s="68">
        <f t="shared" si="5"/>
        <v>0</v>
      </c>
      <c r="Q32" s="68">
        <f t="shared" ref="Q32:Q50" si="10">(IF(Q$27="%w/w SAR",((Q$28*10)*$B32),IF(Q$27="%w/w DM",(((Q$28*10)*($B$28/100))*$B32),IF(Q$27="kg/t SAR",(Q$28*$B32),IF(Q$27="kg/t DM",((Q$28*($B$28/100))*$B32),IF(Q$27="mg/kg SAR",((Q$28*0.001)*$B32),IF(Q$27="mg/kg DM",(((Q$28*0.001)*($B$28/100))*$B32),0)))))))*2.5</f>
        <v>20.706000000000003</v>
      </c>
      <c r="R32" s="68">
        <f t="shared" ref="R32:U50" si="11">IF(R$27="%w/w SAR",((R$28*10)*$B32),IF(R$27="%w/w DM",(((R$28*10)*($B$28/100))*$B32),IF(R$27="kg/t SAR",(R$28*$B32),IF(R$27="kg/t DM",((R$28*($B$28/100))*$B32),IF(R$27="mg/kg SAR",((R$28*0.001)*$B32),IF(R$27="mg/kg DM",(((R$28*0.001)*($B$28/100))*$B32),0))))))</f>
        <v>0</v>
      </c>
      <c r="S32" s="68">
        <f t="shared" si="11"/>
        <v>8.0875199999999994E-2</v>
      </c>
      <c r="T32" s="68">
        <f t="shared" si="11"/>
        <v>0</v>
      </c>
      <c r="U32" s="68">
        <f t="shared" si="11"/>
        <v>0</v>
      </c>
    </row>
    <row r="33" spans="1:21" s="51" customFormat="1" x14ac:dyDescent="0.25">
      <c r="A33" s="10">
        <f>E8</f>
        <v>4</v>
      </c>
      <c r="B33" s="12">
        <v>16</v>
      </c>
      <c r="C33" s="68">
        <f t="shared" si="6"/>
        <v>49.694400000000009</v>
      </c>
      <c r="D33" s="68">
        <f t="shared" si="7"/>
        <v>64.068456479999995</v>
      </c>
      <c r="E33" s="68">
        <f t="shared" si="8"/>
        <v>0.34050407999999999</v>
      </c>
      <c r="F33" s="68">
        <f t="shared" si="9"/>
        <v>4.2758360959999999</v>
      </c>
      <c r="G33" s="68">
        <f t="shared" si="5"/>
        <v>4.5796799999999999E-2</v>
      </c>
      <c r="H33" s="68">
        <f t="shared" si="5"/>
        <v>0.87696000000000007</v>
      </c>
      <c r="I33" s="68">
        <f t="shared" si="5"/>
        <v>0.12959519999999999</v>
      </c>
      <c r="J33" s="68">
        <f t="shared" si="5"/>
        <v>3.8976000000000006E-4</v>
      </c>
      <c r="K33" s="68">
        <f t="shared" si="5"/>
        <v>1.5915200000000001E-3</v>
      </c>
      <c r="L33" s="68">
        <f t="shared" si="5"/>
        <v>7.5028800000000007E-2</v>
      </c>
      <c r="M33" s="68">
        <f t="shared" si="5"/>
        <v>4.8395200000000006E-2</v>
      </c>
      <c r="N33" s="68">
        <f t="shared" si="5"/>
        <v>20.235040000000001</v>
      </c>
      <c r="O33" s="68">
        <f t="shared" si="5"/>
        <v>1695.4560000000001</v>
      </c>
      <c r="P33" s="68">
        <f t="shared" si="5"/>
        <v>0</v>
      </c>
      <c r="Q33" s="68">
        <f t="shared" si="10"/>
        <v>20.706000000000003</v>
      </c>
      <c r="R33" s="68">
        <f t="shared" si="11"/>
        <v>0</v>
      </c>
      <c r="S33" s="68">
        <f t="shared" si="11"/>
        <v>8.0875199999999994E-2</v>
      </c>
      <c r="T33" s="68">
        <f t="shared" si="11"/>
        <v>0</v>
      </c>
      <c r="U33" s="68">
        <f t="shared" si="11"/>
        <v>0</v>
      </c>
    </row>
    <row r="34" spans="1:21" s="51" customFormat="1" x14ac:dyDescent="0.25">
      <c r="A34" s="10">
        <f>F8</f>
        <v>10</v>
      </c>
      <c r="B34" s="12">
        <v>11</v>
      </c>
      <c r="C34" s="68">
        <f t="shared" si="6"/>
        <v>34.164900000000003</v>
      </c>
      <c r="D34" s="68">
        <f t="shared" si="7"/>
        <v>44.047063829999999</v>
      </c>
      <c r="E34" s="68">
        <f t="shared" si="8"/>
        <v>0.23409655500000001</v>
      </c>
      <c r="F34" s="68">
        <f t="shared" si="9"/>
        <v>2.9396373160000002</v>
      </c>
      <c r="G34" s="68">
        <f t="shared" si="5"/>
        <v>3.1485300000000001E-2</v>
      </c>
      <c r="H34" s="68">
        <f t="shared" si="5"/>
        <v>0.60291000000000006</v>
      </c>
      <c r="I34" s="68">
        <f t="shared" si="5"/>
        <v>8.9096700000000001E-2</v>
      </c>
      <c r="J34" s="68">
        <f t="shared" si="5"/>
        <v>2.6796000000000003E-4</v>
      </c>
      <c r="K34" s="68">
        <f t="shared" si="5"/>
        <v>1.09417E-3</v>
      </c>
      <c r="L34" s="68">
        <f t="shared" si="5"/>
        <v>5.1582300000000005E-2</v>
      </c>
      <c r="M34" s="68">
        <f t="shared" si="5"/>
        <v>3.3271700000000001E-2</v>
      </c>
      <c r="N34" s="68">
        <f t="shared" si="5"/>
        <v>13.91159</v>
      </c>
      <c r="O34" s="68">
        <f t="shared" si="5"/>
        <v>1165.6260000000002</v>
      </c>
      <c r="P34" s="68">
        <f t="shared" si="5"/>
        <v>0</v>
      </c>
      <c r="Q34" s="68">
        <f t="shared" si="10"/>
        <v>14.235375000000001</v>
      </c>
      <c r="R34" s="68">
        <f t="shared" si="11"/>
        <v>0</v>
      </c>
      <c r="S34" s="68">
        <f t="shared" si="11"/>
        <v>5.5601699999999997E-2</v>
      </c>
      <c r="T34" s="68">
        <f t="shared" si="11"/>
        <v>0</v>
      </c>
      <c r="U34" s="68">
        <f t="shared" si="11"/>
        <v>0</v>
      </c>
    </row>
    <row r="35" spans="1:21" s="51" customFormat="1" x14ac:dyDescent="0.25">
      <c r="A35" s="10">
        <f>G8</f>
        <v>20</v>
      </c>
      <c r="B35" s="12">
        <v>16</v>
      </c>
      <c r="C35" s="68">
        <f t="shared" si="6"/>
        <v>49.694400000000009</v>
      </c>
      <c r="D35" s="68">
        <f t="shared" si="7"/>
        <v>64.068456479999995</v>
      </c>
      <c r="E35" s="68">
        <f t="shared" si="8"/>
        <v>0.34050407999999999</v>
      </c>
      <c r="F35" s="68">
        <f t="shared" si="9"/>
        <v>4.2758360959999999</v>
      </c>
      <c r="G35" s="68">
        <f t="shared" si="5"/>
        <v>4.5796799999999999E-2</v>
      </c>
      <c r="H35" s="68">
        <f t="shared" si="5"/>
        <v>0.87696000000000007</v>
      </c>
      <c r="I35" s="68">
        <f t="shared" si="5"/>
        <v>0.12959519999999999</v>
      </c>
      <c r="J35" s="68">
        <f t="shared" si="5"/>
        <v>3.8976000000000006E-4</v>
      </c>
      <c r="K35" s="68">
        <f t="shared" si="5"/>
        <v>1.5915200000000001E-3</v>
      </c>
      <c r="L35" s="68">
        <f t="shared" si="5"/>
        <v>7.5028800000000007E-2</v>
      </c>
      <c r="M35" s="68">
        <f t="shared" si="5"/>
        <v>4.8395200000000006E-2</v>
      </c>
      <c r="N35" s="68">
        <f t="shared" si="5"/>
        <v>20.235040000000001</v>
      </c>
      <c r="O35" s="68">
        <f t="shared" si="5"/>
        <v>1695.4560000000001</v>
      </c>
      <c r="P35" s="68">
        <f t="shared" si="5"/>
        <v>0</v>
      </c>
      <c r="Q35" s="68">
        <f t="shared" si="10"/>
        <v>20.706000000000003</v>
      </c>
      <c r="R35" s="68">
        <f t="shared" si="11"/>
        <v>0</v>
      </c>
      <c r="S35" s="68">
        <f t="shared" si="11"/>
        <v>8.0875199999999994E-2</v>
      </c>
      <c r="T35" s="68">
        <f t="shared" si="11"/>
        <v>0</v>
      </c>
      <c r="U35" s="68">
        <f t="shared" si="11"/>
        <v>0</v>
      </c>
    </row>
    <row r="36" spans="1:21" s="51" customFormat="1" x14ac:dyDescent="0.25">
      <c r="A36" s="10">
        <f>H8</f>
        <v>7886</v>
      </c>
      <c r="B36" s="12">
        <v>37</v>
      </c>
      <c r="C36" s="68">
        <f t="shared" si="6"/>
        <v>114.91830000000002</v>
      </c>
      <c r="D36" s="68">
        <f t="shared" si="7"/>
        <v>148.15830560999999</v>
      </c>
      <c r="E36" s="68">
        <f t="shared" si="8"/>
        <v>0.78741568500000003</v>
      </c>
      <c r="F36" s="68">
        <f t="shared" si="9"/>
        <v>9.887870972</v>
      </c>
      <c r="G36" s="68">
        <f t="shared" si="5"/>
        <v>0.1059051</v>
      </c>
      <c r="H36" s="68">
        <f t="shared" si="5"/>
        <v>2.0279700000000003</v>
      </c>
      <c r="I36" s="68">
        <f t="shared" si="5"/>
        <v>0.29968889999999998</v>
      </c>
      <c r="J36" s="68">
        <f t="shared" si="5"/>
        <v>9.0132000000000016E-4</v>
      </c>
      <c r="K36" s="68">
        <f t="shared" si="5"/>
        <v>3.6803900000000004E-3</v>
      </c>
      <c r="L36" s="68">
        <f t="shared" si="5"/>
        <v>0.17350410000000002</v>
      </c>
      <c r="M36" s="68">
        <f t="shared" si="5"/>
        <v>0.11191390000000001</v>
      </c>
      <c r="N36" s="68">
        <f t="shared" si="5"/>
        <v>46.793530000000004</v>
      </c>
      <c r="O36" s="68">
        <f t="shared" si="5"/>
        <v>3920.7420000000002</v>
      </c>
      <c r="P36" s="68">
        <f t="shared" si="5"/>
        <v>0</v>
      </c>
      <c r="Q36" s="68">
        <f t="shared" si="10"/>
        <v>47.882625000000004</v>
      </c>
      <c r="R36" s="68">
        <f t="shared" si="11"/>
        <v>0</v>
      </c>
      <c r="S36" s="68">
        <f t="shared" si="11"/>
        <v>0.18702389999999999</v>
      </c>
      <c r="T36" s="68">
        <f t="shared" si="11"/>
        <v>0</v>
      </c>
      <c r="U36" s="68">
        <f t="shared" si="11"/>
        <v>0</v>
      </c>
    </row>
    <row r="37" spans="1:21" s="51" customFormat="1" x14ac:dyDescent="0.25">
      <c r="A37" s="10">
        <f>I8</f>
        <v>8440</v>
      </c>
      <c r="B37" s="12">
        <v>37</v>
      </c>
      <c r="C37" s="68">
        <f t="shared" si="6"/>
        <v>114.91830000000002</v>
      </c>
      <c r="D37" s="68">
        <f t="shared" si="7"/>
        <v>148.15830560999999</v>
      </c>
      <c r="E37" s="68">
        <f t="shared" si="8"/>
        <v>0.78741568500000003</v>
      </c>
      <c r="F37" s="68">
        <f t="shared" si="9"/>
        <v>9.887870972</v>
      </c>
      <c r="G37" s="68">
        <f t="shared" si="5"/>
        <v>0.1059051</v>
      </c>
      <c r="H37" s="68">
        <f t="shared" si="5"/>
        <v>2.0279700000000003</v>
      </c>
      <c r="I37" s="68">
        <f t="shared" si="5"/>
        <v>0.29968889999999998</v>
      </c>
      <c r="J37" s="68">
        <f t="shared" si="5"/>
        <v>9.0132000000000016E-4</v>
      </c>
      <c r="K37" s="68">
        <f t="shared" si="5"/>
        <v>3.6803900000000004E-3</v>
      </c>
      <c r="L37" s="68">
        <f t="shared" si="5"/>
        <v>0.17350410000000002</v>
      </c>
      <c r="M37" s="68">
        <f t="shared" si="5"/>
        <v>0.11191390000000001</v>
      </c>
      <c r="N37" s="68">
        <f t="shared" si="5"/>
        <v>46.793530000000004</v>
      </c>
      <c r="O37" s="68">
        <f t="shared" si="5"/>
        <v>3920.7420000000002</v>
      </c>
      <c r="P37" s="68">
        <f t="shared" si="5"/>
        <v>0</v>
      </c>
      <c r="Q37" s="68">
        <f t="shared" si="10"/>
        <v>47.882625000000004</v>
      </c>
      <c r="R37" s="68">
        <f t="shared" si="11"/>
        <v>0</v>
      </c>
      <c r="S37" s="68">
        <f t="shared" si="11"/>
        <v>0.18702389999999999</v>
      </c>
      <c r="T37" s="68">
        <f t="shared" si="11"/>
        <v>0</v>
      </c>
      <c r="U37" s="68">
        <f t="shared" si="11"/>
        <v>0</v>
      </c>
    </row>
    <row r="38" spans="1:21" s="51" customFormat="1" x14ac:dyDescent="0.25">
      <c r="A38" s="10">
        <f>J8</f>
        <v>8087</v>
      </c>
      <c r="B38" s="12">
        <v>37</v>
      </c>
      <c r="C38" s="68">
        <f t="shared" si="6"/>
        <v>114.91830000000002</v>
      </c>
      <c r="D38" s="68">
        <f t="shared" si="7"/>
        <v>148.15830560999999</v>
      </c>
      <c r="E38" s="68">
        <f t="shared" si="8"/>
        <v>0.78741568500000003</v>
      </c>
      <c r="F38" s="68">
        <f t="shared" si="9"/>
        <v>9.887870972</v>
      </c>
      <c r="G38" s="68">
        <f t="shared" si="5"/>
        <v>0.1059051</v>
      </c>
      <c r="H38" s="68">
        <f t="shared" si="5"/>
        <v>2.0279700000000003</v>
      </c>
      <c r="I38" s="68">
        <f t="shared" si="5"/>
        <v>0.29968889999999998</v>
      </c>
      <c r="J38" s="68">
        <f t="shared" si="5"/>
        <v>9.0132000000000016E-4</v>
      </c>
      <c r="K38" s="68">
        <f t="shared" si="5"/>
        <v>3.6803900000000004E-3</v>
      </c>
      <c r="L38" s="68">
        <f t="shared" si="5"/>
        <v>0.17350410000000002</v>
      </c>
      <c r="M38" s="68">
        <f t="shared" si="5"/>
        <v>0.11191390000000001</v>
      </c>
      <c r="N38" s="68">
        <f t="shared" si="5"/>
        <v>46.793530000000004</v>
      </c>
      <c r="O38" s="68">
        <f t="shared" si="5"/>
        <v>3920.7420000000002</v>
      </c>
      <c r="P38" s="68">
        <f t="shared" si="5"/>
        <v>0</v>
      </c>
      <c r="Q38" s="68">
        <f t="shared" si="10"/>
        <v>47.882625000000004</v>
      </c>
      <c r="R38" s="68">
        <f t="shared" si="11"/>
        <v>0</v>
      </c>
      <c r="S38" s="68">
        <f t="shared" si="11"/>
        <v>0.18702389999999999</v>
      </c>
      <c r="T38" s="68">
        <f t="shared" si="11"/>
        <v>0</v>
      </c>
      <c r="U38" s="68">
        <f t="shared" si="11"/>
        <v>0</v>
      </c>
    </row>
    <row r="39" spans="1:21" s="51" customFormat="1" x14ac:dyDescent="0.25">
      <c r="A39" s="10">
        <f>K8</f>
        <v>8019</v>
      </c>
      <c r="B39" s="12">
        <v>37</v>
      </c>
      <c r="C39" s="68">
        <f t="shared" si="6"/>
        <v>114.91830000000002</v>
      </c>
      <c r="D39" s="68">
        <f t="shared" si="7"/>
        <v>148.15830560999999</v>
      </c>
      <c r="E39" s="68">
        <f t="shared" si="8"/>
        <v>0.78741568500000003</v>
      </c>
      <c r="F39" s="68">
        <f t="shared" si="9"/>
        <v>9.887870972</v>
      </c>
      <c r="G39" s="68">
        <f t="shared" si="5"/>
        <v>0.1059051</v>
      </c>
      <c r="H39" s="68">
        <f t="shared" si="5"/>
        <v>2.0279700000000003</v>
      </c>
      <c r="I39" s="68">
        <f t="shared" si="5"/>
        <v>0.29968889999999998</v>
      </c>
      <c r="J39" s="68">
        <f t="shared" si="5"/>
        <v>9.0132000000000016E-4</v>
      </c>
      <c r="K39" s="68">
        <f t="shared" si="5"/>
        <v>3.6803900000000004E-3</v>
      </c>
      <c r="L39" s="68">
        <f t="shared" si="5"/>
        <v>0.17350410000000002</v>
      </c>
      <c r="M39" s="68">
        <f t="shared" si="5"/>
        <v>0.11191390000000001</v>
      </c>
      <c r="N39" s="68">
        <f t="shared" si="5"/>
        <v>46.793530000000004</v>
      </c>
      <c r="O39" s="68">
        <f t="shared" si="5"/>
        <v>3920.7420000000002</v>
      </c>
      <c r="P39" s="68">
        <f t="shared" si="5"/>
        <v>0</v>
      </c>
      <c r="Q39" s="68">
        <f t="shared" si="10"/>
        <v>47.882625000000004</v>
      </c>
      <c r="R39" s="68">
        <f t="shared" si="11"/>
        <v>0</v>
      </c>
      <c r="S39" s="68">
        <f t="shared" si="11"/>
        <v>0.18702389999999999</v>
      </c>
      <c r="T39" s="68">
        <f t="shared" si="11"/>
        <v>0</v>
      </c>
      <c r="U39" s="68">
        <f t="shared" si="11"/>
        <v>0</v>
      </c>
    </row>
    <row r="40" spans="1:21" s="51" customFormat="1" x14ac:dyDescent="0.25">
      <c r="A40" s="10">
        <f>L8</f>
        <v>234</v>
      </c>
      <c r="B40" s="12">
        <v>37</v>
      </c>
      <c r="C40" s="68">
        <f t="shared" si="6"/>
        <v>114.91830000000002</v>
      </c>
      <c r="D40" s="68">
        <f t="shared" si="7"/>
        <v>148.15830560999999</v>
      </c>
      <c r="E40" s="68">
        <f t="shared" si="8"/>
        <v>0.78741568500000003</v>
      </c>
      <c r="F40" s="68">
        <f t="shared" si="9"/>
        <v>9.887870972</v>
      </c>
      <c r="G40" s="68">
        <f t="shared" si="5"/>
        <v>0.1059051</v>
      </c>
      <c r="H40" s="68">
        <f t="shared" si="5"/>
        <v>2.0279700000000003</v>
      </c>
      <c r="I40" s="68">
        <f t="shared" si="5"/>
        <v>0.29968889999999998</v>
      </c>
      <c r="J40" s="68">
        <f t="shared" si="5"/>
        <v>9.0132000000000016E-4</v>
      </c>
      <c r="K40" s="68">
        <f t="shared" si="5"/>
        <v>3.6803900000000004E-3</v>
      </c>
      <c r="L40" s="68">
        <f t="shared" si="5"/>
        <v>0.17350410000000002</v>
      </c>
      <c r="M40" s="68">
        <f t="shared" si="5"/>
        <v>0.11191390000000001</v>
      </c>
      <c r="N40" s="68">
        <f t="shared" si="5"/>
        <v>46.793530000000004</v>
      </c>
      <c r="O40" s="68">
        <f t="shared" si="5"/>
        <v>3920.7420000000002</v>
      </c>
      <c r="P40" s="68">
        <f t="shared" si="5"/>
        <v>0</v>
      </c>
      <c r="Q40" s="68">
        <f t="shared" si="10"/>
        <v>47.882625000000004</v>
      </c>
      <c r="R40" s="68">
        <f t="shared" si="11"/>
        <v>0</v>
      </c>
      <c r="S40" s="68">
        <f t="shared" si="11"/>
        <v>0.18702389999999999</v>
      </c>
      <c r="T40" s="68">
        <f t="shared" si="11"/>
        <v>0</v>
      </c>
      <c r="U40" s="68">
        <f t="shared" si="11"/>
        <v>0</v>
      </c>
    </row>
    <row r="41" spans="1:21" s="51" customFormat="1" x14ac:dyDescent="0.25">
      <c r="A41" s="10">
        <f>M8</f>
        <v>1735</v>
      </c>
      <c r="B41" s="12">
        <v>37</v>
      </c>
      <c r="C41" s="68">
        <f t="shared" si="6"/>
        <v>114.91830000000002</v>
      </c>
      <c r="D41" s="68">
        <f t="shared" si="7"/>
        <v>148.15830560999999</v>
      </c>
      <c r="E41" s="68">
        <f t="shared" si="8"/>
        <v>0.78741568500000003</v>
      </c>
      <c r="F41" s="68">
        <f t="shared" si="9"/>
        <v>9.887870972</v>
      </c>
      <c r="G41" s="68">
        <f t="shared" si="5"/>
        <v>0.1059051</v>
      </c>
      <c r="H41" s="68">
        <f t="shared" si="5"/>
        <v>2.0279700000000003</v>
      </c>
      <c r="I41" s="68">
        <f t="shared" si="5"/>
        <v>0.29968889999999998</v>
      </c>
      <c r="J41" s="68">
        <f t="shared" si="5"/>
        <v>9.0132000000000016E-4</v>
      </c>
      <c r="K41" s="68">
        <f t="shared" si="5"/>
        <v>3.6803900000000004E-3</v>
      </c>
      <c r="L41" s="68">
        <f t="shared" si="5"/>
        <v>0.17350410000000002</v>
      </c>
      <c r="M41" s="68">
        <f t="shared" si="5"/>
        <v>0.11191390000000001</v>
      </c>
      <c r="N41" s="68">
        <f t="shared" si="5"/>
        <v>46.793530000000004</v>
      </c>
      <c r="O41" s="68">
        <f t="shared" si="5"/>
        <v>3920.7420000000002</v>
      </c>
      <c r="P41" s="68">
        <f t="shared" si="5"/>
        <v>0</v>
      </c>
      <c r="Q41" s="68">
        <f t="shared" si="10"/>
        <v>47.882625000000004</v>
      </c>
      <c r="R41" s="68">
        <f t="shared" si="11"/>
        <v>0</v>
      </c>
      <c r="S41" s="68">
        <f t="shared" si="11"/>
        <v>0.18702389999999999</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2</v>
      </c>
      <c r="C57" s="8">
        <f t="shared" ref="C57:U57" si="13">D8</f>
        <v>3</v>
      </c>
      <c r="D57" s="8">
        <f t="shared" si="13"/>
        <v>4</v>
      </c>
      <c r="E57" s="8">
        <f t="shared" si="13"/>
        <v>10</v>
      </c>
      <c r="F57" s="8">
        <f t="shared" si="13"/>
        <v>20</v>
      </c>
      <c r="G57" s="8">
        <f t="shared" si="13"/>
        <v>7886</v>
      </c>
      <c r="H57" s="8">
        <f t="shared" si="13"/>
        <v>8440</v>
      </c>
      <c r="I57" s="8">
        <f t="shared" si="13"/>
        <v>8087</v>
      </c>
      <c r="J57" s="8">
        <f t="shared" si="13"/>
        <v>8019</v>
      </c>
      <c r="K57" s="8">
        <f t="shared" si="13"/>
        <v>234</v>
      </c>
      <c r="L57" s="8">
        <f t="shared" si="13"/>
        <v>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Arable</v>
      </c>
      <c r="F58" s="10" t="str">
        <f>G16&amp;" I "&amp;(VLOOKUP(G14,Table2456[],6,FALSE))</f>
        <v>Medium/Clay I Grass</v>
      </c>
      <c r="G58" s="10" t="str">
        <f>H16&amp;" I "&amp;(VLOOKUP(H14,Table2456[],6,FALSE))</f>
        <v>Medium/Clay I Arable</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100" t="s">
        <v>132</v>
      </c>
      <c r="B59" s="67">
        <f>VLOOKUP(C$14,Table2456[],5,FALSE)</f>
        <v>6.2</v>
      </c>
      <c r="C59" s="67">
        <f>VLOOKUP(D$14,Table2456[],5,FALSE)</f>
        <v>6.2</v>
      </c>
      <c r="D59" s="67">
        <f>VLOOKUP(E$14,Table2456[],5,FALSE)</f>
        <v>6.2</v>
      </c>
      <c r="E59" s="67">
        <f>VLOOKUP(F$14,Table2456[],5,FALSE)</f>
        <v>6.7</v>
      </c>
      <c r="F59" s="67">
        <f>VLOOKUP(G$14,Table2456[],5,FALSE)</f>
        <v>6.2</v>
      </c>
      <c r="G59" s="67">
        <f>VLOOKUP(H$14,Table2456[],5,FALSE)</f>
        <v>6.7</v>
      </c>
      <c r="H59" s="67">
        <f>VLOOKUP(I$14,Table2456[],5,FALSE)</f>
        <v>6.2</v>
      </c>
      <c r="I59" s="67">
        <f>VLOOKUP(J$14,Table2456[],5,FALSE)</f>
        <v>6.2</v>
      </c>
      <c r="J59" s="67">
        <f>VLOOKUP(K$14,Table2456[],5,FALSE)</f>
        <v>6.2</v>
      </c>
      <c r="K59" s="67">
        <f>VLOOKUP(L$14,Table2456[],5,FALSE)</f>
        <v>6.2</v>
      </c>
      <c r="L59" s="67">
        <f>VLOOKUP(M$14,Table2456[],5,FALSE)</f>
        <v>6.2</v>
      </c>
      <c r="M59" s="67" t="e">
        <f>VLOOKUP(N$14,Table2456[],5,FALSE)</f>
        <v>#N/A</v>
      </c>
      <c r="N59" s="67" t="e">
        <f>VLOOKUP(O$14,Table2456[],5,FALSE)</f>
        <v>#N/A</v>
      </c>
      <c r="O59" s="67" t="e">
        <f>VLOOKUP(P$14,Table2456[],5,FALSE)</f>
        <v>#N/A</v>
      </c>
      <c r="P59" s="67" t="e">
        <f>VLOOKUP(Q$14,Table2456[],5,FALSE)</f>
        <v>#N/A</v>
      </c>
      <c r="Q59" s="67" t="e">
        <f>VLOOKUP(R$14,Table2456[],5,FALSE)</f>
        <v>#N/A</v>
      </c>
      <c r="R59" s="67" t="e">
        <f>VLOOKUP(S$14,Table2456[],5,FALSE)</f>
        <v>#N/A</v>
      </c>
      <c r="S59" s="67" t="e">
        <f>VLOOKUP(T$14,Table2456[],5,FALSE)</f>
        <v>#N/A</v>
      </c>
      <c r="T59" s="67" t="e">
        <f>VLOOKUP(U$14,Table2456[],5,FALSE)</f>
        <v>#N/A</v>
      </c>
      <c r="U59" s="67" t="e">
        <f>VLOOKUP(V$14,Table2456[],5,FALSE)</f>
        <v>#N/A</v>
      </c>
    </row>
    <row r="60" spans="1:21" x14ac:dyDescent="0.2">
      <c r="A60" s="100" t="s">
        <v>4</v>
      </c>
      <c r="B60" s="67">
        <f>C10</f>
        <v>7</v>
      </c>
      <c r="C60" s="67">
        <f t="shared" ref="C60:U60" si="14">D10</f>
        <v>6.4</v>
      </c>
      <c r="D60" s="67">
        <f t="shared" si="14"/>
        <v>6.1</v>
      </c>
      <c r="E60" s="67">
        <f t="shared" si="14"/>
        <v>6.7</v>
      </c>
      <c r="F60" s="67">
        <f t="shared" si="14"/>
        <v>6.3</v>
      </c>
      <c r="G60" s="67">
        <f t="shared" si="14"/>
        <v>6.6</v>
      </c>
      <c r="H60" s="67">
        <f t="shared" si="14"/>
        <v>5.6</v>
      </c>
      <c r="I60" s="67">
        <f t="shared" si="14"/>
        <v>6.2</v>
      </c>
      <c r="J60" s="67">
        <f t="shared" si="14"/>
        <v>6.4</v>
      </c>
      <c r="K60" s="67">
        <f t="shared" si="14"/>
        <v>6.2</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8</v>
      </c>
      <c r="F61" s="67">
        <f t="shared" si="15"/>
        <v>6</v>
      </c>
      <c r="G61" s="67">
        <f t="shared" si="15"/>
        <v>8</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16</v>
      </c>
      <c r="C62" s="68">
        <f>B32</f>
        <v>16</v>
      </c>
      <c r="D62" s="68">
        <f>B33</f>
        <v>16</v>
      </c>
      <c r="E62" s="68">
        <f>B34</f>
        <v>11</v>
      </c>
      <c r="F62" s="68">
        <f>B35</f>
        <v>16</v>
      </c>
      <c r="G62" s="68">
        <f>B36</f>
        <v>37</v>
      </c>
      <c r="H62" s="68">
        <f>B37</f>
        <v>37</v>
      </c>
      <c r="I62" s="68">
        <f>B38</f>
        <v>37</v>
      </c>
      <c r="J62" s="68">
        <f>B39</f>
        <v>37</v>
      </c>
      <c r="K62" s="68">
        <f>B40</f>
        <v>37</v>
      </c>
      <c r="L62" s="68">
        <f>B41</f>
        <v>37</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-4.7999999999999989</v>
      </c>
      <c r="C64" s="68">
        <f t="shared" ref="C64:U64" si="17">(C59-C60)*C61</f>
        <v>-1.2000000000000011</v>
      </c>
      <c r="D64" s="68">
        <f t="shared" si="17"/>
        <v>0.6000000000000032</v>
      </c>
      <c r="E64" s="68">
        <f t="shared" si="17"/>
        <v>0</v>
      </c>
      <c r="F64" s="68">
        <f t="shared" si="17"/>
        <v>-0.59999999999999787</v>
      </c>
      <c r="G64" s="68">
        <f t="shared" si="17"/>
        <v>0.80000000000000426</v>
      </c>
      <c r="H64" s="68">
        <f t="shared" si="17"/>
        <v>3.6000000000000032</v>
      </c>
      <c r="I64" s="68">
        <f t="shared" si="17"/>
        <v>0</v>
      </c>
      <c r="J64" s="68">
        <f t="shared" si="17"/>
        <v>-1.2000000000000011</v>
      </c>
      <c r="K64" s="68">
        <f t="shared" si="17"/>
        <v>0</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4.7999999999999989</v>
      </c>
      <c r="C65" s="68">
        <f t="shared" ref="C65:U65" si="18">C63-C64</f>
        <v>1.2000000000000011</v>
      </c>
      <c r="D65" s="68">
        <f t="shared" si="18"/>
        <v>-0.6000000000000032</v>
      </c>
      <c r="E65" s="68">
        <f t="shared" si="18"/>
        <v>0</v>
      </c>
      <c r="F65" s="68">
        <f t="shared" si="18"/>
        <v>0.59999999999999787</v>
      </c>
      <c r="G65" s="68">
        <f t="shared" si="18"/>
        <v>-0.80000000000000426</v>
      </c>
      <c r="H65" s="68">
        <f t="shared" si="18"/>
        <v>-3.6000000000000032</v>
      </c>
      <c r="I65" s="68">
        <f t="shared" si="18"/>
        <v>0</v>
      </c>
      <c r="J65" s="68">
        <f t="shared" si="18"/>
        <v>1.2000000000000011</v>
      </c>
      <c r="K65" s="68">
        <f t="shared" si="18"/>
        <v>0</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UNDER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4"/>
    <col min="14" max="14" width="9.7109375" style="14" bestFit="1" customWidth="1"/>
    <col min="15" max="19" width="9.140625" style="14"/>
    <col min="20" max="20" width="10" style="14" bestFit="1" customWidth="1"/>
    <col min="21" max="16384" width="9.140625" style="14"/>
  </cols>
  <sheetData>
    <row r="1" spans="1:21" ht="38.25" x14ac:dyDescent="0.2">
      <c r="A1" s="131" t="s">
        <v>84</v>
      </c>
      <c r="B1" s="31" t="str">
        <f>'Field data and Waste 1'!B29</f>
        <v>Application Rate</v>
      </c>
      <c r="C1" s="31" t="str">
        <f>'Field data and Waste 1'!C29</f>
        <v>Nitrogen Addition</v>
      </c>
      <c r="D1" s="31" t="str">
        <f>'Field data and Waste 1'!D29</f>
        <v>Phosphate Addition</v>
      </c>
      <c r="E1" s="31" t="str">
        <f>'Field data and Waste 1'!E29</f>
        <v>Potash  Addition</v>
      </c>
      <c r="F1" s="31" t="str">
        <f>'Field data and Waste 1'!F29</f>
        <v>Mg Oxide Addition</v>
      </c>
      <c r="G1" s="31" t="str">
        <f>'Field data and Waste 1'!G29</f>
        <v>Copper Addition</v>
      </c>
      <c r="H1" s="31" t="str">
        <f>'Field data and Waste 1'!H29</f>
        <v>Zinc Addition</v>
      </c>
      <c r="I1" s="31" t="str">
        <f>'Field data and Waste 1'!I29</f>
        <v>Lead Addition</v>
      </c>
      <c r="J1" s="31" t="str">
        <f>'Field data and Waste 1'!J29</f>
        <v>Cadmium Addition</v>
      </c>
      <c r="K1" s="31" t="str">
        <f>'Field data and Waste 1'!K29</f>
        <v>Mercury Addition</v>
      </c>
      <c r="L1" s="31" t="str">
        <f>'Field data and Waste 1'!L29</f>
        <v>Nickel Addition</v>
      </c>
      <c r="M1" s="31" t="str">
        <f>'Field data and Waste 1'!M29</f>
        <v>Chromium Addition</v>
      </c>
      <c r="N1" s="31" t="str">
        <f>'Field data and Waste 1'!N29</f>
        <v>Aluminium Addition</v>
      </c>
      <c r="O1" s="31" t="str">
        <f>'Field data and Waste 1'!O29</f>
        <v>Iron Addition</v>
      </c>
      <c r="P1" s="31" t="str">
        <f>'Field data and Waste 1'!P29</f>
        <v xml:space="preserve">Sodium Addition                 </v>
      </c>
      <c r="Q1" s="31" t="str">
        <f>'Field data and Waste 1'!Q29</f>
        <v>SO3  Addition                             kg/ha</v>
      </c>
      <c r="R1" s="31" t="str">
        <f>'Field data and Waste 1'!R29</f>
        <v xml:space="preserve">Selenium Addition </v>
      </c>
      <c r="S1" s="31" t="str">
        <f>'Field data and Waste 1'!S29</f>
        <v xml:space="preserve">Arsenic  Addition  </v>
      </c>
      <c r="T1" s="31" t="str">
        <f>'Field data and Waste 1'!T29</f>
        <v xml:space="preserve">Molybdenum Addition  </v>
      </c>
      <c r="U1" s="31" t="str">
        <f>'Field data and Waste 1'!U29</f>
        <v xml:space="preserve">Fluoride Addition </v>
      </c>
    </row>
    <row r="2" spans="1:21" ht="25.5" x14ac:dyDescent="0.2">
      <c r="A2" s="131"/>
      <c r="B2" s="31" t="str">
        <f>'Field data and Waste 1'!B30</f>
        <v>tonnes/ha</v>
      </c>
      <c r="C2" s="31" t="str">
        <f>'Field data and Waste 1'!C30</f>
        <v>kg/ha</v>
      </c>
      <c r="D2" s="31" t="str">
        <f>'Field data and Waste 1'!D30</f>
        <v>P2O5 
kg/ha</v>
      </c>
      <c r="E2" s="31" t="str">
        <f>'Field data and Waste 1'!E30</f>
        <v>K2O 
kg/ha</v>
      </c>
      <c r="F2" s="31" t="str">
        <f>'Field data and Waste 1'!F30</f>
        <v>MgO 
kg/ha</v>
      </c>
      <c r="G2" s="31" t="str">
        <f>'Field data and Waste 1'!G30</f>
        <v>kg/ha</v>
      </c>
      <c r="H2" s="31" t="str">
        <f>'Field data and Waste 1'!H30</f>
        <v>kg/ha</v>
      </c>
      <c r="I2" s="31" t="str">
        <f>'Field data and Waste 1'!I30</f>
        <v>kg/ha</v>
      </c>
      <c r="J2" s="31" t="str">
        <f>'Field data and Waste 1'!J30</f>
        <v>kg/ha</v>
      </c>
      <c r="K2" s="31" t="str">
        <f>'Field data and Waste 1'!K30</f>
        <v>kg/ha</v>
      </c>
      <c r="L2" s="31" t="str">
        <f>'Field data and Waste 1'!L30</f>
        <v>kg/ha</v>
      </c>
      <c r="M2" s="31" t="str">
        <f>'Field data and Waste 1'!M30</f>
        <v>kg/ha</v>
      </c>
      <c r="N2" s="31" t="str">
        <f>'Field data and Waste 1'!N30</f>
        <v>kg/ha</v>
      </c>
      <c r="O2" s="31" t="str">
        <f>'Field data and Waste 1'!O30</f>
        <v>kg/ha</v>
      </c>
      <c r="P2" s="31" t="str">
        <f>'Field data and Waste 1'!P30</f>
        <v>kg/ha</v>
      </c>
      <c r="Q2" s="31" t="str">
        <f>'Field data and Waste 1'!Q30</f>
        <v>kg/ha</v>
      </c>
      <c r="R2" s="31" t="str">
        <f>'Field data and Waste 1'!R30</f>
        <v>kg/ha</v>
      </c>
      <c r="S2" s="31" t="str">
        <f>'Field data and Waste 1'!S30</f>
        <v>kg/ha</v>
      </c>
      <c r="T2" s="31" t="str">
        <f>'Field data and Waste 1'!T30</f>
        <v>kg/ha</v>
      </c>
      <c r="U2" s="31" t="str">
        <f>'Field data and Waste 1'!U30</f>
        <v>kg/ha</v>
      </c>
    </row>
    <row r="3" spans="1:21" x14ac:dyDescent="0.2">
      <c r="A3" s="29">
        <v>1</v>
      </c>
      <c r="B3" s="26">
        <f>'Field data and Waste 1'!B31</f>
        <v>86</v>
      </c>
      <c r="C3" s="26">
        <f>'Field data and Waste 1'!C31</f>
        <v>111.8</v>
      </c>
      <c r="D3" s="26">
        <f>'Field data and Waste 1'!D31</f>
        <v>64.821553999999992</v>
      </c>
      <c r="E3" s="26">
        <f>'Field data and Waste 1'!E31</f>
        <v>23.524010000000004</v>
      </c>
      <c r="F3" s="26">
        <f>'Field data and Waste 1'!F31</f>
        <v>4.5770748000000001</v>
      </c>
      <c r="G3" s="26">
        <f>'Field data and Waste 1'!G31</f>
        <v>1.9779999999999999E-2</v>
      </c>
      <c r="H3" s="26">
        <f>'Field data and Waste 1'!H31</f>
        <v>0.18834000000000001</v>
      </c>
      <c r="I3" s="26">
        <f>'Field data and Waste 1'!I31</f>
        <v>4.3000000000000003E-2</v>
      </c>
      <c r="J3" s="26">
        <f>'Field data and Waste 1'!J31</f>
        <v>8.6000000000000009E-4</v>
      </c>
      <c r="K3" s="26">
        <f>'Field data and Waste 1'!K31</f>
        <v>4.3E-3</v>
      </c>
      <c r="L3" s="26">
        <f>'Field data and Waste 1'!L31</f>
        <v>1.72E-2</v>
      </c>
      <c r="M3" s="26">
        <f>'Field data and Waste 1'!M31</f>
        <v>3.0099999999999998E-2</v>
      </c>
      <c r="N3" s="26">
        <f>'Field data and Waste 1'!N31</f>
        <v>0</v>
      </c>
      <c r="O3" s="26">
        <f>'Field data and Waste 1'!O31</f>
        <v>0</v>
      </c>
      <c r="P3" s="26">
        <f>'Field data and Waste 1'!P31</f>
        <v>25.369999999999997</v>
      </c>
      <c r="Q3" s="26">
        <f>'Field data and Waste 1'!Q31</f>
        <v>19.951999999999998</v>
      </c>
      <c r="R3" s="26">
        <f>'Field data and Waste 1'!R31</f>
        <v>0</v>
      </c>
      <c r="S3" s="26">
        <f>'Field data and Waste 1'!S31</f>
        <v>0</v>
      </c>
      <c r="T3" s="26">
        <f>'Field data and Waste 1'!T31</f>
        <v>0</v>
      </c>
      <c r="U3" s="26">
        <f>'Field data and Waste 1'!U31</f>
        <v>0</v>
      </c>
    </row>
    <row r="4" spans="1:21" x14ac:dyDescent="0.2">
      <c r="A4" s="29">
        <v>2</v>
      </c>
      <c r="B4" s="26">
        <f>'Waste 2'!B31</f>
        <v>65</v>
      </c>
      <c r="C4" s="26">
        <f>'Waste 2'!C31</f>
        <v>143</v>
      </c>
      <c r="D4" s="26">
        <f>'Waste 2'!D31</f>
        <v>64.182365000000004</v>
      </c>
      <c r="E4" s="26">
        <f>'Waste 2'!E31</f>
        <v>16.213275000000003</v>
      </c>
      <c r="F4" s="26">
        <f>'Waste 2'!F31</f>
        <v>3.0283370000000001</v>
      </c>
      <c r="G4" s="26">
        <f>'Waste 2'!G31</f>
        <v>1.3000000000000001E-2</v>
      </c>
      <c r="H4" s="26">
        <f>'Waste 2'!H31</f>
        <v>7.0199999999999999E-2</v>
      </c>
      <c r="I4" s="26">
        <f>'Waste 2'!I31</f>
        <v>3.2500000000000001E-2</v>
      </c>
      <c r="J4" s="26">
        <f>'Waste 2'!J31</f>
        <v>6.5000000000000008E-4</v>
      </c>
      <c r="K4" s="26">
        <f>'Waste 2'!K31</f>
        <v>3.2500000000000003E-3</v>
      </c>
      <c r="L4" s="26">
        <f>'Waste 2'!L31</f>
        <v>1.3000000000000001E-2</v>
      </c>
      <c r="M4" s="26">
        <f>'Waste 2'!M31</f>
        <v>1.3000000000000001E-2</v>
      </c>
      <c r="N4" s="26">
        <f>'Waste 2'!N31</f>
        <v>0</v>
      </c>
      <c r="O4" s="26">
        <f>'Waste 2'!O31</f>
        <v>0</v>
      </c>
      <c r="P4" s="26">
        <f>'Waste 2'!P31</f>
        <v>19.305</v>
      </c>
      <c r="Q4" s="26">
        <f>'Waste 2'!Q31</f>
        <v>14.706249999999999</v>
      </c>
      <c r="R4" s="26">
        <f>'Waste 2'!R31</f>
        <v>0</v>
      </c>
      <c r="S4" s="26">
        <f>'Waste 2'!S31</f>
        <v>0</v>
      </c>
      <c r="T4" s="26">
        <f>'Waste 2'!T31</f>
        <v>0</v>
      </c>
      <c r="U4" s="26">
        <f>'Waste 2'!U31</f>
        <v>0</v>
      </c>
    </row>
    <row r="5" spans="1:21" x14ac:dyDescent="0.2">
      <c r="A5" s="29">
        <v>3</v>
      </c>
      <c r="B5" s="26">
        <f>'Waste 3'!B31</f>
        <v>250</v>
      </c>
      <c r="C5" s="26">
        <f>'Waste 3'!C31</f>
        <v>25</v>
      </c>
      <c r="D5" s="26">
        <f>'Waste 3'!D31</f>
        <v>8.934899999999999</v>
      </c>
      <c r="E5" s="26">
        <f>'Waste 3'!E31</f>
        <v>31.631250000000001</v>
      </c>
      <c r="F5" s="26">
        <f>'Waste 3'!F31</f>
        <v>4.1449999999999996</v>
      </c>
      <c r="G5" s="26">
        <f>'Waste 3'!G31</f>
        <v>0.05</v>
      </c>
      <c r="H5" s="26">
        <f>'Waste 3'!H31</f>
        <v>0.5</v>
      </c>
      <c r="I5" s="26">
        <f>'Waste 3'!I31</f>
        <v>0.125</v>
      </c>
      <c r="J5" s="26">
        <f>'Waste 3'!J31</f>
        <v>2.5000000000000001E-3</v>
      </c>
      <c r="K5" s="26">
        <f>'Waste 3'!K31</f>
        <v>1.2500000000000001E-2</v>
      </c>
      <c r="L5" s="26">
        <f>'Waste 3'!L31</f>
        <v>0.05</v>
      </c>
      <c r="M5" s="26">
        <f>'Waste 3'!M31</f>
        <v>0.05</v>
      </c>
      <c r="N5" s="26">
        <f>'Waste 3'!N31</f>
        <v>0</v>
      </c>
      <c r="O5" s="26">
        <f>'Waste 3'!O31</f>
        <v>0</v>
      </c>
      <c r="P5" s="26">
        <f>'Waste 3'!P31</f>
        <v>171</v>
      </c>
      <c r="Q5" s="26">
        <f>'Waste 3'!Q31</f>
        <v>17.875</v>
      </c>
      <c r="R5" s="26">
        <f>'Waste 3'!R31</f>
        <v>0</v>
      </c>
      <c r="S5" s="26">
        <f>'Waste 3'!S31</f>
        <v>0</v>
      </c>
      <c r="T5" s="26">
        <f>'Waste 3'!T31</f>
        <v>0</v>
      </c>
      <c r="U5" s="26">
        <f>'Waste 3'!U31</f>
        <v>0</v>
      </c>
    </row>
    <row r="6" spans="1:21" x14ac:dyDescent="0.2">
      <c r="A6" s="29">
        <v>4</v>
      </c>
      <c r="B6" s="26">
        <f>'Waste 4'!B31</f>
        <v>86</v>
      </c>
      <c r="C6" s="26">
        <f>'Waste 4'!C31</f>
        <v>86</v>
      </c>
      <c r="D6" s="26">
        <f>'Waste 4'!D31</f>
        <v>64.427502000000004</v>
      </c>
      <c r="E6" s="26">
        <f>'Waste 4'!E31</f>
        <v>74.40634</v>
      </c>
      <c r="F6" s="26">
        <f>'Waste 4'!F31</f>
        <v>18.251263999999999</v>
      </c>
      <c r="G6" s="26">
        <f>'Waste 4'!G31</f>
        <v>4.3000000000000003E-2</v>
      </c>
      <c r="H6" s="26">
        <f>'Waste 4'!H31</f>
        <v>8.6000000000000007E-2</v>
      </c>
      <c r="I6" s="26">
        <f>'Waste 4'!I31</f>
        <v>4.3000000000000003E-2</v>
      </c>
      <c r="J6" s="26">
        <f>'Waste 4'!J31</f>
        <v>8.6000000000000009E-4</v>
      </c>
      <c r="K6" s="26">
        <f>'Waste 4'!K31</f>
        <v>4.3E-3</v>
      </c>
      <c r="L6" s="26">
        <f>'Waste 4'!L31</f>
        <v>1.72E-2</v>
      </c>
      <c r="M6" s="26">
        <f>'Waste 4'!M31</f>
        <v>1.72E-2</v>
      </c>
      <c r="N6" s="26">
        <f>'Waste 4'!N31</f>
        <v>0</v>
      </c>
      <c r="O6" s="26">
        <f>'Waste 4'!O31</f>
        <v>0</v>
      </c>
      <c r="P6" s="26">
        <f>'Waste 4'!P31</f>
        <v>26.488</v>
      </c>
      <c r="Q6" s="26">
        <f>'Waste 4'!Q31</f>
        <v>24.51</v>
      </c>
      <c r="R6" s="26">
        <f>'Waste 4'!R31</f>
        <v>0</v>
      </c>
      <c r="S6" s="26">
        <f>'Waste 4'!S31</f>
        <v>0</v>
      </c>
      <c r="T6" s="26">
        <f>'Waste 4'!T31</f>
        <v>0</v>
      </c>
      <c r="U6" s="26">
        <f>'Waste 4'!U31</f>
        <v>0</v>
      </c>
    </row>
    <row r="7" spans="1:21" x14ac:dyDescent="0.2">
      <c r="A7" s="29">
        <v>5</v>
      </c>
      <c r="B7" s="26">
        <f>'Waste 5'!B31</f>
        <v>165</v>
      </c>
      <c r="C7" s="26">
        <f>'Waste 5'!C31</f>
        <v>68.260500000000008</v>
      </c>
      <c r="D7" s="26">
        <f>'Waste 5'!D31</f>
        <v>32.617402290000001</v>
      </c>
      <c r="E7" s="26">
        <f>'Waste 5'!E31</f>
        <v>1.6333274924999999</v>
      </c>
      <c r="F7" s="26">
        <f>'Waste 5'!F31</f>
        <v>5.0444119439999993</v>
      </c>
      <c r="G7" s="26">
        <f>'Waste 5'!G31</f>
        <v>8.6885864999999993E-2</v>
      </c>
      <c r="H7" s="26">
        <f>'Waste 5'!H31</f>
        <v>2.0283120000000001</v>
      </c>
      <c r="I7" s="26">
        <f>'Waste 5'!I31</f>
        <v>0.28376865000000001</v>
      </c>
      <c r="J7" s="26">
        <f>'Waste 5'!J31</f>
        <v>3.3155100000000002E-3</v>
      </c>
      <c r="K7" s="26">
        <f>'Waste 5'!K31</f>
        <v>6.6310200000000005E-3</v>
      </c>
      <c r="L7" s="26">
        <f>'Waste 5'!L31</f>
        <v>0.22916025000000001</v>
      </c>
      <c r="M7" s="26">
        <f>'Waste 5'!M31</f>
        <v>0.156024</v>
      </c>
      <c r="N7" s="26">
        <f>'Waste 5'!N31</f>
        <v>28.864440000000002</v>
      </c>
      <c r="O7" s="26">
        <f>'Waste 5'!O31</f>
        <v>3939.6060000000002</v>
      </c>
      <c r="P7" s="26">
        <f>'Waste 5'!P31</f>
        <v>0</v>
      </c>
      <c r="Q7" s="26">
        <f>'Waste 5'!Q31</f>
        <v>118.72451249999999</v>
      </c>
      <c r="R7" s="26">
        <f>'Waste 5'!R31</f>
        <v>0</v>
      </c>
      <c r="S7" s="26">
        <f>'Waste 5'!S31</f>
        <v>0.22038389999999999</v>
      </c>
      <c r="T7" s="26">
        <f>'Waste 5'!T31</f>
        <v>0</v>
      </c>
      <c r="U7" s="26">
        <f>'Waste 5'!U31</f>
        <v>0</v>
      </c>
    </row>
    <row r="8" spans="1:21" x14ac:dyDescent="0.2">
      <c r="A8" s="29">
        <v>6</v>
      </c>
      <c r="B8" s="26">
        <f>'Waste 6'!B31</f>
        <v>250</v>
      </c>
      <c r="C8" s="26">
        <f>'Waste 6'!C31</f>
        <v>125</v>
      </c>
      <c r="D8" s="26">
        <f>'Waste 6'!D31</f>
        <v>54.926725000000012</v>
      </c>
      <c r="E8" s="26">
        <f>'Waste 6'!E31</f>
        <v>13.194749999999999</v>
      </c>
      <c r="F8" s="26">
        <f>'Waste 6'!F31</f>
        <v>23.999549999999999</v>
      </c>
      <c r="G8" s="26">
        <f>'Waste 6'!G31</f>
        <v>0.58499999999999996</v>
      </c>
      <c r="H8" s="26">
        <f>'Waste 6'!H31</f>
        <v>1.17</v>
      </c>
      <c r="I8" s="26">
        <f>'Waste 6'!I31</f>
        <v>0.1925</v>
      </c>
      <c r="J8" s="26">
        <f>'Waste 6'!J31</f>
        <v>5.0000000000000001E-3</v>
      </c>
      <c r="K8" s="26">
        <f>'Waste 6'!K31</f>
        <v>1.2500000000000001E-2</v>
      </c>
      <c r="L8" s="26">
        <f>'Waste 6'!L31</f>
        <v>0.33250000000000002</v>
      </c>
      <c r="M8" s="26">
        <f>'Waste 6'!M31</f>
        <v>0.3125</v>
      </c>
      <c r="N8" s="26">
        <f>'Waste 6'!N31</f>
        <v>1338.5</v>
      </c>
      <c r="O8" s="26">
        <f>'Waste 6'!O31</f>
        <v>223.75</v>
      </c>
      <c r="P8" s="26">
        <f>'Waste 6'!P31</f>
        <v>4.1749999999999998</v>
      </c>
      <c r="Q8" s="26">
        <f>'Waste 6'!Q31</f>
        <v>226.25</v>
      </c>
      <c r="R8" s="26">
        <f>'Waste 6'!R31</f>
        <v>0</v>
      </c>
      <c r="S8" s="26">
        <f>'Waste 6'!S31</f>
        <v>0.17</v>
      </c>
      <c r="T8" s="26">
        <f>'Waste 6'!T31</f>
        <v>0</v>
      </c>
      <c r="U8" s="26">
        <f>'Waste 6'!U31</f>
        <v>0</v>
      </c>
    </row>
    <row r="9" spans="1:21" x14ac:dyDescent="0.2">
      <c r="A9" s="29">
        <v>7</v>
      </c>
      <c r="B9" s="26">
        <f>'Waste 7'!B31</f>
        <v>65</v>
      </c>
      <c r="C9" s="26">
        <f>'Waste 7'!C31</f>
        <v>119.626</v>
      </c>
      <c r="D9" s="26">
        <f>'Waste 7'!D31</f>
        <v>64.289583799999988</v>
      </c>
      <c r="E9" s="26">
        <f>'Waste 7'!E31</f>
        <v>9.4438019000000004</v>
      </c>
      <c r="F9" s="26">
        <f>'Waste 7'!F31</f>
        <v>30.029032799999996</v>
      </c>
      <c r="G9" s="26">
        <f>'Waste 7'!G31</f>
        <v>0.59589400000000003</v>
      </c>
      <c r="H9" s="26">
        <f>'Waste 7'!H31</f>
        <v>1.6322799999999997</v>
      </c>
      <c r="I9" s="26">
        <f>'Waste 7'!I31</f>
        <v>0.110682</v>
      </c>
      <c r="J9" s="26">
        <f>'Waste 7'!J31</f>
        <v>6.149E-3</v>
      </c>
      <c r="K9" s="26">
        <f>'Waste 7'!K31</f>
        <v>6.149E-3</v>
      </c>
      <c r="L9" s="26">
        <f>'Waste 7'!L31</f>
        <v>0.36223199999999994</v>
      </c>
      <c r="M9" s="26">
        <f>'Waste 7'!M31</f>
        <v>0.235898</v>
      </c>
      <c r="N9" s="26">
        <f>'Waste 7'!N31</f>
        <v>1419.86</v>
      </c>
      <c r="O9" s="26">
        <f>'Waste 7'!O31</f>
        <v>300.74200000000002</v>
      </c>
      <c r="P9" s="26">
        <f>'Waste 7'!P31</f>
        <v>0</v>
      </c>
      <c r="Q9" s="26">
        <f>'Waste 7'!Q31</f>
        <v>155.12249999999997</v>
      </c>
      <c r="R9" s="26">
        <f>'Waste 7'!R31</f>
        <v>0</v>
      </c>
      <c r="S9" s="26">
        <f>'Waste 7'!S31</f>
        <v>0.21241999999999997</v>
      </c>
      <c r="T9" s="26">
        <f>'Waste 7'!T31</f>
        <v>0</v>
      </c>
      <c r="U9" s="26">
        <f>'Waste 7'!U31</f>
        <v>0</v>
      </c>
    </row>
    <row r="10" spans="1:21" x14ac:dyDescent="0.2">
      <c r="A10" s="29">
        <v>8</v>
      </c>
      <c r="B10" s="26">
        <f>'Waste 8'!B31</f>
        <v>70</v>
      </c>
      <c r="C10" s="26">
        <f>'Waste 8'!C31</f>
        <v>126.61600000000001</v>
      </c>
      <c r="D10" s="26">
        <f>'Waste 8'!D31</f>
        <v>53.43528400000001</v>
      </c>
      <c r="E10" s="26">
        <f>'Waste 8'!E31</f>
        <v>1.9157572</v>
      </c>
      <c r="F10" s="26">
        <f>'Waste 8'!F31</f>
        <v>3.5672201600000002</v>
      </c>
      <c r="G10" s="26">
        <f>'Waste 8'!G31</f>
        <v>0.19992000000000004</v>
      </c>
      <c r="H10" s="26">
        <f>'Waste 8'!H31</f>
        <v>0.75779199999999991</v>
      </c>
      <c r="I10" s="26">
        <f>'Waste 8'!I31</f>
        <v>0.29511999999999999</v>
      </c>
      <c r="J10" s="26">
        <f>'Waste 8'!J31</f>
        <v>4.1888000000000003E-3</v>
      </c>
      <c r="K10" s="26">
        <f>'Waste 8'!K31</f>
        <v>7.1400000000000005E-3</v>
      </c>
      <c r="L10" s="26">
        <f>'Waste 8'!L31</f>
        <v>4.8551999999999998E-2</v>
      </c>
      <c r="M10" s="26">
        <f>'Waste 8'!M31</f>
        <v>4.0936E-2</v>
      </c>
      <c r="N10" s="26">
        <f>'Waste 8'!N31</f>
        <v>1199.5200000000002</v>
      </c>
      <c r="O10" s="26">
        <f>'Waste 8'!O31</f>
        <v>294.16800000000006</v>
      </c>
      <c r="P10" s="26">
        <f>'Waste 8'!P31</f>
        <v>0</v>
      </c>
      <c r="Q10" s="26">
        <f>'Waste 8'!Q31</f>
        <v>101.62600000000003</v>
      </c>
      <c r="R10" s="26">
        <f>'Waste 8'!R31</f>
        <v>0</v>
      </c>
      <c r="S10" s="26">
        <f>'Waste 8'!S31</f>
        <v>0.56072800000000012</v>
      </c>
      <c r="T10" s="26">
        <f>'Waste 8'!T31</f>
        <v>0</v>
      </c>
      <c r="U10" s="26">
        <f>'Waste 8'!U31</f>
        <v>0</v>
      </c>
    </row>
    <row r="11" spans="1:21" x14ac:dyDescent="0.2">
      <c r="A11" s="29">
        <v>9</v>
      </c>
      <c r="B11" s="26">
        <f>'Waste 9'!B31</f>
        <v>70</v>
      </c>
      <c r="C11" s="26">
        <f>'Waste 9'!C31</f>
        <v>119.21000000000001</v>
      </c>
      <c r="D11" s="26">
        <f>'Waste 9'!D31</f>
        <v>52.101005600000001</v>
      </c>
      <c r="E11" s="26">
        <f>'Waste 9'!E31</f>
        <v>1.7127267500000003</v>
      </c>
      <c r="F11" s="26">
        <f>'Waste 9'!F31</f>
        <v>3.6337225400000004</v>
      </c>
      <c r="G11" s="26">
        <f>'Waste 9'!G31</f>
        <v>0.18523400000000001</v>
      </c>
      <c r="H11" s="26">
        <f>'Waste 9'!H31</f>
        <v>0.73543400000000014</v>
      </c>
      <c r="I11" s="26">
        <f>'Waste 9'!I31</f>
        <v>0.42823900000000009</v>
      </c>
      <c r="J11" s="26">
        <f>'Waste 9'!J31</f>
        <v>3.3928999999999999E-3</v>
      </c>
      <c r="K11" s="26">
        <f>'Waste 9'!K31</f>
        <v>6.9692000000000009E-3</v>
      </c>
      <c r="L11" s="26">
        <f>'Waste 9'!L31</f>
        <v>1.4855400000000001E-2</v>
      </c>
      <c r="M11" s="26">
        <f>'Waste 9'!M31</f>
        <v>3.9431000000000001E-2</v>
      </c>
      <c r="N11" s="26">
        <f>'Waste 9'!N31</f>
        <v>1146.25</v>
      </c>
      <c r="O11" s="26">
        <f>'Waste 9'!O31</f>
        <v>284.27</v>
      </c>
      <c r="P11" s="26">
        <f>'Waste 9'!P31</f>
        <v>0</v>
      </c>
      <c r="Q11" s="26">
        <f>'Waste 9'!Q31</f>
        <v>102.01625000000001</v>
      </c>
      <c r="R11" s="26">
        <f>'Waste 9'!R31</f>
        <v>0</v>
      </c>
      <c r="S11" s="26">
        <f>'Waste 9'!S31</f>
        <v>0.62997900000000007</v>
      </c>
      <c r="T11" s="26">
        <f>'Waste 9'!T31</f>
        <v>0</v>
      </c>
      <c r="U11" s="26">
        <f>'Waste 9'!U31</f>
        <v>0</v>
      </c>
    </row>
    <row r="12" spans="1:21" x14ac:dyDescent="0.2">
      <c r="A12" s="29">
        <v>10</v>
      </c>
      <c r="B12" s="26">
        <f>'Waste 10'!B31</f>
        <v>16</v>
      </c>
      <c r="C12" s="26">
        <f>'Waste 10'!C31</f>
        <v>49.694400000000009</v>
      </c>
      <c r="D12" s="26">
        <f>'Waste 10'!D31</f>
        <v>64.068456479999995</v>
      </c>
      <c r="E12" s="26">
        <f>'Waste 10'!E31</f>
        <v>0.34050407999999999</v>
      </c>
      <c r="F12" s="26">
        <f>'Waste 10'!F31</f>
        <v>4.2758360959999999</v>
      </c>
      <c r="G12" s="26">
        <f>'Waste 10'!G31</f>
        <v>4.5796799999999999E-2</v>
      </c>
      <c r="H12" s="26">
        <f>'Waste 10'!H31</f>
        <v>0.87696000000000007</v>
      </c>
      <c r="I12" s="26">
        <f>'Waste 10'!I31</f>
        <v>0.12959519999999999</v>
      </c>
      <c r="J12" s="26">
        <f>'Waste 10'!J31</f>
        <v>3.8976000000000006E-4</v>
      </c>
      <c r="K12" s="26">
        <f>'Waste 10'!K31</f>
        <v>1.5915200000000001E-3</v>
      </c>
      <c r="L12" s="26">
        <f>'Waste 10'!L31</f>
        <v>7.5028800000000007E-2</v>
      </c>
      <c r="M12" s="26">
        <f>'Waste 10'!M31</f>
        <v>4.8395200000000006E-2</v>
      </c>
      <c r="N12" s="26">
        <f>'Waste 10'!N31</f>
        <v>20.235040000000001</v>
      </c>
      <c r="O12" s="26">
        <f>'Waste 10'!O31</f>
        <v>1695.4560000000001</v>
      </c>
      <c r="P12" s="26">
        <f>'Waste 10'!P31</f>
        <v>0</v>
      </c>
      <c r="Q12" s="26">
        <f>'Waste 10'!Q31</f>
        <v>20.706000000000003</v>
      </c>
      <c r="R12" s="26">
        <f>'Waste 10'!R31</f>
        <v>0</v>
      </c>
      <c r="S12" s="26">
        <f>'Waste 10'!S31</f>
        <v>8.0875199999999994E-2</v>
      </c>
      <c r="T12" s="26">
        <f>'Waste 10'!T31</f>
        <v>0</v>
      </c>
      <c r="U12" s="26">
        <f>'Waste 10'!U31</f>
        <v>0</v>
      </c>
    </row>
    <row r="13" spans="1:21" s="72" customFormat="1" ht="15.75" x14ac:dyDescent="0.25">
      <c r="A13" s="70" t="s">
        <v>85</v>
      </c>
      <c r="B13" s="71">
        <f>SUM(B3:B12)</f>
        <v>1123</v>
      </c>
      <c r="C13" s="71">
        <f t="shared" ref="C13:U13" si="0">SUM(C3:C12)</f>
        <v>974.20690000000002</v>
      </c>
      <c r="D13" s="71">
        <f t="shared" si="0"/>
        <v>523.80477817000008</v>
      </c>
      <c r="E13" s="71">
        <f t="shared" si="0"/>
        <v>174.01574242250001</v>
      </c>
      <c r="F13" s="71">
        <f t="shared" si="0"/>
        <v>100.55144933999999</v>
      </c>
      <c r="G13" s="71">
        <f t="shared" si="0"/>
        <v>1.8245106649999998</v>
      </c>
      <c r="H13" s="71">
        <f t="shared" si="0"/>
        <v>8.045318</v>
      </c>
      <c r="I13" s="71">
        <f t="shared" si="0"/>
        <v>1.6834048500000001</v>
      </c>
      <c r="J13" s="71">
        <f t="shared" si="0"/>
        <v>2.7305969999999999E-2</v>
      </c>
      <c r="K13" s="71">
        <f t="shared" si="0"/>
        <v>6.5330740000000012E-2</v>
      </c>
      <c r="L13" s="71">
        <f t="shared" si="0"/>
        <v>1.1597284499999998</v>
      </c>
      <c r="M13" s="71">
        <f t="shared" si="0"/>
        <v>0.94348419999999988</v>
      </c>
      <c r="N13" s="71">
        <f t="shared" si="0"/>
        <v>5153.22948</v>
      </c>
      <c r="O13" s="71">
        <f t="shared" si="0"/>
        <v>6737.9920000000002</v>
      </c>
      <c r="P13" s="71">
        <f t="shared" si="0"/>
        <v>246.33800000000002</v>
      </c>
      <c r="Q13" s="71">
        <f t="shared" si="0"/>
        <v>801.48851250000007</v>
      </c>
      <c r="R13" s="71">
        <f t="shared" si="0"/>
        <v>0</v>
      </c>
      <c r="S13" s="71">
        <f t="shared" si="0"/>
        <v>1.8743861000000002</v>
      </c>
      <c r="T13" s="71">
        <f t="shared" si="0"/>
        <v>0</v>
      </c>
      <c r="U13" s="7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4"/>
    <col min="3" max="3" width="11" style="14" customWidth="1"/>
    <col min="4" max="4" width="9.140625" style="14"/>
    <col min="5" max="5" width="9.7109375" style="14" customWidth="1"/>
    <col min="6" max="14" width="9.140625" style="14"/>
    <col min="15" max="15" width="9.7109375" style="14" bestFit="1" customWidth="1"/>
    <col min="16" max="20" width="9.140625" style="14"/>
    <col min="21" max="21" width="10" style="14" bestFit="1" customWidth="1"/>
    <col min="22" max="16384" width="9.140625" style="14"/>
  </cols>
  <sheetData>
    <row r="1" spans="1:22" s="73" customFormat="1" ht="38.25" x14ac:dyDescent="0.25">
      <c r="A1" s="132" t="s">
        <v>84</v>
      </c>
      <c r="B1" s="27" t="s">
        <v>152</v>
      </c>
      <c r="C1" s="28" t="str">
        <f>'Field data and Waste 1'!B29</f>
        <v>Application Rate</v>
      </c>
      <c r="D1" s="28" t="str">
        <f>'Field data and Waste 1'!C29</f>
        <v>Nitrogen Addition</v>
      </c>
      <c r="E1" s="28" t="str">
        <f>'Field data and Waste 1'!D29</f>
        <v>Phosphate Addition</v>
      </c>
      <c r="F1" s="28" t="str">
        <f>'Field data and Waste 1'!E29</f>
        <v>Potash  Addition</v>
      </c>
      <c r="G1" s="28" t="str">
        <f>'Field data and Waste 1'!F29</f>
        <v>Mg Oxide Addition</v>
      </c>
      <c r="H1" s="28" t="str">
        <f>'Field data and Waste 1'!G29</f>
        <v>Copper Addition</v>
      </c>
      <c r="I1" s="28" t="str">
        <f>'Field data and Waste 1'!H29</f>
        <v>Zinc Addition</v>
      </c>
      <c r="J1" s="28" t="str">
        <f>'Field data and Waste 1'!I29</f>
        <v>Lead Addition</v>
      </c>
      <c r="K1" s="28" t="str">
        <f>'Field data and Waste 1'!J29</f>
        <v>Cadmium Addition</v>
      </c>
      <c r="L1" s="28" t="str">
        <f>'Field data and Waste 1'!K29</f>
        <v>Mercury Addition</v>
      </c>
      <c r="M1" s="28" t="str">
        <f>'Field data and Waste 1'!L29</f>
        <v>Nickel Addition</v>
      </c>
      <c r="N1" s="28" t="str">
        <f>'Field data and Waste 1'!M29</f>
        <v>Chromium Addition</v>
      </c>
      <c r="O1" s="28" t="str">
        <f>'Field data and Waste 1'!N29</f>
        <v>Aluminium Addition</v>
      </c>
      <c r="P1" s="28" t="str">
        <f>'Field data and Waste 1'!O29</f>
        <v>Iron Addition</v>
      </c>
      <c r="Q1" s="28" t="str">
        <f>'Field data and Waste 1'!P29</f>
        <v xml:space="preserve">Sodium Addition                 </v>
      </c>
      <c r="R1" s="28" t="str">
        <f>'Field data and Waste 1'!Q29</f>
        <v>SO3  Addition                             kg/ha</v>
      </c>
      <c r="S1" s="28" t="str">
        <f>'Field data and Waste 1'!R29</f>
        <v xml:space="preserve">Selenium Addition </v>
      </c>
      <c r="T1" s="28" t="str">
        <f>'Field data and Waste 1'!S29</f>
        <v xml:space="preserve">Arsenic  Addition  </v>
      </c>
      <c r="U1" s="28" t="str">
        <f>'Field data and Waste 1'!T29</f>
        <v xml:space="preserve">Molybdenum Addition  </v>
      </c>
      <c r="V1" s="28" t="str">
        <f>'Field data and Waste 1'!U29</f>
        <v xml:space="preserve">Fluoride Addition </v>
      </c>
    </row>
    <row r="2" spans="1:22" s="73" customFormat="1" ht="25.5" x14ac:dyDescent="0.25">
      <c r="A2" s="132"/>
      <c r="B2" s="25" t="s">
        <v>46</v>
      </c>
      <c r="C2" s="28" t="str">
        <f>'Field data and Waste 1'!B30</f>
        <v>tonnes/ha</v>
      </c>
      <c r="D2" s="28" t="str">
        <f>'Field data and Waste 1'!C30</f>
        <v>kg/ha</v>
      </c>
      <c r="E2" s="28" t="str">
        <f>'Field data and Waste 1'!D30</f>
        <v>P2O5 
kg/ha</v>
      </c>
      <c r="F2" s="28" t="str">
        <f>'Field data and Waste 1'!E30</f>
        <v>K2O 
kg/ha</v>
      </c>
      <c r="G2" s="28" t="str">
        <f>'Field data and Waste 1'!F30</f>
        <v>MgO 
kg/ha</v>
      </c>
      <c r="H2" s="28" t="str">
        <f>'Field data and Waste 1'!G30</f>
        <v>kg/ha</v>
      </c>
      <c r="I2" s="28" t="str">
        <f>'Field data and Waste 1'!H30</f>
        <v>kg/ha</v>
      </c>
      <c r="J2" s="28" t="str">
        <f>'Field data and Waste 1'!I30</f>
        <v>kg/ha</v>
      </c>
      <c r="K2" s="28" t="str">
        <f>'Field data and Waste 1'!J30</f>
        <v>kg/ha</v>
      </c>
      <c r="L2" s="28" t="str">
        <f>'Field data and Waste 1'!K30</f>
        <v>kg/ha</v>
      </c>
      <c r="M2" s="28" t="str">
        <f>'Field data and Waste 1'!L30</f>
        <v>kg/ha</v>
      </c>
      <c r="N2" s="28" t="str">
        <f>'Field data and Waste 1'!M30</f>
        <v>kg/ha</v>
      </c>
      <c r="O2" s="28" t="str">
        <f>'Field data and Waste 1'!N30</f>
        <v>kg/ha</v>
      </c>
      <c r="P2" s="28" t="str">
        <f>'Field data and Waste 1'!O30</f>
        <v>kg/ha</v>
      </c>
      <c r="Q2" s="28" t="str">
        <f>'Field data and Waste 1'!P30</f>
        <v>kg/ha</v>
      </c>
      <c r="R2" s="28" t="str">
        <f>'Field data and Waste 1'!Q30</f>
        <v>kg/ha</v>
      </c>
      <c r="S2" s="28" t="str">
        <f>'Field data and Waste 1'!R30</f>
        <v>kg/ha</v>
      </c>
      <c r="T2" s="28" t="str">
        <f>'Field data and Waste 1'!S30</f>
        <v>kg/ha</v>
      </c>
      <c r="U2" s="28" t="str">
        <f>'Field data and Waste 1'!T30</f>
        <v>kg/ha</v>
      </c>
      <c r="V2" s="28" t="str">
        <f>'Field data and Waste 1'!U30</f>
        <v>kg/ha</v>
      </c>
    </row>
    <row r="3" spans="1:22" x14ac:dyDescent="0.2">
      <c r="A3" s="29">
        <v>1</v>
      </c>
      <c r="B3" s="81"/>
      <c r="C3" s="26">
        <f>'Field data and Waste 1'!B31</f>
        <v>86</v>
      </c>
      <c r="D3" s="26">
        <f>'Field data and Waste 1'!C31</f>
        <v>111.8</v>
      </c>
      <c r="E3" s="26">
        <f>'Field data and Waste 1'!D31</f>
        <v>64.821553999999992</v>
      </c>
      <c r="F3" s="26">
        <f>'Field data and Waste 1'!E31</f>
        <v>23.524010000000004</v>
      </c>
      <c r="G3" s="26">
        <f>'Field data and Waste 1'!F31</f>
        <v>4.5770748000000001</v>
      </c>
      <c r="H3" s="26">
        <f>'Field data and Waste 1'!G31</f>
        <v>1.9779999999999999E-2</v>
      </c>
      <c r="I3" s="26">
        <f>'Field data and Waste 1'!H31</f>
        <v>0.18834000000000001</v>
      </c>
      <c r="J3" s="26">
        <f>'Field data and Waste 1'!I31</f>
        <v>4.3000000000000003E-2</v>
      </c>
      <c r="K3" s="26">
        <f>'Field data and Waste 1'!J31</f>
        <v>8.6000000000000009E-4</v>
      </c>
      <c r="L3" s="26">
        <f>'Field data and Waste 1'!K31</f>
        <v>4.3E-3</v>
      </c>
      <c r="M3" s="26">
        <f>'Field data and Waste 1'!L31</f>
        <v>1.72E-2</v>
      </c>
      <c r="N3" s="26">
        <f>'Field data and Waste 1'!M31</f>
        <v>3.0099999999999998E-2</v>
      </c>
      <c r="O3" s="26">
        <f>'Field data and Waste 1'!N31</f>
        <v>0</v>
      </c>
      <c r="P3" s="26">
        <f>'Field data and Waste 1'!O31</f>
        <v>0</v>
      </c>
      <c r="Q3" s="26">
        <f>'Field data and Waste 1'!P31</f>
        <v>25.369999999999997</v>
      </c>
      <c r="R3" s="26">
        <f>'Field data and Waste 1'!Q31</f>
        <v>19.951999999999998</v>
      </c>
      <c r="S3" s="26">
        <f>'Field data and Waste 1'!R31</f>
        <v>0</v>
      </c>
      <c r="T3" s="26">
        <f>'Field data and Waste 1'!S31</f>
        <v>0</v>
      </c>
      <c r="U3" s="26">
        <f>'Field data and Waste 1'!T31</f>
        <v>0</v>
      </c>
      <c r="V3" s="26">
        <f>'Field data and Waste 1'!U31</f>
        <v>0</v>
      </c>
    </row>
    <row r="4" spans="1:22" x14ac:dyDescent="0.2">
      <c r="A4" s="29">
        <v>2</v>
      </c>
      <c r="B4" s="81"/>
      <c r="C4" s="26">
        <f>'Waste 2'!B31</f>
        <v>65</v>
      </c>
      <c r="D4" s="26">
        <f>'Waste 2'!C31</f>
        <v>143</v>
      </c>
      <c r="E4" s="26">
        <f>'Waste 2'!D31</f>
        <v>64.182365000000004</v>
      </c>
      <c r="F4" s="26">
        <f>'Waste 2'!E31</f>
        <v>16.213275000000003</v>
      </c>
      <c r="G4" s="26">
        <f>'Waste 2'!F31</f>
        <v>3.0283370000000001</v>
      </c>
      <c r="H4" s="26">
        <f>'Waste 2'!G31</f>
        <v>1.3000000000000001E-2</v>
      </c>
      <c r="I4" s="26">
        <f>'Waste 2'!H31</f>
        <v>7.0199999999999999E-2</v>
      </c>
      <c r="J4" s="26">
        <f>'Waste 2'!I31</f>
        <v>3.2500000000000001E-2</v>
      </c>
      <c r="K4" s="26">
        <f>'Waste 2'!J31</f>
        <v>6.5000000000000008E-4</v>
      </c>
      <c r="L4" s="26">
        <f>'Waste 2'!K31</f>
        <v>3.2500000000000003E-3</v>
      </c>
      <c r="M4" s="26">
        <f>'Waste 2'!L31</f>
        <v>1.3000000000000001E-2</v>
      </c>
      <c r="N4" s="26">
        <f>'Waste 2'!M31</f>
        <v>1.3000000000000001E-2</v>
      </c>
      <c r="O4" s="26">
        <f>'Waste 2'!N31</f>
        <v>0</v>
      </c>
      <c r="P4" s="26">
        <f>'Waste 2'!O31</f>
        <v>0</v>
      </c>
      <c r="Q4" s="26">
        <f>'Waste 2'!P31</f>
        <v>19.305</v>
      </c>
      <c r="R4" s="26">
        <f>'Waste 2'!Q31</f>
        <v>14.706249999999999</v>
      </c>
      <c r="S4" s="26">
        <f>'Waste 2'!R31</f>
        <v>0</v>
      </c>
      <c r="T4" s="26">
        <f>'Waste 2'!S31</f>
        <v>0</v>
      </c>
      <c r="U4" s="26">
        <f>'Waste 2'!T31</f>
        <v>0</v>
      </c>
      <c r="V4" s="26">
        <f>'Waste 2'!U31</f>
        <v>0</v>
      </c>
    </row>
    <row r="5" spans="1:22" x14ac:dyDescent="0.2">
      <c r="A5" s="29">
        <v>3</v>
      </c>
      <c r="B5" s="81"/>
      <c r="C5" s="26">
        <f>'Waste 3'!B31</f>
        <v>250</v>
      </c>
      <c r="D5" s="26">
        <f>'Waste 3'!C31</f>
        <v>25</v>
      </c>
      <c r="E5" s="26">
        <f>'Waste 3'!D31</f>
        <v>8.934899999999999</v>
      </c>
      <c r="F5" s="26">
        <f>'Waste 3'!E31</f>
        <v>31.631250000000001</v>
      </c>
      <c r="G5" s="26">
        <f>'Waste 3'!F31</f>
        <v>4.1449999999999996</v>
      </c>
      <c r="H5" s="26">
        <f>'Waste 3'!G31</f>
        <v>0.05</v>
      </c>
      <c r="I5" s="26">
        <f>'Waste 3'!H31</f>
        <v>0.5</v>
      </c>
      <c r="J5" s="26">
        <f>'Waste 3'!I31</f>
        <v>0.125</v>
      </c>
      <c r="K5" s="26">
        <f>'Waste 3'!J31</f>
        <v>2.5000000000000001E-3</v>
      </c>
      <c r="L5" s="26">
        <f>'Waste 3'!K31</f>
        <v>1.2500000000000001E-2</v>
      </c>
      <c r="M5" s="26">
        <f>'Waste 3'!L31</f>
        <v>0.05</v>
      </c>
      <c r="N5" s="26">
        <f>'Waste 3'!M31</f>
        <v>0.05</v>
      </c>
      <c r="O5" s="26">
        <f>'Waste 3'!N31</f>
        <v>0</v>
      </c>
      <c r="P5" s="26">
        <f>'Waste 3'!O31</f>
        <v>0</v>
      </c>
      <c r="Q5" s="26">
        <f>'Waste 3'!P31</f>
        <v>171</v>
      </c>
      <c r="R5" s="26">
        <f>'Waste 3'!Q31</f>
        <v>17.875</v>
      </c>
      <c r="S5" s="26">
        <f>'Waste 3'!R31</f>
        <v>0</v>
      </c>
      <c r="T5" s="26">
        <f>'Waste 3'!S31</f>
        <v>0</v>
      </c>
      <c r="U5" s="26">
        <f>'Waste 3'!T31</f>
        <v>0</v>
      </c>
      <c r="V5" s="26">
        <f>'Waste 3'!U31</f>
        <v>0</v>
      </c>
    </row>
    <row r="6" spans="1:22" x14ac:dyDescent="0.2">
      <c r="A6" s="29">
        <v>4</v>
      </c>
      <c r="B6" s="81"/>
      <c r="C6" s="26">
        <f>'Waste 4'!B31</f>
        <v>86</v>
      </c>
      <c r="D6" s="26">
        <f>'Waste 4'!C31</f>
        <v>86</v>
      </c>
      <c r="E6" s="26">
        <f>'Waste 4'!D31</f>
        <v>64.427502000000004</v>
      </c>
      <c r="F6" s="26">
        <f>'Waste 4'!E31</f>
        <v>74.40634</v>
      </c>
      <c r="G6" s="26">
        <f>'Waste 4'!F31</f>
        <v>18.251263999999999</v>
      </c>
      <c r="H6" s="26">
        <f>'Waste 4'!G31</f>
        <v>4.3000000000000003E-2</v>
      </c>
      <c r="I6" s="26">
        <f>'Waste 4'!H31</f>
        <v>8.6000000000000007E-2</v>
      </c>
      <c r="J6" s="26">
        <f>'Waste 4'!I31</f>
        <v>4.3000000000000003E-2</v>
      </c>
      <c r="K6" s="26">
        <f>'Waste 4'!J31</f>
        <v>8.6000000000000009E-4</v>
      </c>
      <c r="L6" s="26">
        <f>'Waste 4'!K31</f>
        <v>4.3E-3</v>
      </c>
      <c r="M6" s="26">
        <f>'Waste 4'!L31</f>
        <v>1.72E-2</v>
      </c>
      <c r="N6" s="26">
        <f>'Waste 4'!M31</f>
        <v>1.72E-2</v>
      </c>
      <c r="O6" s="26">
        <f>'Waste 4'!N31</f>
        <v>0</v>
      </c>
      <c r="P6" s="26">
        <f>'Waste 4'!O31</f>
        <v>0</v>
      </c>
      <c r="Q6" s="26">
        <f>'Waste 4'!P31</f>
        <v>26.488</v>
      </c>
      <c r="R6" s="26">
        <f>'Waste 4'!Q31</f>
        <v>24.51</v>
      </c>
      <c r="S6" s="26">
        <f>'Waste 4'!R31</f>
        <v>0</v>
      </c>
      <c r="T6" s="26">
        <f>'Waste 4'!S31</f>
        <v>0</v>
      </c>
      <c r="U6" s="26">
        <f>'Waste 4'!T31</f>
        <v>0</v>
      </c>
      <c r="V6" s="26">
        <f>'Waste 4'!U31</f>
        <v>0</v>
      </c>
    </row>
    <row r="7" spans="1:22" x14ac:dyDescent="0.2">
      <c r="A7" s="29">
        <v>5</v>
      </c>
      <c r="B7" s="81"/>
      <c r="C7" s="26">
        <f>'Waste 5'!B31</f>
        <v>165</v>
      </c>
      <c r="D7" s="26">
        <f>'Waste 5'!C31</f>
        <v>68.260500000000008</v>
      </c>
      <c r="E7" s="26">
        <f>'Waste 5'!D31</f>
        <v>32.617402290000001</v>
      </c>
      <c r="F7" s="26">
        <f>'Waste 5'!E31</f>
        <v>1.6333274924999999</v>
      </c>
      <c r="G7" s="26">
        <f>'Waste 5'!F31</f>
        <v>5.0444119439999993</v>
      </c>
      <c r="H7" s="26">
        <f>'Waste 5'!G31</f>
        <v>8.6885864999999993E-2</v>
      </c>
      <c r="I7" s="26">
        <f>'Waste 5'!H31</f>
        <v>2.0283120000000001</v>
      </c>
      <c r="J7" s="26">
        <f>'Waste 5'!I31</f>
        <v>0.28376865000000001</v>
      </c>
      <c r="K7" s="26">
        <f>'Waste 5'!J31</f>
        <v>3.3155100000000002E-3</v>
      </c>
      <c r="L7" s="26">
        <f>'Waste 5'!K31</f>
        <v>6.6310200000000005E-3</v>
      </c>
      <c r="M7" s="26">
        <f>'Waste 5'!L31</f>
        <v>0.22916025000000001</v>
      </c>
      <c r="N7" s="26">
        <f>'Waste 5'!M31</f>
        <v>0.156024</v>
      </c>
      <c r="O7" s="26">
        <f>'Waste 5'!N31</f>
        <v>28.864440000000002</v>
      </c>
      <c r="P7" s="26">
        <f>'Waste 5'!O31</f>
        <v>3939.6060000000002</v>
      </c>
      <c r="Q7" s="26">
        <f>'Waste 5'!P31</f>
        <v>0</v>
      </c>
      <c r="R7" s="26">
        <f>'Waste 5'!Q31</f>
        <v>118.72451249999999</v>
      </c>
      <c r="S7" s="26">
        <f>'Waste 5'!R31</f>
        <v>0</v>
      </c>
      <c r="T7" s="26">
        <f>'Waste 5'!S31</f>
        <v>0.22038389999999999</v>
      </c>
      <c r="U7" s="26">
        <f>'Waste 5'!T31</f>
        <v>0</v>
      </c>
      <c r="V7" s="26">
        <f>'Waste 5'!U31</f>
        <v>0</v>
      </c>
    </row>
    <row r="8" spans="1:22" x14ac:dyDescent="0.2">
      <c r="A8" s="29">
        <v>6</v>
      </c>
      <c r="B8" s="81"/>
      <c r="C8" s="26">
        <f>'Waste 6'!B31</f>
        <v>250</v>
      </c>
      <c r="D8" s="26">
        <f>'Waste 6'!C31</f>
        <v>125</v>
      </c>
      <c r="E8" s="26">
        <f>'Waste 6'!D31</f>
        <v>54.926725000000012</v>
      </c>
      <c r="F8" s="26">
        <f>'Waste 6'!E31</f>
        <v>13.194749999999999</v>
      </c>
      <c r="G8" s="26">
        <f>'Waste 6'!F31</f>
        <v>23.999549999999999</v>
      </c>
      <c r="H8" s="26">
        <f>'Waste 6'!G31</f>
        <v>0.58499999999999996</v>
      </c>
      <c r="I8" s="26">
        <f>'Waste 6'!H31</f>
        <v>1.17</v>
      </c>
      <c r="J8" s="26">
        <f>'Waste 6'!I31</f>
        <v>0.1925</v>
      </c>
      <c r="K8" s="26">
        <f>'Waste 6'!J31</f>
        <v>5.0000000000000001E-3</v>
      </c>
      <c r="L8" s="26">
        <f>'Waste 6'!K31</f>
        <v>1.2500000000000001E-2</v>
      </c>
      <c r="M8" s="26">
        <f>'Waste 6'!L31</f>
        <v>0.33250000000000002</v>
      </c>
      <c r="N8" s="26">
        <f>'Waste 6'!M31</f>
        <v>0.3125</v>
      </c>
      <c r="O8" s="26">
        <f>'Waste 6'!N31</f>
        <v>1338.5</v>
      </c>
      <c r="P8" s="26">
        <f>'Waste 6'!O31</f>
        <v>223.75</v>
      </c>
      <c r="Q8" s="26">
        <f>'Waste 6'!P31</f>
        <v>4.1749999999999998</v>
      </c>
      <c r="R8" s="26">
        <f>'Waste 6'!Q31</f>
        <v>226.25</v>
      </c>
      <c r="S8" s="26">
        <f>'Waste 6'!R31</f>
        <v>0</v>
      </c>
      <c r="T8" s="26">
        <f>'Waste 6'!S31</f>
        <v>0.17</v>
      </c>
      <c r="U8" s="26">
        <f>'Waste 6'!T31</f>
        <v>0</v>
      </c>
      <c r="V8" s="26">
        <f>'Waste 6'!U31</f>
        <v>0</v>
      </c>
    </row>
    <row r="9" spans="1:22" x14ac:dyDescent="0.2">
      <c r="A9" s="29">
        <v>7</v>
      </c>
      <c r="B9" s="81"/>
      <c r="C9" s="26">
        <f>'Waste 7'!B31</f>
        <v>65</v>
      </c>
      <c r="D9" s="26">
        <f>'Waste 7'!C31</f>
        <v>119.626</v>
      </c>
      <c r="E9" s="26">
        <f>'Waste 7'!D31</f>
        <v>64.289583799999988</v>
      </c>
      <c r="F9" s="26">
        <f>'Waste 7'!E31</f>
        <v>9.4438019000000004</v>
      </c>
      <c r="G9" s="26">
        <f>'Waste 7'!F31</f>
        <v>30.029032799999996</v>
      </c>
      <c r="H9" s="26">
        <f>'Waste 7'!G31</f>
        <v>0.59589400000000003</v>
      </c>
      <c r="I9" s="26">
        <f>'Waste 7'!H31</f>
        <v>1.6322799999999997</v>
      </c>
      <c r="J9" s="26">
        <f>'Waste 7'!I31</f>
        <v>0.110682</v>
      </c>
      <c r="K9" s="26">
        <f>'Waste 7'!J31</f>
        <v>6.149E-3</v>
      </c>
      <c r="L9" s="26">
        <f>'Waste 7'!K31</f>
        <v>6.149E-3</v>
      </c>
      <c r="M9" s="26">
        <f>'Waste 7'!L31</f>
        <v>0.36223199999999994</v>
      </c>
      <c r="N9" s="26">
        <f>'Waste 7'!M31</f>
        <v>0.235898</v>
      </c>
      <c r="O9" s="26">
        <f>'Waste 7'!N31</f>
        <v>1419.86</v>
      </c>
      <c r="P9" s="26">
        <f>'Waste 7'!O31</f>
        <v>300.74200000000002</v>
      </c>
      <c r="Q9" s="26">
        <f>'Waste 7'!P31</f>
        <v>0</v>
      </c>
      <c r="R9" s="26">
        <f>'Waste 7'!Q31</f>
        <v>155.12249999999997</v>
      </c>
      <c r="S9" s="26">
        <f>'Waste 7'!R31</f>
        <v>0</v>
      </c>
      <c r="T9" s="26">
        <f>'Waste 7'!S31</f>
        <v>0.21241999999999997</v>
      </c>
      <c r="U9" s="26">
        <f>'Waste 7'!T31</f>
        <v>0</v>
      </c>
      <c r="V9" s="26">
        <f>'Waste 7'!U31</f>
        <v>0</v>
      </c>
    </row>
    <row r="10" spans="1:22" x14ac:dyDescent="0.2">
      <c r="A10" s="29">
        <v>8</v>
      </c>
      <c r="B10" s="81"/>
      <c r="C10" s="26">
        <f>'Waste 8'!B31</f>
        <v>70</v>
      </c>
      <c r="D10" s="26">
        <f>'Waste 8'!C31</f>
        <v>126.61600000000001</v>
      </c>
      <c r="E10" s="26">
        <f>'Waste 8'!D31</f>
        <v>53.43528400000001</v>
      </c>
      <c r="F10" s="26">
        <f>'Waste 8'!E31</f>
        <v>1.9157572</v>
      </c>
      <c r="G10" s="26">
        <f>'Waste 8'!F31</f>
        <v>3.5672201600000002</v>
      </c>
      <c r="H10" s="26">
        <f>'Waste 8'!G31</f>
        <v>0.19992000000000004</v>
      </c>
      <c r="I10" s="26">
        <f>'Waste 8'!H31</f>
        <v>0.75779199999999991</v>
      </c>
      <c r="J10" s="26">
        <f>'Waste 8'!I31</f>
        <v>0.29511999999999999</v>
      </c>
      <c r="K10" s="26">
        <f>'Waste 8'!J31</f>
        <v>4.1888000000000003E-3</v>
      </c>
      <c r="L10" s="26">
        <f>'Waste 8'!K31</f>
        <v>7.1400000000000005E-3</v>
      </c>
      <c r="M10" s="26">
        <f>'Waste 8'!L31</f>
        <v>4.8551999999999998E-2</v>
      </c>
      <c r="N10" s="26">
        <f>'Waste 8'!M31</f>
        <v>4.0936E-2</v>
      </c>
      <c r="O10" s="26">
        <f>'Waste 8'!N31</f>
        <v>1199.5200000000002</v>
      </c>
      <c r="P10" s="26">
        <f>'Waste 8'!O31</f>
        <v>294.16800000000006</v>
      </c>
      <c r="Q10" s="26">
        <f>'Waste 8'!P31</f>
        <v>0</v>
      </c>
      <c r="R10" s="26">
        <f>'Waste 8'!Q31</f>
        <v>101.62600000000003</v>
      </c>
      <c r="S10" s="26">
        <f>'Waste 8'!R31</f>
        <v>0</v>
      </c>
      <c r="T10" s="26">
        <f>'Waste 8'!S31</f>
        <v>0.56072800000000012</v>
      </c>
      <c r="U10" s="26">
        <f>'Waste 8'!T31</f>
        <v>0</v>
      </c>
      <c r="V10" s="26">
        <f>'Waste 8'!U31</f>
        <v>0</v>
      </c>
    </row>
    <row r="11" spans="1:22" x14ac:dyDescent="0.2">
      <c r="A11" s="29">
        <v>9</v>
      </c>
      <c r="B11" s="81"/>
      <c r="C11" s="26">
        <f>'Waste 9'!B31</f>
        <v>70</v>
      </c>
      <c r="D11" s="26">
        <f>'Waste 9'!C31</f>
        <v>119.21000000000001</v>
      </c>
      <c r="E11" s="26">
        <f>'Waste 9'!D31</f>
        <v>52.101005600000001</v>
      </c>
      <c r="F11" s="26">
        <f>'Waste 9'!E31</f>
        <v>1.7127267500000003</v>
      </c>
      <c r="G11" s="26">
        <f>'Waste 9'!F31</f>
        <v>3.6337225400000004</v>
      </c>
      <c r="H11" s="26">
        <f>'Waste 9'!G31</f>
        <v>0.18523400000000001</v>
      </c>
      <c r="I11" s="26">
        <f>'Waste 9'!H31</f>
        <v>0.73543400000000014</v>
      </c>
      <c r="J11" s="26">
        <f>'Waste 9'!I31</f>
        <v>0.42823900000000009</v>
      </c>
      <c r="K11" s="26">
        <f>'Waste 9'!J31</f>
        <v>3.3928999999999999E-3</v>
      </c>
      <c r="L11" s="26">
        <f>'Waste 9'!K31</f>
        <v>6.9692000000000009E-3</v>
      </c>
      <c r="M11" s="26">
        <f>'Waste 9'!L31</f>
        <v>1.4855400000000001E-2</v>
      </c>
      <c r="N11" s="26">
        <f>'Waste 9'!M31</f>
        <v>3.9431000000000001E-2</v>
      </c>
      <c r="O11" s="26">
        <f>'Waste 9'!N31</f>
        <v>1146.25</v>
      </c>
      <c r="P11" s="26">
        <f>'Waste 9'!O31</f>
        <v>284.27</v>
      </c>
      <c r="Q11" s="26">
        <f>'Waste 9'!P31</f>
        <v>0</v>
      </c>
      <c r="R11" s="26">
        <f>'Waste 9'!Q31</f>
        <v>102.01625000000001</v>
      </c>
      <c r="S11" s="26">
        <f>'Waste 9'!R31</f>
        <v>0</v>
      </c>
      <c r="T11" s="26">
        <f>'Waste 9'!S31</f>
        <v>0.62997900000000007</v>
      </c>
      <c r="U11" s="26">
        <f>'Waste 9'!T31</f>
        <v>0</v>
      </c>
      <c r="V11" s="26">
        <f>'Waste 9'!U31</f>
        <v>0</v>
      </c>
    </row>
    <row r="12" spans="1:22" x14ac:dyDescent="0.2">
      <c r="A12" s="29">
        <v>10</v>
      </c>
      <c r="B12" s="81"/>
      <c r="C12" s="26">
        <f>'Waste 10'!B31</f>
        <v>16</v>
      </c>
      <c r="D12" s="26">
        <f>'Waste 10'!C31</f>
        <v>49.694400000000009</v>
      </c>
      <c r="E12" s="26">
        <f>'Waste 10'!D31</f>
        <v>64.068456479999995</v>
      </c>
      <c r="F12" s="26">
        <f>'Waste 10'!E31</f>
        <v>0.34050407999999999</v>
      </c>
      <c r="G12" s="26">
        <f>'Waste 10'!F31</f>
        <v>4.2758360959999999</v>
      </c>
      <c r="H12" s="26">
        <f>'Waste 10'!G31</f>
        <v>4.5796799999999999E-2</v>
      </c>
      <c r="I12" s="26">
        <f>'Waste 10'!H31</f>
        <v>0.87696000000000007</v>
      </c>
      <c r="J12" s="26">
        <f>'Waste 10'!I31</f>
        <v>0.12959519999999999</v>
      </c>
      <c r="K12" s="26">
        <f>'Waste 10'!J31</f>
        <v>3.8976000000000006E-4</v>
      </c>
      <c r="L12" s="26">
        <f>'Waste 10'!K31</f>
        <v>1.5915200000000001E-3</v>
      </c>
      <c r="M12" s="26">
        <f>'Waste 10'!L31</f>
        <v>7.5028800000000007E-2</v>
      </c>
      <c r="N12" s="26">
        <f>'Waste 10'!M31</f>
        <v>4.8395200000000006E-2</v>
      </c>
      <c r="O12" s="26">
        <f>'Waste 10'!N31</f>
        <v>20.235040000000001</v>
      </c>
      <c r="P12" s="26">
        <f>'Waste 10'!O31</f>
        <v>1695.4560000000001</v>
      </c>
      <c r="Q12" s="26">
        <f>'Waste 10'!P31</f>
        <v>0</v>
      </c>
      <c r="R12" s="26">
        <f>'Waste 10'!Q31</f>
        <v>20.706000000000003</v>
      </c>
      <c r="S12" s="26">
        <f>'Waste 10'!R31</f>
        <v>0</v>
      </c>
      <c r="T12" s="26">
        <f>'Waste 10'!S31</f>
        <v>8.0875199999999994E-2</v>
      </c>
      <c r="U12" s="26">
        <f>'Waste 10'!T31</f>
        <v>0</v>
      </c>
      <c r="V12" s="26">
        <f>'Waste 10'!U31</f>
        <v>0</v>
      </c>
    </row>
    <row r="13" spans="1:22" x14ac:dyDescent="0.2">
      <c r="B13" s="30"/>
      <c r="C13" s="15"/>
      <c r="D13" s="15"/>
      <c r="E13" s="15"/>
      <c r="F13" s="15"/>
      <c r="G13" s="15"/>
      <c r="H13" s="15"/>
      <c r="I13" s="15"/>
      <c r="J13" s="15"/>
      <c r="K13" s="15"/>
      <c r="L13" s="15"/>
      <c r="M13" s="15"/>
      <c r="N13" s="15"/>
      <c r="O13" s="15"/>
      <c r="P13" s="15"/>
      <c r="Q13" s="15"/>
      <c r="R13" s="15"/>
      <c r="S13" s="15"/>
      <c r="T13" s="15"/>
      <c r="U13" s="15"/>
      <c r="V13" s="15"/>
    </row>
    <row r="14" spans="1:22" x14ac:dyDescent="0.2">
      <c r="A14" s="74" t="s">
        <v>86</v>
      </c>
      <c r="C14" s="74"/>
      <c r="D14" s="74"/>
      <c r="E14" s="74"/>
      <c r="F14" s="74"/>
      <c r="G14" s="74"/>
      <c r="H14" s="74"/>
      <c r="I14" s="74"/>
      <c r="J14" s="74"/>
      <c r="K14" s="74"/>
      <c r="L14" s="74"/>
      <c r="M14" s="74"/>
      <c r="N14" s="74"/>
    </row>
    <row r="15" spans="1:22" ht="38.25" x14ac:dyDescent="0.2">
      <c r="A15" s="131" t="s">
        <v>84</v>
      </c>
      <c r="B15" s="28" t="s">
        <v>152</v>
      </c>
      <c r="C15" s="28">
        <f>'Field data and Waste 1'!B43</f>
        <v>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5" x14ac:dyDescent="0.2">
      <c r="A16" s="131"/>
      <c r="B16" s="25" t="s">
        <v>46</v>
      </c>
      <c r="C16" s="28">
        <f>'Field data and Waste 1'!B44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
      <c r="A17" s="75">
        <v>1</v>
      </c>
      <c r="B17" s="76">
        <f>B3</f>
        <v>0</v>
      </c>
      <c r="C17" s="77">
        <f>C3</f>
        <v>86</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
      <c r="A18" s="75">
        <v>2</v>
      </c>
      <c r="B18" s="76">
        <f t="shared" ref="B18:C18" si="3">B4</f>
        <v>0</v>
      </c>
      <c r="C18" s="77">
        <f t="shared" si="3"/>
        <v>65</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
      <c r="A19" s="75">
        <v>3</v>
      </c>
      <c r="B19" s="76">
        <f t="shared" ref="B19:C19" si="5">B5</f>
        <v>0</v>
      </c>
      <c r="C19" s="77">
        <f t="shared" si="5"/>
        <v>250</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
      <c r="A20" s="75">
        <v>4</v>
      </c>
      <c r="B20" s="76">
        <f t="shared" ref="B20:C20" si="7">B6</f>
        <v>0</v>
      </c>
      <c r="C20" s="77">
        <f t="shared" si="7"/>
        <v>86</v>
      </c>
      <c r="D20" s="78">
        <f>D6*$B$6</f>
        <v>0</v>
      </c>
      <c r="E20" s="78">
        <f t="shared" ref="E20:V20" si="8">E6*$B$6</f>
        <v>0</v>
      </c>
      <c r="F20" s="78">
        <f t="shared" si="8"/>
        <v>0</v>
      </c>
      <c r="G20" s="78">
        <f t="shared" si="8"/>
        <v>0</v>
      </c>
      <c r="H20" s="78">
        <f t="shared" si="8"/>
        <v>0</v>
      </c>
      <c r="I20" s="78">
        <f t="shared" si="8"/>
        <v>0</v>
      </c>
      <c r="J20" s="78">
        <f t="shared" si="8"/>
        <v>0</v>
      </c>
      <c r="K20" s="78">
        <f t="shared" si="8"/>
        <v>0</v>
      </c>
      <c r="L20" s="78">
        <f t="shared" si="8"/>
        <v>0</v>
      </c>
      <c r="M20" s="78">
        <f t="shared" si="8"/>
        <v>0</v>
      </c>
      <c r="N20" s="78">
        <f t="shared" si="8"/>
        <v>0</v>
      </c>
      <c r="O20" s="78">
        <f t="shared" si="8"/>
        <v>0</v>
      </c>
      <c r="P20" s="78">
        <f t="shared" si="8"/>
        <v>0</v>
      </c>
      <c r="Q20" s="78">
        <f t="shared" si="8"/>
        <v>0</v>
      </c>
      <c r="R20" s="78">
        <f t="shared" si="8"/>
        <v>0</v>
      </c>
      <c r="S20" s="78">
        <f t="shared" si="8"/>
        <v>0</v>
      </c>
      <c r="T20" s="78">
        <f t="shared" si="8"/>
        <v>0</v>
      </c>
      <c r="U20" s="78">
        <f t="shared" si="8"/>
        <v>0</v>
      </c>
      <c r="V20" s="78">
        <f t="shared" si="8"/>
        <v>0</v>
      </c>
    </row>
    <row r="21" spans="1:22" x14ac:dyDescent="0.2">
      <c r="A21" s="75">
        <v>5</v>
      </c>
      <c r="B21" s="76">
        <f t="shared" ref="B21:C21" si="9">B7</f>
        <v>0</v>
      </c>
      <c r="C21" s="77">
        <f t="shared" si="9"/>
        <v>165</v>
      </c>
      <c r="D21" s="78">
        <f>D7*$B$7</f>
        <v>0</v>
      </c>
      <c r="E21" s="78">
        <f t="shared" ref="E21:V21" si="10">E7*$B$7</f>
        <v>0</v>
      </c>
      <c r="F21" s="78">
        <f t="shared" si="10"/>
        <v>0</v>
      </c>
      <c r="G21" s="78">
        <f t="shared" si="10"/>
        <v>0</v>
      </c>
      <c r="H21" s="78">
        <f t="shared" si="10"/>
        <v>0</v>
      </c>
      <c r="I21" s="78">
        <f t="shared" si="10"/>
        <v>0</v>
      </c>
      <c r="J21" s="78">
        <f t="shared" si="10"/>
        <v>0</v>
      </c>
      <c r="K21" s="78">
        <f t="shared" si="10"/>
        <v>0</v>
      </c>
      <c r="L21" s="78">
        <f t="shared" si="10"/>
        <v>0</v>
      </c>
      <c r="M21" s="78">
        <f t="shared" si="10"/>
        <v>0</v>
      </c>
      <c r="N21" s="78">
        <f t="shared" si="10"/>
        <v>0</v>
      </c>
      <c r="O21" s="78">
        <f t="shared" si="10"/>
        <v>0</v>
      </c>
      <c r="P21" s="78">
        <f t="shared" si="10"/>
        <v>0</v>
      </c>
      <c r="Q21" s="78">
        <f t="shared" si="10"/>
        <v>0</v>
      </c>
      <c r="R21" s="78">
        <f t="shared" si="10"/>
        <v>0</v>
      </c>
      <c r="S21" s="78">
        <f t="shared" si="10"/>
        <v>0</v>
      </c>
      <c r="T21" s="78">
        <f t="shared" si="10"/>
        <v>0</v>
      </c>
      <c r="U21" s="78">
        <f t="shared" si="10"/>
        <v>0</v>
      </c>
      <c r="V21" s="78">
        <f t="shared" si="10"/>
        <v>0</v>
      </c>
    </row>
    <row r="22" spans="1:22" x14ac:dyDescent="0.2">
      <c r="A22" s="75">
        <v>6</v>
      </c>
      <c r="B22" s="76">
        <f t="shared" ref="B22:C22" si="11">B8</f>
        <v>0</v>
      </c>
      <c r="C22" s="77">
        <f t="shared" si="11"/>
        <v>250</v>
      </c>
      <c r="D22" s="78">
        <f>D8*$B$8</f>
        <v>0</v>
      </c>
      <c r="E22" s="78">
        <f t="shared" ref="E22:V22" si="12">E8*$B$8</f>
        <v>0</v>
      </c>
      <c r="F22" s="78">
        <f t="shared" si="12"/>
        <v>0</v>
      </c>
      <c r="G22" s="78">
        <f t="shared" si="12"/>
        <v>0</v>
      </c>
      <c r="H22" s="78">
        <f t="shared" si="12"/>
        <v>0</v>
      </c>
      <c r="I22" s="78">
        <f t="shared" si="12"/>
        <v>0</v>
      </c>
      <c r="J22" s="78">
        <f t="shared" si="12"/>
        <v>0</v>
      </c>
      <c r="K22" s="78">
        <f t="shared" si="12"/>
        <v>0</v>
      </c>
      <c r="L22" s="78">
        <f t="shared" si="12"/>
        <v>0</v>
      </c>
      <c r="M22" s="78">
        <f t="shared" si="12"/>
        <v>0</v>
      </c>
      <c r="N22" s="78">
        <f t="shared" si="12"/>
        <v>0</v>
      </c>
      <c r="O22" s="78">
        <f t="shared" si="12"/>
        <v>0</v>
      </c>
      <c r="P22" s="78">
        <f t="shared" si="12"/>
        <v>0</v>
      </c>
      <c r="Q22" s="78">
        <f t="shared" si="12"/>
        <v>0</v>
      </c>
      <c r="R22" s="78">
        <f t="shared" si="12"/>
        <v>0</v>
      </c>
      <c r="S22" s="78">
        <f t="shared" si="12"/>
        <v>0</v>
      </c>
      <c r="T22" s="78">
        <f t="shared" si="12"/>
        <v>0</v>
      </c>
      <c r="U22" s="78">
        <f t="shared" si="12"/>
        <v>0</v>
      </c>
      <c r="V22" s="78">
        <f t="shared" si="12"/>
        <v>0</v>
      </c>
    </row>
    <row r="23" spans="1:22" x14ac:dyDescent="0.2">
      <c r="A23" s="75">
        <v>7</v>
      </c>
      <c r="B23" s="76">
        <f t="shared" ref="B23:C23" si="13">B9</f>
        <v>0</v>
      </c>
      <c r="C23" s="77">
        <f t="shared" si="13"/>
        <v>65</v>
      </c>
      <c r="D23" s="78">
        <f>D9*$B$9</f>
        <v>0</v>
      </c>
      <c r="E23" s="78">
        <f t="shared" ref="E23:V23" si="14">E9*$B$9</f>
        <v>0</v>
      </c>
      <c r="F23" s="78">
        <f t="shared" si="14"/>
        <v>0</v>
      </c>
      <c r="G23" s="78">
        <f t="shared" si="14"/>
        <v>0</v>
      </c>
      <c r="H23" s="78">
        <f t="shared" si="14"/>
        <v>0</v>
      </c>
      <c r="I23" s="78">
        <f t="shared" si="14"/>
        <v>0</v>
      </c>
      <c r="J23" s="78">
        <f t="shared" si="14"/>
        <v>0</v>
      </c>
      <c r="K23" s="78">
        <f t="shared" si="14"/>
        <v>0</v>
      </c>
      <c r="L23" s="78">
        <f t="shared" si="14"/>
        <v>0</v>
      </c>
      <c r="M23" s="78">
        <f t="shared" si="14"/>
        <v>0</v>
      </c>
      <c r="N23" s="78">
        <f t="shared" si="14"/>
        <v>0</v>
      </c>
      <c r="O23" s="78">
        <f t="shared" si="14"/>
        <v>0</v>
      </c>
      <c r="P23" s="78">
        <f t="shared" si="14"/>
        <v>0</v>
      </c>
      <c r="Q23" s="78">
        <f t="shared" si="14"/>
        <v>0</v>
      </c>
      <c r="R23" s="78">
        <f t="shared" si="14"/>
        <v>0</v>
      </c>
      <c r="S23" s="78">
        <f t="shared" si="14"/>
        <v>0</v>
      </c>
      <c r="T23" s="78">
        <f t="shared" si="14"/>
        <v>0</v>
      </c>
      <c r="U23" s="78">
        <f t="shared" si="14"/>
        <v>0</v>
      </c>
      <c r="V23" s="78">
        <f t="shared" si="14"/>
        <v>0</v>
      </c>
    </row>
    <row r="24" spans="1:22" x14ac:dyDescent="0.2">
      <c r="A24" s="75">
        <v>8</v>
      </c>
      <c r="B24" s="76">
        <f t="shared" ref="B24:C24" si="15">B10</f>
        <v>0</v>
      </c>
      <c r="C24" s="77">
        <f t="shared" si="15"/>
        <v>70</v>
      </c>
      <c r="D24" s="78">
        <f>D10*$B$10</f>
        <v>0</v>
      </c>
      <c r="E24" s="78">
        <f t="shared" ref="E24:V24" si="16">E10*$B$10</f>
        <v>0</v>
      </c>
      <c r="F24" s="78">
        <f t="shared" si="16"/>
        <v>0</v>
      </c>
      <c r="G24" s="78">
        <f t="shared" si="16"/>
        <v>0</v>
      </c>
      <c r="H24" s="78">
        <f t="shared" si="16"/>
        <v>0</v>
      </c>
      <c r="I24" s="78">
        <f t="shared" si="16"/>
        <v>0</v>
      </c>
      <c r="J24" s="78">
        <f t="shared" si="16"/>
        <v>0</v>
      </c>
      <c r="K24" s="78">
        <f t="shared" si="16"/>
        <v>0</v>
      </c>
      <c r="L24" s="78">
        <f t="shared" si="16"/>
        <v>0</v>
      </c>
      <c r="M24" s="78">
        <f t="shared" si="16"/>
        <v>0</v>
      </c>
      <c r="N24" s="78">
        <f t="shared" si="16"/>
        <v>0</v>
      </c>
      <c r="O24" s="78">
        <f t="shared" si="16"/>
        <v>0</v>
      </c>
      <c r="P24" s="78">
        <f t="shared" si="16"/>
        <v>0</v>
      </c>
      <c r="Q24" s="78">
        <f t="shared" si="16"/>
        <v>0</v>
      </c>
      <c r="R24" s="78">
        <f t="shared" si="16"/>
        <v>0</v>
      </c>
      <c r="S24" s="78">
        <f t="shared" si="16"/>
        <v>0</v>
      </c>
      <c r="T24" s="78">
        <f t="shared" si="16"/>
        <v>0</v>
      </c>
      <c r="U24" s="78">
        <f t="shared" si="16"/>
        <v>0</v>
      </c>
      <c r="V24" s="78">
        <f t="shared" si="16"/>
        <v>0</v>
      </c>
    </row>
    <row r="25" spans="1:22" x14ac:dyDescent="0.2">
      <c r="A25" s="75">
        <v>9</v>
      </c>
      <c r="B25" s="76">
        <f t="shared" ref="B25:C25" si="17">B11</f>
        <v>0</v>
      </c>
      <c r="C25" s="77">
        <f t="shared" si="17"/>
        <v>70</v>
      </c>
      <c r="D25" s="78">
        <f>D11*$B$11</f>
        <v>0</v>
      </c>
      <c r="E25" s="78">
        <f t="shared" ref="E25:V25" si="18">E11*$B$11</f>
        <v>0</v>
      </c>
      <c r="F25" s="78">
        <f t="shared" si="18"/>
        <v>0</v>
      </c>
      <c r="G25" s="78">
        <f t="shared" si="18"/>
        <v>0</v>
      </c>
      <c r="H25" s="78">
        <f t="shared" si="18"/>
        <v>0</v>
      </c>
      <c r="I25" s="78">
        <f t="shared" si="18"/>
        <v>0</v>
      </c>
      <c r="J25" s="78">
        <f t="shared" si="18"/>
        <v>0</v>
      </c>
      <c r="K25" s="78">
        <f t="shared" si="18"/>
        <v>0</v>
      </c>
      <c r="L25" s="78">
        <f t="shared" si="18"/>
        <v>0</v>
      </c>
      <c r="M25" s="78">
        <f t="shared" si="18"/>
        <v>0</v>
      </c>
      <c r="N25" s="78">
        <f t="shared" si="18"/>
        <v>0</v>
      </c>
      <c r="O25" s="78">
        <f t="shared" si="18"/>
        <v>0</v>
      </c>
      <c r="P25" s="78">
        <f t="shared" si="18"/>
        <v>0</v>
      </c>
      <c r="Q25" s="78">
        <f t="shared" si="18"/>
        <v>0</v>
      </c>
      <c r="R25" s="78">
        <f t="shared" si="18"/>
        <v>0</v>
      </c>
      <c r="S25" s="78">
        <f t="shared" si="18"/>
        <v>0</v>
      </c>
      <c r="T25" s="78">
        <f t="shared" si="18"/>
        <v>0</v>
      </c>
      <c r="U25" s="78">
        <f t="shared" si="18"/>
        <v>0</v>
      </c>
      <c r="V25" s="78">
        <f t="shared" si="18"/>
        <v>0</v>
      </c>
    </row>
    <row r="26" spans="1:22" x14ac:dyDescent="0.2">
      <c r="A26" s="75">
        <v>10</v>
      </c>
      <c r="B26" s="76">
        <f t="shared" ref="B26:C26" si="19">B12</f>
        <v>0</v>
      </c>
      <c r="C26" s="77">
        <f t="shared" si="19"/>
        <v>16</v>
      </c>
      <c r="D26" s="78">
        <f>D12*$B$12</f>
        <v>0</v>
      </c>
      <c r="E26" s="78">
        <f t="shared" ref="E26:V26" si="20">E12*$B$12</f>
        <v>0</v>
      </c>
      <c r="F26" s="78">
        <f t="shared" si="20"/>
        <v>0</v>
      </c>
      <c r="G26" s="78">
        <f t="shared" si="20"/>
        <v>0</v>
      </c>
      <c r="H26" s="78">
        <f t="shared" si="20"/>
        <v>0</v>
      </c>
      <c r="I26" s="78">
        <f t="shared" si="20"/>
        <v>0</v>
      </c>
      <c r="J26" s="78">
        <f t="shared" si="20"/>
        <v>0</v>
      </c>
      <c r="K26" s="78">
        <f t="shared" si="20"/>
        <v>0</v>
      </c>
      <c r="L26" s="78">
        <f t="shared" si="20"/>
        <v>0</v>
      </c>
      <c r="M26" s="78">
        <f t="shared" si="20"/>
        <v>0</v>
      </c>
      <c r="N26" s="78">
        <f t="shared" si="20"/>
        <v>0</v>
      </c>
      <c r="O26" s="78">
        <f t="shared" si="20"/>
        <v>0</v>
      </c>
      <c r="P26" s="78">
        <f t="shared" si="20"/>
        <v>0</v>
      </c>
      <c r="Q26" s="78">
        <f t="shared" si="20"/>
        <v>0</v>
      </c>
      <c r="R26" s="78">
        <f t="shared" si="20"/>
        <v>0</v>
      </c>
      <c r="S26" s="78">
        <f t="shared" si="20"/>
        <v>0</v>
      </c>
      <c r="T26" s="78">
        <f t="shared" si="20"/>
        <v>0</v>
      </c>
      <c r="U26" s="78">
        <f t="shared" si="20"/>
        <v>0</v>
      </c>
      <c r="V26" s="78">
        <f t="shared" si="20"/>
        <v>0</v>
      </c>
    </row>
    <row r="27" spans="1:22" s="80" customFormat="1" ht="15.75" x14ac:dyDescent="0.25">
      <c r="A27" s="133" t="s">
        <v>85</v>
      </c>
      <c r="B27" s="133"/>
      <c r="C27" s="133"/>
      <c r="D27" s="79">
        <f>SUM(D17:D26)</f>
        <v>0</v>
      </c>
      <c r="E27" s="79">
        <f t="shared" ref="E27:V27" si="21">SUM(E17:E26)</f>
        <v>0</v>
      </c>
      <c r="F27" s="79">
        <f t="shared" si="21"/>
        <v>0</v>
      </c>
      <c r="G27" s="79">
        <f t="shared" si="21"/>
        <v>0</v>
      </c>
      <c r="H27" s="79">
        <f t="shared" si="21"/>
        <v>0</v>
      </c>
      <c r="I27" s="79">
        <f t="shared" si="21"/>
        <v>0</v>
      </c>
      <c r="J27" s="79">
        <f t="shared" si="21"/>
        <v>0</v>
      </c>
      <c r="K27" s="79">
        <f t="shared" si="21"/>
        <v>0</v>
      </c>
      <c r="L27" s="79">
        <f t="shared" si="21"/>
        <v>0</v>
      </c>
      <c r="M27" s="79">
        <f t="shared" si="21"/>
        <v>0</v>
      </c>
      <c r="N27" s="79">
        <f t="shared" si="21"/>
        <v>0</v>
      </c>
      <c r="O27" s="79">
        <f t="shared" si="21"/>
        <v>0</v>
      </c>
      <c r="P27" s="79">
        <f t="shared" si="21"/>
        <v>0</v>
      </c>
      <c r="Q27" s="79">
        <f t="shared" si="21"/>
        <v>0</v>
      </c>
      <c r="R27" s="79">
        <f t="shared" si="21"/>
        <v>0</v>
      </c>
      <c r="S27" s="79">
        <f t="shared" si="21"/>
        <v>0</v>
      </c>
      <c r="T27" s="79">
        <f t="shared" si="21"/>
        <v>0</v>
      </c>
      <c r="U27" s="79">
        <f t="shared" si="21"/>
        <v>0</v>
      </c>
      <c r="V27" s="7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REGU-195-6593294</_dlc_DocId>
    <_dlc_DocIdUrl xmlns="9be56660-2c31-41ef-bc00-23e72f632f2a">
      <Url>https://cyfoethnaturiolcymru.sharepoint.com/teams/Regulatory/Permitting/_layouts/15/DocIdRedir.aspx?ID=REGU-195-6593294</Url>
      <Description>REGU-195-6593294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2024-10-28T00:00:00+00:00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e7b1c1f2aba91afaf91f11b1b3d0ada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480de996f0d07c01b6e165b9b7a4654"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3C2034-7359-4186-BE91-DF5860FFC567}"/>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schemas.microsoft.com/office/infopath/2007/PartnerControls"/>
    <ds:schemaRef ds:uri="http://purl.org/dc/terms/"/>
    <ds:schemaRef ds:uri="http://schemas.microsoft.com/office/2006/documentManagement/types"/>
    <ds:schemaRef ds:uri="9be56660-2c31-41ef-bc00-23e72f632f2a"/>
    <ds:schemaRef ds:uri="http://purl.org/dc/elements/1.1/"/>
    <ds:schemaRef ds:uri="http://schemas.openxmlformats.org/package/2006/metadata/core-properties"/>
    <ds:schemaRef ds:uri="http://schemas.microsoft.com/office/2006/metadata/properties"/>
    <ds:schemaRef ds:uri="http://www.w3.org/XML/1998/namespace"/>
    <ds:schemaRef ds:uri="http://purl.org/dc/dcmityp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6B5E5DD9-43CC-4985-93C8-7AE2B6A1002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2024-10-23T14:50:44Z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5965ede8-fbe9-4e4e-8e20-6b7434ecaf02</vt:lpwstr>
  </property>
  <property fmtid="{D5CDD505-2E9C-101B-9397-08002B2CF9AE}" pid="4" name="Order">
    <vt:r8>11569000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