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6782/"/>
    </mc:Choice>
  </mc:AlternateContent>
  <xr:revisionPtr revIDLastSave="0" documentId="13_ncr:1_{A1E5F408-8A0A-4A05-9F71-6FA0D75CB8C1}" xr6:coauthVersionLast="47" xr6:coauthVersionMax="47" xr10:uidLastSave="{00000000-0000-0000-0000-000000000000}"/>
  <bookViews>
    <workbookView xWindow="-110" yWindow="-110" windowWidth="22780" windowHeight="14540" tabRatio="870" activeTab="5" xr2:uid="{00000000-000D-0000-FFFF-FFFF00000000}"/>
  </bookViews>
  <sheets>
    <sheet name="Bryn Cowlyd" sheetId="1" r:id="rId1"/>
    <sheet name="DCWW Cefni" sheetId="21" r:id="rId2"/>
    <sheet name="Cwellyn " sheetId="27" r:id="rId3"/>
    <sheet name="Dolbenmaen" sheetId="28" r:id="rId4"/>
    <sheet name="Gwastadgoed" sheetId="30" r:id="rId5"/>
    <sheet name="Llyn Conwy" sheetId="26" r:id="rId6"/>
    <sheet name="Mynydd Llandegai" sheetId="24" r:id="rId7"/>
    <sheet name="Additions" sheetId="20" r:id="rId8"/>
    <sheet name="Ratios" sheetId="1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4" l="1"/>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M22" i="30"/>
  <c r="K22" i="30"/>
  <c r="V18" i="30"/>
  <c r="T18" i="30"/>
  <c r="J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10" i="20"/>
  <c r="T10" i="19"/>
  <c r="T24" i="19" s="1"/>
  <c r="R10" i="20"/>
  <c r="Q10" i="20"/>
  <c r="P10" i="20"/>
  <c r="O10" i="20"/>
  <c r="N10" i="20"/>
  <c r="M10" i="20"/>
  <c r="K10" i="20"/>
  <c r="J10" i="20"/>
  <c r="I10" i="20"/>
  <c r="H10" i="20"/>
  <c r="G10" i="20"/>
  <c r="F10" i="20"/>
  <c r="C10" i="20"/>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R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S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U63" i="30" l="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0" i="26" s="1"/>
  <c r="F21" i="26"/>
  <c r="F23" i="26" s="1"/>
  <c r="F24" i="26" s="1"/>
  <c r="M59" i="26"/>
  <c r="N17" i="26"/>
  <c r="N19" i="26" s="1"/>
  <c r="N20" i="26" s="1"/>
  <c r="N21" i="26"/>
  <c r="N23" i="26" s="1"/>
  <c r="N24" i="26" s="1"/>
  <c r="U59" i="26"/>
  <c r="U64" i="26" s="1"/>
  <c r="V21" i="26"/>
  <c r="V23" i="26" s="1"/>
  <c r="V24" i="26" s="1"/>
  <c r="V17" i="26"/>
  <c r="V19" i="26" s="1"/>
  <c r="V20" i="26"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M23" i="28" s="1"/>
  <c r="M24" i="28" s="1"/>
  <c r="T59" i="28"/>
  <c r="U17" i="28"/>
  <c r="U21" i="28"/>
  <c r="U23" i="28" s="1"/>
  <c r="U24" i="28"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R19" i="21" s="1"/>
  <c r="R20" i="21" s="1"/>
  <c r="G12" i="20"/>
  <c r="H12" i="19"/>
  <c r="H26" i="19" s="1"/>
  <c r="J4" i="20"/>
  <c r="K4" i="19"/>
  <c r="K18" i="19" s="1"/>
  <c r="U63" i="21"/>
  <c r="N63" i="21"/>
  <c r="F63" i="21"/>
  <c r="P59" i="21"/>
  <c r="Q21" i="21"/>
  <c r="Q23" i="21" s="1"/>
  <c r="Q24" i="21" s="1"/>
  <c r="Q17" i="21"/>
  <c r="Q19" i="21" s="1"/>
  <c r="Q20" i="21" s="1"/>
  <c r="I17" i="21"/>
  <c r="I19" i="21" s="1"/>
  <c r="I20" i="21" s="1"/>
  <c r="I21" i="21"/>
  <c r="I23" i="21" s="1"/>
  <c r="I24" i="21" s="1"/>
  <c r="D59" i="27"/>
  <c r="E17" i="27"/>
  <c r="E19" i="27" s="1"/>
  <c r="E20" i="27" s="1"/>
  <c r="L59" i="27"/>
  <c r="M17" i="27"/>
  <c r="M19" i="27" s="1"/>
  <c r="M20" i="27" s="1"/>
  <c r="T59" i="27"/>
  <c r="U17" i="27"/>
  <c r="U19" i="27" s="1"/>
  <c r="U20" i="27" s="1"/>
  <c r="I9" i="20"/>
  <c r="J9" i="19"/>
  <c r="J23" i="19" s="1"/>
  <c r="R4" i="20"/>
  <c r="S4" i="19"/>
  <c r="S18" i="19" s="1"/>
  <c r="R11" i="20"/>
  <c r="S11" i="19"/>
  <c r="S25" i="19" s="1"/>
  <c r="I59" i="24"/>
  <c r="J21" i="24"/>
  <c r="J23" i="24" s="1"/>
  <c r="J24" i="24" s="1"/>
  <c r="J17" i="24"/>
  <c r="J19" i="24" s="1"/>
  <c r="J20" i="24" s="1"/>
  <c r="Q59" i="24"/>
  <c r="R21" i="24"/>
  <c r="R23" i="24" s="1"/>
  <c r="R24" i="24" s="1"/>
  <c r="R17" i="24"/>
  <c r="R19" i="24" s="1"/>
  <c r="R20" i="24"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M57" i="21"/>
  <c r="R59" i="21"/>
  <c r="S21" i="21"/>
  <c r="S23" i="21" s="1"/>
  <c r="S24" i="21" s="1"/>
  <c r="S17" i="21"/>
  <c r="J59" i="21"/>
  <c r="K21" i="21"/>
  <c r="K23" i="21" s="1"/>
  <c r="K24" i="21" s="1"/>
  <c r="K17" i="21"/>
  <c r="K19" i="21" s="1"/>
  <c r="K20" i="21" s="1"/>
  <c r="H21" i="24"/>
  <c r="H23" i="24" s="1"/>
  <c r="H24" i="24" s="1"/>
  <c r="H17" i="24"/>
  <c r="H19" i="24" s="1"/>
  <c r="H20" i="24" s="1"/>
  <c r="P17" i="24"/>
  <c r="P19" i="24" s="1"/>
  <c r="P20" i="24" s="1"/>
  <c r="P21" i="24"/>
  <c r="P23" i="24" s="1"/>
  <c r="P24" i="24" s="1"/>
  <c r="C59" i="26"/>
  <c r="D21" i="26"/>
  <c r="D23" i="26" s="1"/>
  <c r="D24" i="26" s="1"/>
  <c r="D17" i="26"/>
  <c r="D19" i="26" s="1"/>
  <c r="D20" i="26" s="1"/>
  <c r="K59" i="26"/>
  <c r="L21" i="26"/>
  <c r="L23" i="26" s="1"/>
  <c r="L24" i="26" s="1"/>
  <c r="L17" i="26"/>
  <c r="L19" i="26" s="1"/>
  <c r="L20" i="26" s="1"/>
  <c r="S59" i="26"/>
  <c r="T21" i="26"/>
  <c r="T23" i="26" s="1"/>
  <c r="T24" i="26" s="1"/>
  <c r="T17" i="26"/>
  <c r="T19" i="26" s="1"/>
  <c r="T20" i="26" s="1"/>
  <c r="N63" i="26"/>
  <c r="J59" i="27"/>
  <c r="K17" i="27"/>
  <c r="K19" i="27" s="1"/>
  <c r="K20" i="27" s="1"/>
  <c r="R59" i="27"/>
  <c r="S17" i="27"/>
  <c r="S19" i="27" s="1"/>
  <c r="S20" i="27" s="1"/>
  <c r="J59" i="28"/>
  <c r="K17" i="28"/>
  <c r="K19" i="28" s="1"/>
  <c r="K20" i="28" s="1"/>
  <c r="K21" i="28"/>
  <c r="K23" i="28" s="1"/>
  <c r="K24" i="28" s="1"/>
  <c r="R59" i="28"/>
  <c r="S17" i="28"/>
  <c r="S19" i="28" s="1"/>
  <c r="S20" i="28" s="1"/>
  <c r="S21" i="28"/>
  <c r="S23" i="28" s="1"/>
  <c r="S24" i="28" s="1"/>
  <c r="H59" i="30"/>
  <c r="I17" i="30"/>
  <c r="I19" i="30" s="1"/>
  <c r="I20" i="30" s="1"/>
  <c r="I21" i="30"/>
  <c r="I23" i="30" s="1"/>
  <c r="I24" i="30" s="1"/>
  <c r="Q17" i="30"/>
  <c r="Q19" i="30" s="1"/>
  <c r="Q20" i="30" s="1"/>
  <c r="Q21" i="30"/>
  <c r="Q23" i="30" s="1"/>
  <c r="Q24" i="30"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0" i="24" s="1"/>
  <c r="I21" i="24"/>
  <c r="I23" i="24" s="1"/>
  <c r="I24" i="24" s="1"/>
  <c r="Q17" i="24"/>
  <c r="Q19" i="24" s="1"/>
  <c r="Q20" i="24" s="1"/>
  <c r="Q21" i="24"/>
  <c r="Q23" i="24" s="1"/>
  <c r="Q24" i="24" s="1"/>
  <c r="D59" i="26"/>
  <c r="E21" i="26"/>
  <c r="E23" i="26" s="1"/>
  <c r="E24" i="26" s="1"/>
  <c r="E17" i="26"/>
  <c r="E19" i="26" s="1"/>
  <c r="E20" i="26" s="1"/>
  <c r="L59" i="26"/>
  <c r="M21" i="26"/>
  <c r="M17" i="26"/>
  <c r="T59" i="26"/>
  <c r="U21" i="26"/>
  <c r="U23" i="26" s="1"/>
  <c r="U24" i="26" s="1"/>
  <c r="U17" i="26"/>
  <c r="U19" i="26" s="1"/>
  <c r="U20" i="26" s="1"/>
  <c r="C59" i="27"/>
  <c r="D17" i="27"/>
  <c r="D19" i="27" s="1"/>
  <c r="D20" i="27" s="1"/>
  <c r="K59" i="27"/>
  <c r="L17" i="27"/>
  <c r="L19" i="27" s="1"/>
  <c r="L20" i="27" s="1"/>
  <c r="S59" i="27"/>
  <c r="T17" i="27"/>
  <c r="T19" i="27" s="1"/>
  <c r="T20" i="27" s="1"/>
  <c r="C59" i="28"/>
  <c r="D21" i="28"/>
  <c r="D23" i="28" s="1"/>
  <c r="D24" i="28" s="1"/>
  <c r="D17" i="28"/>
  <c r="D19" i="28" s="1"/>
  <c r="D20" i="28" s="1"/>
  <c r="K59" i="28"/>
  <c r="L21" i="28"/>
  <c r="L23" i="28" s="1"/>
  <c r="L24" i="28" s="1"/>
  <c r="L17" i="28"/>
  <c r="S59" i="28"/>
  <c r="T21" i="28"/>
  <c r="T23" i="28" s="1"/>
  <c r="T24" i="28" s="1"/>
  <c r="T17" i="28"/>
  <c r="T19" i="28" s="1"/>
  <c r="T20" i="28" s="1"/>
  <c r="I59" i="30"/>
  <c r="J21" i="30"/>
  <c r="J23" i="30" s="1"/>
  <c r="J24" i="30" s="1"/>
  <c r="J17" i="30"/>
  <c r="J19" i="30" s="1"/>
  <c r="J20" i="30" s="1"/>
  <c r="Q59" i="30"/>
  <c r="R21" i="30"/>
  <c r="R23" i="30" s="1"/>
  <c r="R24" i="30" s="1"/>
  <c r="R17" i="30"/>
  <c r="R19" i="30" s="1"/>
  <c r="R20" i="30"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P19" i="21" s="1"/>
  <c r="P20" i="21" s="1"/>
  <c r="H21" i="21"/>
  <c r="H23" i="21" s="1"/>
  <c r="H24" i="21" s="1"/>
  <c r="H17" i="21"/>
  <c r="H19" i="21" s="1"/>
  <c r="H20" i="21" s="1"/>
  <c r="J59" i="24"/>
  <c r="K21" i="24"/>
  <c r="K17" i="24"/>
  <c r="R59" i="24"/>
  <c r="S21" i="24"/>
  <c r="S23" i="24" s="1"/>
  <c r="S24" i="24" s="1"/>
  <c r="S17" i="24"/>
  <c r="S19" i="24" s="1"/>
  <c r="S20" i="24" s="1"/>
  <c r="G21" i="26"/>
  <c r="G23" i="26" s="1"/>
  <c r="G24" i="26" s="1"/>
  <c r="G17" i="26"/>
  <c r="G19" i="26" s="1"/>
  <c r="G20" i="26" s="1"/>
  <c r="O17" i="26"/>
  <c r="O19" i="26" s="1"/>
  <c r="O20" i="26" s="1"/>
  <c r="O21" i="26"/>
  <c r="E59" i="27"/>
  <c r="F17" i="27"/>
  <c r="F19" i="27" s="1"/>
  <c r="F20" i="27" s="1"/>
  <c r="M59" i="27"/>
  <c r="N17" i="27"/>
  <c r="N19" i="27" s="1"/>
  <c r="N20" i="27" s="1"/>
  <c r="U59" i="27"/>
  <c r="V17" i="27"/>
  <c r="V19" i="27" s="1"/>
  <c r="V20" i="27" s="1"/>
  <c r="E59" i="28"/>
  <c r="F17" i="28"/>
  <c r="F21" i="28"/>
  <c r="F23" i="28" s="1"/>
  <c r="F24" i="28" s="1"/>
  <c r="M59" i="28"/>
  <c r="N17" i="28"/>
  <c r="N19" i="28" s="1"/>
  <c r="N20" i="28" s="1"/>
  <c r="N21" i="28"/>
  <c r="N23" i="28" s="1"/>
  <c r="N24" i="28" s="1"/>
  <c r="U59" i="28"/>
  <c r="V17" i="28"/>
  <c r="V21" i="28"/>
  <c r="V23" i="28" s="1"/>
  <c r="V24" i="28" s="1"/>
  <c r="C59" i="30"/>
  <c r="D17" i="30"/>
  <c r="D19" i="30" s="1"/>
  <c r="D20" i="30" s="1"/>
  <c r="D21" i="30"/>
  <c r="D23" i="30" s="1"/>
  <c r="D24" i="30" s="1"/>
  <c r="K59" i="30"/>
  <c r="L17" i="30"/>
  <c r="L19" i="30" s="1"/>
  <c r="L20" i="30" s="1"/>
  <c r="L21" i="30"/>
  <c r="L23" i="30" s="1"/>
  <c r="L24" i="30" s="1"/>
  <c r="S59" i="30"/>
  <c r="T17" i="30"/>
  <c r="T19" i="30" s="1"/>
  <c r="T20" i="30" s="1"/>
  <c r="T21" i="30"/>
  <c r="T23" i="30" s="1"/>
  <c r="T24" i="30"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19" i="30" s="1"/>
  <c r="S20" i="30" s="1"/>
  <c r="S21" i="30"/>
  <c r="S23" i="30" s="1"/>
  <c r="S24" i="30" s="1"/>
  <c r="A34" i="21"/>
  <c r="N59" i="21"/>
  <c r="N64" i="21" s="1"/>
  <c r="O21" i="21"/>
  <c r="O23" i="21" s="1"/>
  <c r="O24" i="21" s="1"/>
  <c r="O17" i="21"/>
  <c r="O19" i="21" s="1"/>
  <c r="O20" i="21" s="1"/>
  <c r="F59" i="21"/>
  <c r="G21" i="21"/>
  <c r="G17" i="21"/>
  <c r="C59" i="24"/>
  <c r="D17" i="24"/>
  <c r="D19" i="24" s="1"/>
  <c r="D20" i="24" s="1"/>
  <c r="D21" i="24"/>
  <c r="K59" i="24"/>
  <c r="L21" i="24"/>
  <c r="L23" i="24" s="1"/>
  <c r="L24" i="24" s="1"/>
  <c r="L17" i="24"/>
  <c r="L19" i="24" s="1"/>
  <c r="L20" i="24" s="1"/>
  <c r="S59" i="24"/>
  <c r="T21" i="24"/>
  <c r="T23" i="24" s="1"/>
  <c r="T24" i="24" s="1"/>
  <c r="T17" i="24"/>
  <c r="T19" i="24" s="1"/>
  <c r="T20" i="24" s="1"/>
  <c r="H21" i="26"/>
  <c r="H23" i="26" s="1"/>
  <c r="H24" i="26" s="1"/>
  <c r="H17" i="26"/>
  <c r="P21" i="26"/>
  <c r="P17" i="26"/>
  <c r="F59" i="28"/>
  <c r="G17" i="28"/>
  <c r="G19" i="28" s="1"/>
  <c r="G20" i="28" s="1"/>
  <c r="G21" i="28"/>
  <c r="G23" i="28" s="1"/>
  <c r="G24" i="28" s="1"/>
  <c r="N59" i="28"/>
  <c r="O17" i="28"/>
  <c r="O19" i="28" s="1"/>
  <c r="O20" i="28" s="1"/>
  <c r="O21" i="28"/>
  <c r="O23" i="28" s="1"/>
  <c r="O24" i="28" s="1"/>
  <c r="D59" i="30"/>
  <c r="E17" i="30"/>
  <c r="E21" i="30"/>
  <c r="E23" i="30" s="1"/>
  <c r="E24" i="30" s="1"/>
  <c r="L59" i="30"/>
  <c r="M17" i="30"/>
  <c r="M19" i="30" s="1"/>
  <c r="M20" i="30" s="1"/>
  <c r="M21" i="30"/>
  <c r="M23" i="30" s="1"/>
  <c r="M24" i="30" s="1"/>
  <c r="T59" i="30"/>
  <c r="U17" i="30"/>
  <c r="U19" i="30" s="1"/>
  <c r="U20"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D59" i="24"/>
  <c r="E17" i="24"/>
  <c r="E19" i="24" s="1"/>
  <c r="E20" i="24" s="1"/>
  <c r="E21" i="24"/>
  <c r="L59" i="24"/>
  <c r="M17" i="24"/>
  <c r="M19" i="24" s="1"/>
  <c r="M20" i="24" s="1"/>
  <c r="M21" i="24"/>
  <c r="M23" i="24" s="1"/>
  <c r="M24" i="24" s="1"/>
  <c r="T59" i="24"/>
  <c r="U21" i="24"/>
  <c r="U23" i="24" s="1"/>
  <c r="U24" i="24" s="1"/>
  <c r="U17" i="24"/>
  <c r="U19" i="24" s="1"/>
  <c r="U20" i="24" s="1"/>
  <c r="H59" i="26"/>
  <c r="H64" i="26" s="1"/>
  <c r="I17" i="26"/>
  <c r="I19" i="26" s="1"/>
  <c r="I20" i="26" s="1"/>
  <c r="I21" i="26"/>
  <c r="I23" i="26" s="1"/>
  <c r="I24" i="26" s="1"/>
  <c r="P59" i="26"/>
  <c r="Q17" i="26"/>
  <c r="Q19" i="26" s="1"/>
  <c r="Q20" i="26" s="1"/>
  <c r="Q21" i="26"/>
  <c r="E63" i="26"/>
  <c r="H17" i="27"/>
  <c r="H19" i="27" s="1"/>
  <c r="H20" i="27" s="1"/>
  <c r="P17" i="27"/>
  <c r="P19" i="27" s="1"/>
  <c r="P20" i="27" s="1"/>
  <c r="H21" i="28"/>
  <c r="H23" i="28" s="1"/>
  <c r="H24" i="28" s="1"/>
  <c r="H17" i="28"/>
  <c r="H19" i="28" s="1"/>
  <c r="H20" i="28" s="1"/>
  <c r="P21" i="28"/>
  <c r="P23" i="28" s="1"/>
  <c r="P24" i="28" s="1"/>
  <c r="P17" i="28"/>
  <c r="P19" i="28" s="1"/>
  <c r="P20" i="28" s="1"/>
  <c r="E59" i="30"/>
  <c r="F21" i="30"/>
  <c r="F23" i="30" s="1"/>
  <c r="F24" i="30" s="1"/>
  <c r="F17" i="30"/>
  <c r="F19" i="30" s="1"/>
  <c r="F20" i="30" s="1"/>
  <c r="M59" i="30"/>
  <c r="N21" i="30"/>
  <c r="N23" i="30" s="1"/>
  <c r="N24" i="30" s="1"/>
  <c r="N17" i="30"/>
  <c r="N19" i="30" s="1"/>
  <c r="N20" i="30" s="1"/>
  <c r="U59" i="30"/>
  <c r="V21" i="30"/>
  <c r="V23" i="30" s="1"/>
  <c r="V24" i="30" s="1"/>
  <c r="V17" i="30"/>
  <c r="V19" i="30" s="1"/>
  <c r="V20" i="30"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0" i="21" s="1"/>
  <c r="V21" i="21"/>
  <c r="V23" i="21" s="1"/>
  <c r="V24" i="21" s="1"/>
  <c r="E59" i="21"/>
  <c r="F17" i="21"/>
  <c r="F19" i="21" s="1"/>
  <c r="F20" i="21" s="1"/>
  <c r="F21" i="21"/>
  <c r="F23" i="21" s="1"/>
  <c r="F24" i="21" s="1"/>
  <c r="T59" i="21"/>
  <c r="U17" i="21"/>
  <c r="U19" i="21" s="1"/>
  <c r="U20" i="21" s="1"/>
  <c r="U21" i="21"/>
  <c r="U23" i="21" s="1"/>
  <c r="U24" i="21" s="1"/>
  <c r="M17" i="21"/>
  <c r="M21" i="21"/>
  <c r="E17" i="21"/>
  <c r="E19" i="21" s="1"/>
  <c r="E20" i="21" s="1"/>
  <c r="E21" i="21"/>
  <c r="E23" i="21" s="1"/>
  <c r="E24" i="21" s="1"/>
  <c r="E59" i="24"/>
  <c r="F21" i="24"/>
  <c r="F23" i="24" s="1"/>
  <c r="F24" i="24" s="1"/>
  <c r="F17" i="24"/>
  <c r="F19" i="24" s="1"/>
  <c r="F20" i="24" s="1"/>
  <c r="M59" i="24"/>
  <c r="N21" i="24"/>
  <c r="N23" i="24" s="1"/>
  <c r="N24" i="24" s="1"/>
  <c r="N17" i="24"/>
  <c r="N19" i="24" s="1"/>
  <c r="N20" i="24" s="1"/>
  <c r="U59" i="24"/>
  <c r="V21" i="24"/>
  <c r="V23" i="24" s="1"/>
  <c r="V24" i="24" s="1"/>
  <c r="V17" i="24"/>
  <c r="V19" i="24" s="1"/>
  <c r="V20" i="24" s="1"/>
  <c r="I58" i="26"/>
  <c r="I61" i="26" s="1"/>
  <c r="J17" i="26"/>
  <c r="J19" i="26" s="1"/>
  <c r="J20" i="26" s="1"/>
  <c r="J21" i="26"/>
  <c r="Q58" i="26"/>
  <c r="Q61" i="26" s="1"/>
  <c r="R21" i="26"/>
  <c r="R23" i="26" s="1"/>
  <c r="R24" i="26" s="1"/>
  <c r="R17" i="26"/>
  <c r="R19" i="26" s="1"/>
  <c r="R20" i="26" s="1"/>
  <c r="F63" i="26"/>
  <c r="I17" i="27"/>
  <c r="I19" i="27" s="1"/>
  <c r="I20" i="27" s="1"/>
  <c r="Q17" i="27"/>
  <c r="I21" i="28"/>
  <c r="I23" i="28" s="1"/>
  <c r="I24" i="28" s="1"/>
  <c r="I17" i="28"/>
  <c r="I19" i="28" s="1"/>
  <c r="I20" i="28" s="1"/>
  <c r="Q21" i="28"/>
  <c r="Q23" i="28" s="1"/>
  <c r="Q24" i="28" s="1"/>
  <c r="Q17" i="28"/>
  <c r="Q19" i="28" s="1"/>
  <c r="Q20" i="28" s="1"/>
  <c r="G21" i="30"/>
  <c r="G23" i="30" s="1"/>
  <c r="G24" i="30" s="1"/>
  <c r="G17" i="30"/>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G17" i="24"/>
  <c r="G19" i="24" s="1"/>
  <c r="G20" i="24" s="1"/>
  <c r="G21" i="24"/>
  <c r="G23" i="24" s="1"/>
  <c r="G24" i="24" s="1"/>
  <c r="O17" i="24"/>
  <c r="O21" i="24"/>
  <c r="O23" i="24" s="1"/>
  <c r="O24" i="24" s="1"/>
  <c r="J59" i="26"/>
  <c r="K17" i="26"/>
  <c r="K19" i="26" s="1"/>
  <c r="K20" i="26" s="1"/>
  <c r="K21" i="26"/>
  <c r="R59" i="26"/>
  <c r="S17" i="26"/>
  <c r="S19" i="26" s="1"/>
  <c r="S20"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R19" i="28" s="1"/>
  <c r="R20" i="28"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4"/>
  <c r="C17" i="24"/>
  <c r="C19" i="24" s="1"/>
  <c r="C20" i="24" s="1"/>
  <c r="C21" i="24"/>
  <c r="C23" i="24" s="1"/>
  <c r="C24" i="24" s="1"/>
  <c r="B59" i="26"/>
  <c r="C21" i="26"/>
  <c r="C23" i="26" s="1"/>
  <c r="C24" i="26" s="1"/>
  <c r="C17" i="26"/>
  <c r="B59" i="21"/>
  <c r="C21" i="21"/>
  <c r="C17" i="21"/>
  <c r="C19" i="21" s="1"/>
  <c r="C20" i="21" s="1"/>
  <c r="D23" i="21"/>
  <c r="D24" i="21" s="1"/>
  <c r="S58" i="21"/>
  <c r="S61" i="21" s="1"/>
  <c r="C58" i="21"/>
  <c r="C61" i="21" s="1"/>
  <c r="K58" i="21"/>
  <c r="K61" i="21" s="1"/>
  <c r="K64" i="21" s="1"/>
  <c r="K65" i="21" s="1"/>
  <c r="I21" i="27"/>
  <c r="I23" i="27" s="1"/>
  <c r="I24" i="27" s="1"/>
  <c r="Q21" i="27"/>
  <c r="Q23" i="27" s="1"/>
  <c r="Q24" i="27" s="1"/>
  <c r="R58" i="21"/>
  <c r="R61" i="21" s="1"/>
  <c r="O57" i="21"/>
  <c r="A43" i="21"/>
  <c r="J58" i="21"/>
  <c r="J61" i="21" s="1"/>
  <c r="P23" i="26"/>
  <c r="P24" i="26" s="1"/>
  <c r="G21" i="27"/>
  <c r="G23" i="27" s="1"/>
  <c r="G24" i="27" s="1"/>
  <c r="O21" i="27"/>
  <c r="O23" i="27" s="1"/>
  <c r="O24" i="27" s="1"/>
  <c r="D58" i="30"/>
  <c r="D61" i="30" s="1"/>
  <c r="L58" i="30"/>
  <c r="L61" i="30" s="1"/>
  <c r="L64" i="30" s="1"/>
  <c r="L65" i="30" s="1"/>
  <c r="H21" i="27"/>
  <c r="H23" i="27" s="1"/>
  <c r="H24" i="27" s="1"/>
  <c r="P21" i="27"/>
  <c r="P23" i="27" s="1"/>
  <c r="P24" i="27" s="1"/>
  <c r="J58" i="26"/>
  <c r="J61" i="26" s="1"/>
  <c r="J58" i="27"/>
  <c r="J61" i="27" s="1"/>
  <c r="J64" i="27" s="1"/>
  <c r="R58" i="27"/>
  <c r="R61" i="27" s="1"/>
  <c r="R64" i="27" s="1"/>
  <c r="R58" i="28"/>
  <c r="R61" i="28" s="1"/>
  <c r="L21" i="27"/>
  <c r="L23" i="27" s="1"/>
  <c r="L24" i="27" s="1"/>
  <c r="T21" i="27"/>
  <c r="T23" i="27" s="1"/>
  <c r="T24" i="27" s="1"/>
  <c r="P58" i="21"/>
  <c r="P61" i="21" s="1"/>
  <c r="P64" i="21" s="1"/>
  <c r="P65" i="21" s="1"/>
  <c r="H58" i="21"/>
  <c r="H61" i="21" s="1"/>
  <c r="R58" i="26"/>
  <c r="R61" i="26" s="1"/>
  <c r="R57" i="21"/>
  <c r="U23" i="30"/>
  <c r="U24" i="30" s="1"/>
  <c r="J58" i="28"/>
  <c r="J61" i="28" s="1"/>
  <c r="J64" i="28" s="1"/>
  <c r="J58" i="24"/>
  <c r="J61" i="24" s="1"/>
  <c r="J64" i="24" s="1"/>
  <c r="J65" i="24" s="1"/>
  <c r="R58" i="24"/>
  <c r="R61" i="24" s="1"/>
  <c r="F57" i="24"/>
  <c r="T58" i="30"/>
  <c r="T61" i="30" s="1"/>
  <c r="T64" i="30" s="1"/>
  <c r="F58" i="26"/>
  <c r="F61" i="26" s="1"/>
  <c r="D58" i="27"/>
  <c r="D61" i="27" s="1"/>
  <c r="D64" i="27" s="1"/>
  <c r="L58" i="27"/>
  <c r="L61" i="27" s="1"/>
  <c r="T58" i="27"/>
  <c r="T61" i="27" s="1"/>
  <c r="J58" i="30"/>
  <c r="J61" i="30" s="1"/>
  <c r="J64" i="30" s="1"/>
  <c r="R58" i="30"/>
  <c r="R61" i="30" s="1"/>
  <c r="R64" i="30" s="1"/>
  <c r="P57" i="30"/>
  <c r="J57" i="21"/>
  <c r="H59" i="21"/>
  <c r="R21" i="27"/>
  <c r="R23" i="27" s="1"/>
  <c r="R24" i="27" s="1"/>
  <c r="E58" i="27"/>
  <c r="E61" i="27" s="1"/>
  <c r="M58" i="27"/>
  <c r="M61" i="27" s="1"/>
  <c r="U58" i="27"/>
  <c r="U61" i="27" s="1"/>
  <c r="F58" i="30"/>
  <c r="F61" i="30" s="1"/>
  <c r="N58" i="30"/>
  <c r="N61" i="30" s="1"/>
  <c r="G59" i="21"/>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G58" i="30"/>
  <c r="G61" i="30" s="1"/>
  <c r="O58" i="30"/>
  <c r="O61" i="30" s="1"/>
  <c r="Q57" i="30"/>
  <c r="G58" i="27"/>
  <c r="G61" i="27" s="1"/>
  <c r="T58" i="28"/>
  <c r="T61" i="28" s="1"/>
  <c r="T64" i="28" s="1"/>
  <c r="H58" i="30"/>
  <c r="H61" i="30" s="1"/>
  <c r="N59" i="30"/>
  <c r="Q57" i="21"/>
  <c r="B58" i="21"/>
  <c r="B61" i="21"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Q65" i="30" s="1"/>
  <c r="P59" i="30"/>
  <c r="L58" i="24"/>
  <c r="L61" i="24" s="1"/>
  <c r="L64" i="24" s="1"/>
  <c r="P58" i="26"/>
  <c r="P61" i="26" s="1"/>
  <c r="F59" i="26"/>
  <c r="O58" i="27"/>
  <c r="O61" i="27" s="1"/>
  <c r="A38" i="21"/>
  <c r="F58" i="24"/>
  <c r="F61" i="24" s="1"/>
  <c r="N58" i="24"/>
  <c r="N61" i="24" s="1"/>
  <c r="F59" i="24"/>
  <c r="I58" i="27"/>
  <c r="I61" i="27" s="1"/>
  <c r="Q58" i="27"/>
  <c r="Q61" i="27" s="1"/>
  <c r="H57" i="27"/>
  <c r="F59" i="27"/>
  <c r="F58" i="28"/>
  <c r="F61" i="28" s="1"/>
  <c r="N58" i="28"/>
  <c r="N61" i="28" s="1"/>
  <c r="F57" i="30"/>
  <c r="N58" i="26"/>
  <c r="N61" i="26" s="1"/>
  <c r="T58" i="24"/>
  <c r="T61" i="24" s="1"/>
  <c r="H58" i="26"/>
  <c r="H61" i="26" s="1"/>
  <c r="L58" i="28"/>
  <c r="L61" i="28" s="1"/>
  <c r="D23" i="24"/>
  <c r="D24" i="24" s="1"/>
  <c r="G58" i="24"/>
  <c r="G61" i="24" s="1"/>
  <c r="O58" i="24"/>
  <c r="O61" i="24" s="1"/>
  <c r="N59" i="24"/>
  <c r="C58" i="26"/>
  <c r="C61" i="26" s="1"/>
  <c r="K58" i="26"/>
  <c r="K61" i="26" s="1"/>
  <c r="S58" i="26"/>
  <c r="S61" i="26" s="1"/>
  <c r="N57" i="27"/>
  <c r="H59" i="27"/>
  <c r="G58" i="28"/>
  <c r="G61" i="28" s="1"/>
  <c r="O58" i="28"/>
  <c r="O61" i="28" s="1"/>
  <c r="F57" i="28"/>
  <c r="C58" i="30"/>
  <c r="C61" i="30" s="1"/>
  <c r="K58" i="30"/>
  <c r="K61" i="30" s="1"/>
  <c r="K64" i="30" s="1"/>
  <c r="K65" i="30" s="1"/>
  <c r="S58" i="30"/>
  <c r="S61" i="30" s="1"/>
  <c r="H57" i="30"/>
  <c r="D58" i="24"/>
  <c r="D61" i="24" s="1"/>
  <c r="D58" i="28"/>
  <c r="D61" i="28" s="1"/>
  <c r="P58" i="30"/>
  <c r="P61" i="30" s="1"/>
  <c r="Q58" i="21"/>
  <c r="Q61" i="21" s="1"/>
  <c r="Q64" i="21" s="1"/>
  <c r="I58" i="21"/>
  <c r="I61" i="21" s="1"/>
  <c r="H58" i="24"/>
  <c r="H61" i="24" s="1"/>
  <c r="P58" i="24"/>
  <c r="P61" i="24" s="1"/>
  <c r="Q23" i="26"/>
  <c r="Q24" i="26" s="1"/>
  <c r="D58" i="26"/>
  <c r="D61" i="26" s="1"/>
  <c r="L58" i="26"/>
  <c r="L61" i="26" s="1"/>
  <c r="L64" i="26" s="1"/>
  <c r="T58" i="26"/>
  <c r="T61" i="26" s="1"/>
  <c r="F57" i="26"/>
  <c r="C58" i="27"/>
  <c r="C61" i="27" s="1"/>
  <c r="K58" i="27"/>
  <c r="K61" i="27" s="1"/>
  <c r="S58" i="27"/>
  <c r="S61" i="27" s="1"/>
  <c r="S64" i="27" s="1"/>
  <c r="S65" i="27" s="1"/>
  <c r="P57" i="27"/>
  <c r="N59" i="27"/>
  <c r="H58" i="28"/>
  <c r="H61" i="28" s="1"/>
  <c r="P58" i="28"/>
  <c r="P61" i="28" s="1"/>
  <c r="N57" i="28"/>
  <c r="I57" i="30"/>
  <c r="M19" i="21"/>
  <c r="M20" i="21" s="1"/>
  <c r="G57" i="21"/>
  <c r="I58" i="24"/>
  <c r="I61" i="24" s="1"/>
  <c r="Q58" i="24"/>
  <c r="Q61" i="24" s="1"/>
  <c r="E58" i="26"/>
  <c r="E61" i="26" s="1"/>
  <c r="M58" i="26"/>
  <c r="M61" i="26" s="1"/>
  <c r="U58" i="26"/>
  <c r="U61" i="26" s="1"/>
  <c r="N57" i="26"/>
  <c r="P59" i="27"/>
  <c r="I58" i="28"/>
  <c r="I61" i="28" s="1"/>
  <c r="I64" i="28" s="1"/>
  <c r="Q58" i="28"/>
  <c r="Q61" i="28" s="1"/>
  <c r="Q64" i="28" s="1"/>
  <c r="E58" i="30"/>
  <c r="E61" i="30" s="1"/>
  <c r="M58" i="30"/>
  <c r="M61" i="30" s="1"/>
  <c r="U58" i="30"/>
  <c r="U61" i="30" s="1"/>
  <c r="N57" i="30"/>
  <c r="F59" i="30"/>
  <c r="B58" i="30"/>
  <c r="B61" i="30" s="1"/>
  <c r="B64" i="30" s="1"/>
  <c r="B65" i="30" s="1"/>
  <c r="B58" i="24"/>
  <c r="B61" i="24" s="1"/>
  <c r="B64" i="24" s="1"/>
  <c r="B58" i="26"/>
  <c r="B61" i="26" s="1"/>
  <c r="B58" i="27"/>
  <c r="B61" i="27" s="1"/>
  <c r="B58" i="28"/>
  <c r="B61" i="28" s="1"/>
  <c r="D5" i="20"/>
  <c r="D6" i="20"/>
  <c r="D4" i="20"/>
  <c r="E9" i="20"/>
  <c r="D9" i="20"/>
  <c r="E11" i="20"/>
  <c r="D11" i="20"/>
  <c r="E8" i="20"/>
  <c r="D8" i="20"/>
  <c r="E10" i="20"/>
  <c r="D10" i="20"/>
  <c r="E7" i="20"/>
  <c r="D7" i="20"/>
  <c r="E6" i="20"/>
  <c r="E5" i="20"/>
  <c r="E4" i="20"/>
  <c r="O23" i="30"/>
  <c r="O24" i="30" s="1"/>
  <c r="H23" i="30"/>
  <c r="H24" i="30" s="1"/>
  <c r="F63" i="30"/>
  <c r="N63" i="30"/>
  <c r="A31" i="30"/>
  <c r="A33" i="30"/>
  <c r="A39" i="30"/>
  <c r="A41" i="30"/>
  <c r="A47" i="30"/>
  <c r="A49" i="30"/>
  <c r="G57" i="30"/>
  <c r="O57" i="30"/>
  <c r="G59" i="30"/>
  <c r="O59" i="30"/>
  <c r="G63" i="30"/>
  <c r="O63" i="30"/>
  <c r="P63" i="30"/>
  <c r="I63" i="30"/>
  <c r="Q63" i="30"/>
  <c r="E19" i="30"/>
  <c r="E20" i="30" s="1"/>
  <c r="B63" i="30"/>
  <c r="J63" i="30"/>
  <c r="R63" i="30"/>
  <c r="G19" i="30"/>
  <c r="G20" i="30" s="1"/>
  <c r="A32" i="30"/>
  <c r="A34" i="30"/>
  <c r="A40" i="30"/>
  <c r="A42" i="30"/>
  <c r="A48" i="30"/>
  <c r="A50" i="30"/>
  <c r="C63" i="30"/>
  <c r="K63" i="30"/>
  <c r="S63" i="30"/>
  <c r="P19" i="30"/>
  <c r="P20" i="30" s="1"/>
  <c r="D63" i="30"/>
  <c r="L63" i="30"/>
  <c r="T63" i="30"/>
  <c r="H63" i="30"/>
  <c r="E63" i="30"/>
  <c r="M63" i="30"/>
  <c r="A31" i="28"/>
  <c r="A33" i="28"/>
  <c r="A37" i="28"/>
  <c r="A39" i="28"/>
  <c r="A41" i="28"/>
  <c r="A45" i="28"/>
  <c r="A47" i="28"/>
  <c r="A49" i="28"/>
  <c r="G57" i="28"/>
  <c r="O57" i="28"/>
  <c r="G59" i="28"/>
  <c r="O59" i="28"/>
  <c r="G63" i="28"/>
  <c r="O63" i="28"/>
  <c r="L19" i="28"/>
  <c r="L20" i="28" s="1"/>
  <c r="H59" i="28"/>
  <c r="P59" i="28"/>
  <c r="H63" i="28"/>
  <c r="P63" i="28"/>
  <c r="M19" i="28"/>
  <c r="M20" i="28" s="1"/>
  <c r="U19" i="28"/>
  <c r="U20" i="28" s="1"/>
  <c r="I57" i="28"/>
  <c r="Q57" i="28"/>
  <c r="I63" i="28"/>
  <c r="Q63" i="28"/>
  <c r="F19" i="28"/>
  <c r="F20" i="28" s="1"/>
  <c r="V19" i="28"/>
  <c r="V20" i="28" s="1"/>
  <c r="B63" i="28"/>
  <c r="J63" i="28"/>
  <c r="R63" i="28"/>
  <c r="A32" i="28"/>
  <c r="A34" i="28"/>
  <c r="A40" i="28"/>
  <c r="A42" i="28"/>
  <c r="A48" i="28"/>
  <c r="A50" i="28"/>
  <c r="C63" i="28"/>
  <c r="K63" i="28"/>
  <c r="S63" i="28"/>
  <c r="D63" i="28"/>
  <c r="L63" i="28"/>
  <c r="T63" i="28"/>
  <c r="E63" i="28"/>
  <c r="M63" i="28"/>
  <c r="R19" i="27"/>
  <c r="R20"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E21" i="27"/>
  <c r="E23" i="27" s="1"/>
  <c r="E24" i="27" s="1"/>
  <c r="M21" i="27"/>
  <c r="M23" i="27" s="1"/>
  <c r="M24" i="27" s="1"/>
  <c r="U21" i="27"/>
  <c r="U23" i="27" s="1"/>
  <c r="U24" i="27" s="1"/>
  <c r="I57" i="27"/>
  <c r="Q57" i="27"/>
  <c r="I63" i="27"/>
  <c r="Q63"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Q19" i="27"/>
  <c r="Q20" i="27" s="1"/>
  <c r="E63" i="27"/>
  <c r="M63" i="27"/>
  <c r="O23" i="26"/>
  <c r="O24" i="26" s="1"/>
  <c r="J23" i="26"/>
  <c r="J24" i="26" s="1"/>
  <c r="C19" i="26"/>
  <c r="C20" i="26" s="1"/>
  <c r="K23" i="26"/>
  <c r="K24" i="26" s="1"/>
  <c r="A31" i="26"/>
  <c r="A33" i="26"/>
  <c r="A37" i="26"/>
  <c r="A39" i="26"/>
  <c r="A41" i="26"/>
  <c r="A45" i="26"/>
  <c r="A47" i="26"/>
  <c r="A49" i="26"/>
  <c r="G57" i="26"/>
  <c r="O57" i="26"/>
  <c r="G59" i="26"/>
  <c r="O59" i="26"/>
  <c r="G63" i="26"/>
  <c r="O63" i="26"/>
  <c r="H63" i="26"/>
  <c r="P63" i="26"/>
  <c r="M19" i="26"/>
  <c r="M20" i="26" s="1"/>
  <c r="M23" i="26"/>
  <c r="M24" i="26" s="1"/>
  <c r="I57" i="26"/>
  <c r="Q57" i="26"/>
  <c r="I59" i="26"/>
  <c r="Q59" i="26"/>
  <c r="I63" i="26"/>
  <c r="Q63" i="26"/>
  <c r="B63" i="26"/>
  <c r="J63" i="26"/>
  <c r="R63" i="26"/>
  <c r="A32" i="26"/>
  <c r="A34" i="26"/>
  <c r="A40" i="26"/>
  <c r="A42" i="26"/>
  <c r="A48" i="26"/>
  <c r="A50" i="26"/>
  <c r="C63" i="26"/>
  <c r="K63" i="26"/>
  <c r="S63" i="26"/>
  <c r="H19" i="26"/>
  <c r="H20" i="26" s="1"/>
  <c r="P19" i="26"/>
  <c r="P20" i="26" s="1"/>
  <c r="D63" i="26"/>
  <c r="L63" i="26"/>
  <c r="K19" i="24"/>
  <c r="K20" i="24" s="1"/>
  <c r="K23" i="24"/>
  <c r="K24" i="24" s="1"/>
  <c r="A31" i="24"/>
  <c r="A33" i="24"/>
  <c r="A37" i="24"/>
  <c r="A39" i="24"/>
  <c r="A41" i="24"/>
  <c r="A45" i="24"/>
  <c r="A47" i="24"/>
  <c r="A49" i="24"/>
  <c r="G57" i="24"/>
  <c r="O57" i="24"/>
  <c r="G59" i="24"/>
  <c r="O59" i="24"/>
  <c r="G63" i="24"/>
  <c r="O63" i="24"/>
  <c r="H59" i="24"/>
  <c r="P59" i="24"/>
  <c r="H63" i="24"/>
  <c r="P63" i="24"/>
  <c r="E23" i="24"/>
  <c r="E24" i="24" s="1"/>
  <c r="I57" i="24"/>
  <c r="Q57" i="24"/>
  <c r="I63" i="24"/>
  <c r="Q63" i="24"/>
  <c r="B63" i="24"/>
  <c r="J63" i="24"/>
  <c r="R63" i="24"/>
  <c r="O19" i="24"/>
  <c r="O20" i="24" s="1"/>
  <c r="A32" i="24"/>
  <c r="A34" i="24"/>
  <c r="A40" i="24"/>
  <c r="A42" i="24"/>
  <c r="A48" i="24"/>
  <c r="A50" i="24"/>
  <c r="C63" i="24"/>
  <c r="K63" i="24"/>
  <c r="S63" i="24"/>
  <c r="D63" i="24"/>
  <c r="L63" i="24"/>
  <c r="T63" i="24"/>
  <c r="E63" i="24"/>
  <c r="M63" i="24"/>
  <c r="L23" i="21"/>
  <c r="L24" i="21" s="1"/>
  <c r="A33" i="21"/>
  <c r="A37" i="21"/>
  <c r="A41" i="21"/>
  <c r="A45" i="21"/>
  <c r="A49" i="21"/>
  <c r="E58" i="21"/>
  <c r="E61" i="21" s="1"/>
  <c r="M58" i="21"/>
  <c r="M61" i="21" s="1"/>
  <c r="U58" i="21"/>
  <c r="U61" i="21" s="1"/>
  <c r="U64" i="21" s="1"/>
  <c r="S19" i="21"/>
  <c r="S20" i="21" s="1"/>
  <c r="G23" i="21"/>
  <c r="G24" i="21" s="1"/>
  <c r="M23" i="21"/>
  <c r="M24" i="21" s="1"/>
  <c r="C57" i="21"/>
  <c r="K57" i="21"/>
  <c r="S57" i="21"/>
  <c r="G19" i="21"/>
  <c r="G20" i="21" s="1"/>
  <c r="R23" i="21"/>
  <c r="R24" i="21" s="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Q64" i="24" l="1"/>
  <c r="T64" i="24"/>
  <c r="T65" i="24" s="1"/>
  <c r="L65" i="24"/>
  <c r="D64" i="24"/>
  <c r="D66" i="24" s="1"/>
  <c r="Q65" i="24"/>
  <c r="B65" i="24"/>
  <c r="L65" i="26"/>
  <c r="H65" i="26"/>
  <c r="J65" i="30"/>
  <c r="R65" i="30"/>
  <c r="T65" i="30"/>
  <c r="T65" i="28"/>
  <c r="J65" i="28"/>
  <c r="Q65" i="28"/>
  <c r="I65" i="28"/>
  <c r="L65" i="28"/>
  <c r="R65" i="27"/>
  <c r="D65" i="27"/>
  <c r="J65" i="27"/>
  <c r="D65" i="21"/>
  <c r="L65" i="21"/>
  <c r="Q65" i="21"/>
  <c r="C23" i="21"/>
  <c r="C24" i="21" s="1"/>
  <c r="H64" i="30"/>
  <c r="H65" i="30" s="1"/>
  <c r="F64" i="26"/>
  <c r="F66" i="26" s="1"/>
  <c r="D64" i="30"/>
  <c r="D65" i="30" s="1"/>
  <c r="U64" i="30"/>
  <c r="U65" i="30" s="1"/>
  <c r="T64" i="27"/>
  <c r="T65" i="27" s="1"/>
  <c r="T64" i="21"/>
  <c r="T65" i="21" s="1"/>
  <c r="S64" i="26"/>
  <c r="S65" i="26" s="1"/>
  <c r="R64" i="28"/>
  <c r="R65" i="28" s="1"/>
  <c r="R64" i="21"/>
  <c r="R65" i="21" s="1"/>
  <c r="Q64" i="27"/>
  <c r="Q65" i="27" s="1"/>
  <c r="Q64" i="26"/>
  <c r="Q65" i="26" s="1"/>
  <c r="O64" i="21"/>
  <c r="O65" i="21" s="1"/>
  <c r="K64" i="27"/>
  <c r="K65" i="27" s="1"/>
  <c r="I64" i="27"/>
  <c r="I65" i="27" s="1"/>
  <c r="I64" i="26"/>
  <c r="I65" i="26" s="1"/>
  <c r="I64" i="30"/>
  <c r="I65" i="30" s="1"/>
  <c r="G64" i="30"/>
  <c r="G65" i="30" s="1"/>
  <c r="E64" i="27"/>
  <c r="E65" i="27" s="1"/>
  <c r="E64" i="30"/>
  <c r="E65" i="30" s="1"/>
  <c r="D64" i="28"/>
  <c r="D65" i="28" s="1"/>
  <c r="C64" i="21"/>
  <c r="C65" i="21" s="1"/>
  <c r="C64" i="27"/>
  <c r="C65" i="27" s="1"/>
  <c r="C64" i="30"/>
  <c r="C65" i="30" s="1"/>
  <c r="C64" i="26"/>
  <c r="C65" i="26" s="1"/>
  <c r="M64" i="26"/>
  <c r="M66" i="26" s="1"/>
  <c r="U66" i="26"/>
  <c r="U65" i="26"/>
  <c r="U66" i="21"/>
  <c r="U65" i="21"/>
  <c r="N66" i="21"/>
  <c r="N65" i="2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S64" i="30"/>
  <c r="F64" i="30"/>
  <c r="R64" i="26"/>
  <c r="R65" i="26" s="1"/>
  <c r="E64" i="24"/>
  <c r="H64" i="21"/>
  <c r="H65" i="21" s="1"/>
  <c r="H64" i="28"/>
  <c r="G64" i="28"/>
  <c r="P64" i="26"/>
  <c r="P65" i="26" s="1"/>
  <c r="E64" i="28"/>
  <c r="J64" i="26"/>
  <c r="J65" i="26" s="1"/>
  <c r="M64" i="27"/>
  <c r="H64" i="27"/>
  <c r="G64" i="24"/>
  <c r="H64" i="24"/>
  <c r="K64" i="24"/>
  <c r="K65" i="24" s="1"/>
  <c r="P64" i="24"/>
  <c r="P65" i="24" s="1"/>
  <c r="M64" i="30"/>
  <c r="K64" i="26"/>
  <c r="C64" i="28"/>
  <c r="C64" i="24"/>
  <c r="L64" i="27"/>
  <c r="R64" i="24"/>
  <c r="M64" i="21"/>
  <c r="M65" i="21" s="1"/>
  <c r="P64" i="28"/>
  <c r="I64" i="21"/>
  <c r="U64" i="28"/>
  <c r="U64" i="24"/>
  <c r="U64" i="27"/>
  <c r="S66" i="27"/>
  <c r="D66" i="30"/>
  <c r="Q66" i="30"/>
  <c r="B64" i="28"/>
  <c r="B64" i="27"/>
  <c r="B64" i="26"/>
  <c r="B64" i="21"/>
  <c r="O64" i="27"/>
  <c r="O64" i="28"/>
  <c r="N64" i="27"/>
  <c r="N64" i="30"/>
  <c r="L66" i="30"/>
  <c r="J66" i="28"/>
  <c r="G64" i="26"/>
  <c r="O64" i="26"/>
  <c r="T66" i="24"/>
  <c r="P64" i="30"/>
  <c r="Q66" i="21"/>
  <c r="P66" i="21"/>
  <c r="Q66" i="24"/>
  <c r="R66" i="27"/>
  <c r="C66" i="27"/>
  <c r="J66" i="27"/>
  <c r="G64" i="27"/>
  <c r="J66" i="30"/>
  <c r="F64" i="27"/>
  <c r="E66" i="30"/>
  <c r="L66" i="21"/>
  <c r="L66" i="28"/>
  <c r="L66" i="26"/>
  <c r="T66" i="30"/>
  <c r="N64" i="26"/>
  <c r="S64" i="1"/>
  <c r="S65" i="1" s="1"/>
  <c r="R66" i="26"/>
  <c r="D66" i="27"/>
  <c r="R66" i="30"/>
  <c r="R64" i="1"/>
  <c r="R65" i="1" s="1"/>
  <c r="Q64" i="1"/>
  <c r="Q65" i="1" s="1"/>
  <c r="U64" i="1"/>
  <c r="P64" i="1"/>
  <c r="J66" i="24"/>
  <c r="O64" i="30"/>
  <c r="N64" i="24"/>
  <c r="B66" i="30"/>
  <c r="B66" i="24"/>
  <c r="K66" i="30"/>
  <c r="C66" i="30"/>
  <c r="T66" i="28"/>
  <c r="D66" i="28"/>
  <c r="Q66" i="28"/>
  <c r="I66" i="28"/>
  <c r="K66" i="28"/>
  <c r="I66" i="27"/>
  <c r="I66" i="26"/>
  <c r="H66" i="26"/>
  <c r="L66" i="24"/>
  <c r="K66" i="21"/>
  <c r="D66" i="21"/>
  <c r="N64" i="1"/>
  <c r="N65" i="1" s="1"/>
  <c r="M64" i="1"/>
  <c r="M65" i="1" s="1"/>
  <c r="T64" i="1"/>
  <c r="L64" i="1"/>
  <c r="J64" i="1"/>
  <c r="K64" i="1"/>
  <c r="O64" i="1"/>
  <c r="O65" i="1" s="1"/>
  <c r="C64" i="1"/>
  <c r="I64" i="1"/>
  <c r="H64" i="1"/>
  <c r="G64" i="1"/>
  <c r="G65" i="1" s="1"/>
  <c r="F64" i="1"/>
  <c r="F65" i="1" s="1"/>
  <c r="E64" i="1"/>
  <c r="E65" i="1" s="1"/>
  <c r="D64" i="1"/>
  <c r="D65" i="1" s="1"/>
  <c r="B64" i="1"/>
  <c r="D63" i="1"/>
  <c r="L63" i="1"/>
  <c r="F63" i="1"/>
  <c r="R63" i="1"/>
  <c r="J63" i="1"/>
  <c r="Q63" i="1"/>
  <c r="I63" i="1"/>
  <c r="C63" i="1"/>
  <c r="K63" i="1"/>
  <c r="P63" i="1"/>
  <c r="H63" i="1"/>
  <c r="T63" i="1"/>
  <c r="S63" i="1"/>
  <c r="O63" i="1"/>
  <c r="G63" i="1"/>
  <c r="N63" i="1"/>
  <c r="E63" i="1"/>
  <c r="B63" i="1"/>
  <c r="U63" i="1"/>
  <c r="M63" i="1"/>
  <c r="D65" i="24" l="1"/>
  <c r="K66" i="24"/>
  <c r="H65" i="1"/>
  <c r="C65" i="1"/>
  <c r="J65" i="1"/>
  <c r="P65" i="1"/>
  <c r="T65" i="1"/>
  <c r="I65" i="1"/>
  <c r="K65" i="1"/>
  <c r="L65" i="1"/>
  <c r="U65" i="1"/>
  <c r="B65" i="1"/>
  <c r="U66" i="30"/>
  <c r="S66" i="26"/>
  <c r="P66" i="24"/>
  <c r="K66" i="27"/>
  <c r="I66" i="24"/>
  <c r="H66" i="30"/>
  <c r="G66" i="30"/>
  <c r="F65" i="26"/>
  <c r="D66" i="26"/>
  <c r="C66" i="26"/>
  <c r="T66" i="21"/>
  <c r="T66" i="27"/>
  <c r="R66" i="21"/>
  <c r="R66" i="28"/>
  <c r="Q66" i="26"/>
  <c r="Q66" i="27"/>
  <c r="P66" i="26"/>
  <c r="O66" i="21"/>
  <c r="I66" i="30"/>
  <c r="E66" i="27"/>
  <c r="C66" i="21"/>
  <c r="M66" i="24"/>
  <c r="M65" i="26"/>
  <c r="U66" i="27"/>
  <c r="U65" i="27"/>
  <c r="U66" i="28"/>
  <c r="U65" i="28"/>
  <c r="U66" i="24"/>
  <c r="U65" i="24"/>
  <c r="T66" i="26"/>
  <c r="T65" i="26"/>
  <c r="T66" i="1"/>
  <c r="S66" i="30"/>
  <c r="S65" i="30"/>
  <c r="S66" i="24"/>
  <c r="S66" i="28"/>
  <c r="S66" i="21"/>
  <c r="S65" i="21"/>
  <c r="R66" i="24"/>
  <c r="R65" i="24"/>
  <c r="Q66" i="1"/>
  <c r="P66" i="28"/>
  <c r="P65" i="28"/>
  <c r="P66" i="27"/>
  <c r="P66" i="30"/>
  <c r="P65" i="30"/>
  <c r="O66" i="28"/>
  <c r="O65" i="28"/>
  <c r="O66" i="27"/>
  <c r="O65" i="27"/>
  <c r="O66" i="26"/>
  <c r="O65" i="26"/>
  <c r="O66" i="24"/>
  <c r="O65" i="24"/>
  <c r="O66" i="30"/>
  <c r="O65" i="30"/>
  <c r="N66" i="30"/>
  <c r="N65" i="30"/>
  <c r="N66" i="27"/>
  <c r="N65" i="27"/>
  <c r="N66" i="26"/>
  <c r="N65" i="26"/>
  <c r="N66" i="28"/>
  <c r="N65" i="28"/>
  <c r="N66" i="24"/>
  <c r="N65" i="24"/>
  <c r="M66" i="30"/>
  <c r="M65" i="30"/>
  <c r="M66" i="21"/>
  <c r="M66" i="27"/>
  <c r="M65" i="27"/>
  <c r="M66" i="28"/>
  <c r="L66" i="27"/>
  <c r="L65" i="27"/>
  <c r="K66" i="26"/>
  <c r="K65" i="26"/>
  <c r="J66" i="21"/>
  <c r="J65" i="21"/>
  <c r="J66" i="26"/>
  <c r="I66" i="21"/>
  <c r="I65" i="21"/>
  <c r="H66" i="24"/>
  <c r="H65" i="24"/>
  <c r="H66" i="28"/>
  <c r="H65" i="28"/>
  <c r="H66" i="27"/>
  <c r="H65" i="27"/>
  <c r="H66" i="21"/>
  <c r="G66" i="21"/>
  <c r="G65" i="21"/>
  <c r="G66" i="26"/>
  <c r="G65" i="26"/>
  <c r="G66" i="28"/>
  <c r="G65" i="28"/>
  <c r="G66" i="24"/>
  <c r="G65" i="24"/>
  <c r="G66" i="27"/>
  <c r="G65" i="27"/>
  <c r="F66" i="30"/>
  <c r="F65" i="30"/>
  <c r="F66" i="28"/>
  <c r="F65" i="28"/>
  <c r="F66" i="24"/>
  <c r="F65" i="24"/>
  <c r="F66" i="21"/>
  <c r="F65" i="21"/>
  <c r="F66" i="27"/>
  <c r="F65" i="27"/>
  <c r="E66" i="24"/>
  <c r="E65" i="24"/>
  <c r="E66" i="28"/>
  <c r="E65" i="28"/>
  <c r="E66" i="26"/>
  <c r="E65" i="26"/>
  <c r="E66" i="21"/>
  <c r="E65" i="21"/>
  <c r="C66" i="24"/>
  <c r="C65" i="24"/>
  <c r="C66" i="28"/>
  <c r="C65" i="28"/>
  <c r="B66" i="21"/>
  <c r="B65" i="21"/>
  <c r="B66" i="26"/>
  <c r="B65" i="26"/>
  <c r="B66" i="27"/>
  <c r="B65" i="27"/>
  <c r="B66" i="28"/>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<sst xmlns="http://schemas.openxmlformats.org/spreadsheetml/2006/main" count="1615" uniqueCount="175">
  <si>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</si>
  <si>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</si>
  <si>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</si>
  <si>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</si>
  <si>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</si>
  <si>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</si>
  <si>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</si>
  <si>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</si>
  <si>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</si>
  <si>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</si>
  <si>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</si>
  <si>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</si>
  <si>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</si>
  <si>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</si>
  <si>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</si>
  <si>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</si>
  <si>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</si>
  <si>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</si>
  <si>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</si>
  <si>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</si>
  <si>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</si>
  <si>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</si>
  <si>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</si>
  <si>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</si>
  <si>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</si>
  <si>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</si>
  <si>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</si>
  <si>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</si>
  <si>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</si>
  <si>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</si>
  <si>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</si>
  <si>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</si>
  <si>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</si>
  <si>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</si>
  <si>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</si>
  <si>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</si>
  <si>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</si>
  <si>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</si>
  <si>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</si>
  <si>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</si>
  <si>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</si>
  <si>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</si>
  <si>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</si>
  <si>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</si>
  <si>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</si>
  <si>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</si>
  <si>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</si>
  <si>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</si>
  <si>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</si>
  <si>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</si>
  <si>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</si>
  <si>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</si>
  <si>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</si>
  <si>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</si>
  <si>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</si>
  <si>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</si>
  <si>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</si>
  <si>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</si>
  <si>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</si>
  <si>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</si>
  <si>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</si>
  <si>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</si>
  <si>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</si>
  <si>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</si>
  <si>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</si>
  <si>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</si>
  <si>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</si>
  <si>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</si>
  <si>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</si>
  <si>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</si>
  <si>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</si>
  <si>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</si>
  <si>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</si>
  <si>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</si>
  <si>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</si>
  <si>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</si>
  <si>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</si>
  <si>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</si>
  <si>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</si>
  <si>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</si>
  <si>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</si>
  <si>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</si>
  <si>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</si>
  <si>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</si>
  <si>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</si>
  <si>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</si>
  <si>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</si>
  <si>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</si>
  <si>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</si>
  <si>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</si>
  <si>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</si>
  <si>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</si>
  <si>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</si>
  <si>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</si>
  <si>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</si>
  <si>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</si>
  <si>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</si>
  <si>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</si>
  <si>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</si>
  <si>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</si>
  <si>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</si>
  <si>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</si>
  <si>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</si>
  <si>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</si>
  <si>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</si>
  <si>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</si>
  <si>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</si>
  <si>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</si>
  <si>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</si>
  <si>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</si>
  <si>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</si>
  <si>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</si>
  <si>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</si>
  <si>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</si>
  <si>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</si>
  <si>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</si>
  <si>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</si>
  <si>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</si>
  <si>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</si>
  <si>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</si>
  <si>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</si>
  <si>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</si>
  <si>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</si>
  <si>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</si>
  <si>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</si>
  <si>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</si>
  <si>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</si>
  <si>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</si>
  <si>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</si>
  <si>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</si>
  <si>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</si>
  <si>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</si>
  <si>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</si>
  <si>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</si>
  <si>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</si>
  <si>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</si>
  <si>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</si>
  <si>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</si>
  <si>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</si>
  <si>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</si>
  <si>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</si>
  <si>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</si>
  <si>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</si>
  <si>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</si>
  <si>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</si>
  <si>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</si>
  <si>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</si>
  <si>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</si>
  <si>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</si>
  <si>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</si>
  <si>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</si>
  <si>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</si>
  <si>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</si>
  <si>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</si>
  <si>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</si>
  <si>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</si>
  <si>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</si>
  <si>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</si>
  <si>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</si>
  <si>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</si>
  <si>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PAN-026782</t>
  </si>
  <si>
    <t xml:space="preserve">Byproduct recovery LTD </t>
  </si>
  <si>
    <t>Megan Tucker</t>
  </si>
  <si>
    <t>M</t>
  </si>
  <si>
    <t>Bryn Cowlyd</t>
  </si>
  <si>
    <t>EPR/GP3792SK</t>
  </si>
  <si>
    <t xml:space="preserve">Farchwel, Talybont, Conwy, LL32 8UY </t>
  </si>
  <si>
    <t>19 09 02</t>
  </si>
  <si>
    <t>DCWW Cefni</t>
  </si>
  <si>
    <t xml:space="preserve">Cwellyn </t>
  </si>
  <si>
    <t>Dolbenmaen</t>
  </si>
  <si>
    <t>7.mg/kg DM</t>
  </si>
  <si>
    <t>Gwastadgoed</t>
  </si>
  <si>
    <t xml:space="preserve">Llyn Conwy </t>
  </si>
  <si>
    <t>Mynydd Llandegai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</si>
</sst>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273">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72" dataDxfId="270" headerRowBorderDxfId="271" tableBorderDxfId="269" totalsRowBorderDxfId="268">
  <autoFilter ref="AI1:AN26" xr:uid="{F8B5EC87-3095-445A-A980-2CFAA0A7B9A2}"/>
  <sortState xmlns:xlrd2="http://schemas.microsoft.com/office/spreadsheetml/2017/richdata2" ref="AI2:AL25">
    <sortCondition ref="AL1:AL25"/>
  </sortState>
  <tableColumns count="6">
    <tableColumn id="1" xr3:uid="{360F44E4-7249-415F-8D5E-41D249F9A162}" name="Crop" dataDxfId="267"/>
    <tableColumn id="2" xr3:uid="{55E07717-B4EC-4E8A-B9A9-34F3CF85E32D}" name="P Offtake" dataDxfId="266"/>
    <tableColumn id="3" xr3:uid="{7B25FA52-8104-4FE3-AED4-B53CBFDF89B2}" name="K Offtake" dataDxfId="265"/>
    <tableColumn id="4" xr3:uid="{0DBAE461-2D09-43C8-9342-3980D552AE4D}" name="Order" dataDxfId="264"/>
    <tableColumn id="5" xr3:uid="{52CACE7B-0CBA-46FC-9F24-02CBD6100239}" name="Lime pH requirement" dataDxfId="263"/>
    <tableColumn id="6" xr3:uid="{F1432630-9B16-4266-8147-CE754A715307}" name="Column1" dataDxfId="26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61" dataDxfId="259" headerRowBorderDxfId="260" tableBorderDxfId="258" totalsRowBorderDxfId="257">
  <autoFilter ref="AI1:AN26" xr:uid="{F8B5EC87-3095-445A-A980-2CFAA0A7B9A2}"/>
  <sortState xmlns:xlrd2="http://schemas.microsoft.com/office/spreadsheetml/2017/richdata2" ref="AI2:AL25">
    <sortCondition ref="AL1:AL25"/>
  </sortState>
  <tableColumns count="6">
    <tableColumn id="1" xr3:uid="{7E96A84B-948F-445F-BD6E-30CC8E6E6DD1}" name="Crop" dataDxfId="256"/>
    <tableColumn id="2" xr3:uid="{12657DDB-F680-47DE-ABB1-8675D5F91E41}" name="P Offtake" dataDxfId="255"/>
    <tableColumn id="3" xr3:uid="{DEB99109-D325-4F98-8A71-E70C03433437}" name="K Offtake" dataDxfId="254"/>
    <tableColumn id="4" xr3:uid="{E96A561F-7E7F-4FB3-97AA-0B35D8C8E93A}" name="Order" dataDxfId="253"/>
    <tableColumn id="5" xr3:uid="{181DD475-0A71-4C52-AF1A-8BFF46F5A827}" name="Lime pH requirement" dataDxfId="252"/>
    <tableColumn id="6" xr3:uid="{AC3FA7E8-D76B-43A3-B715-04446DFF63C6}" name="Column1" dataDxfId="25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50" dataDxfId="248" headerRowBorderDxfId="249" tableBorderDxfId="247" totalsRowBorderDxfId="246">
  <autoFilter ref="AI1:AN26" xr:uid="{F8B5EC87-3095-445A-A980-2CFAA0A7B9A2}"/>
  <sortState xmlns:xlrd2="http://schemas.microsoft.com/office/spreadsheetml/2017/richdata2" ref="AI2:AL25">
    <sortCondition ref="AL1:AL25"/>
  </sortState>
  <tableColumns count="6">
    <tableColumn id="1" xr3:uid="{06008BA1-A1E9-4286-B67A-352533C06A26}" name="Crop" dataDxfId="245"/>
    <tableColumn id="2" xr3:uid="{2AEB5EEB-C9D1-41DC-913E-953A33D1A4AF}" name="P Offtake" dataDxfId="244"/>
    <tableColumn id="3" xr3:uid="{8FA16A0B-1017-4CEE-862E-0A8CBD8EB3D3}" name="K Offtake" dataDxfId="243"/>
    <tableColumn id="4" xr3:uid="{E7A3B8CD-4036-47F4-B818-C3F22E80C749}" name="Order" dataDxfId="242"/>
    <tableColumn id="5" xr3:uid="{8F3EBD84-7904-4559-9B5C-63088B792C98}" name="Lime pH requirement" dataDxfId="241"/>
    <tableColumn id="6" xr3:uid="{A21DD95A-C955-4510-9114-E3F1CB645370}" name="Column1" dataDxfId="24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39" dataDxfId="237" headerRowBorderDxfId="238" tableBorderDxfId="236" totalsRowBorderDxfId="235">
  <autoFilter ref="AI1:AN26" xr:uid="{F8B5EC87-3095-445A-A980-2CFAA0A7B9A2}"/>
  <sortState xmlns:xlrd2="http://schemas.microsoft.com/office/spreadsheetml/2017/richdata2" ref="AI2:AL25">
    <sortCondition ref="AL1:AL25"/>
  </sortState>
  <tableColumns count="6">
    <tableColumn id="1" xr3:uid="{11579FCC-3D9F-49AD-888D-5D79B801F6AE}" name="Crop" dataDxfId="234"/>
    <tableColumn id="2" xr3:uid="{05C08116-56D5-4CC6-A649-B06AF891B931}" name="P Offtake" dataDxfId="233"/>
    <tableColumn id="3" xr3:uid="{59CDE959-192B-4757-9203-A0F691CF0F96}" name="K Offtake" dataDxfId="232"/>
    <tableColumn id="4" xr3:uid="{9FB8E4F7-B91F-4CE0-AF39-D4895D0ECF2F}" name="Order" dataDxfId="231"/>
    <tableColumn id="5" xr3:uid="{688FF2A4-D7C6-4425-A915-A9ADD700A9EE}" name="Lime pH requirement" dataDxfId="230"/>
    <tableColumn id="6" xr3:uid="{05FC5CFF-3D81-4B5F-87C7-2364076F2714}" name="Column1" dataDxfId="22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8" dataDxfId="226" headerRowBorderDxfId="227" tableBorderDxfId="225" totalsRowBorderDxfId="224">
  <autoFilter ref="AI1:AN26" xr:uid="{F8B5EC87-3095-445A-A980-2CFAA0A7B9A2}"/>
  <sortState xmlns:xlrd2="http://schemas.microsoft.com/office/spreadsheetml/2017/richdata2" ref="AI2:AL25">
    <sortCondition ref="AL1:AL25"/>
  </sortState>
  <tableColumns count="6">
    <tableColumn id="1" xr3:uid="{973D7FFB-D248-4199-9B2E-B3C6CC09D382}" name="Crop" dataDxfId="223"/>
    <tableColumn id="2" xr3:uid="{7F2A3986-EC86-4CF9-BD10-791170BA6682}" name="P Offtake" dataDxfId="222"/>
    <tableColumn id="3" xr3:uid="{D6129C35-9DC6-42E5-AE3F-EA3A083168E6}" name="K Offtake" dataDxfId="221"/>
    <tableColumn id="4" xr3:uid="{C1CC42B5-564A-4DE7-B817-B7D686FE9A11}" name="Order" dataDxfId="220"/>
    <tableColumn id="5" xr3:uid="{620F3ABD-564C-411A-8DEA-CE1A34F9FC36}" name="Lime pH requirement" dataDxfId="219"/>
    <tableColumn id="6" xr3:uid="{76C9BC4F-4FF3-4AFB-8E7B-16DC0CC3E97C}" name="Column1" dataDxfId="21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217" dataDxfId="215" headerRowBorderDxfId="216" tableBorderDxfId="214" totalsRowBorderDxfId="213">
  <autoFilter ref="AI1:AN26" xr:uid="{F8B5EC87-3095-445A-A980-2CFAA0A7B9A2}"/>
  <sortState xmlns:xlrd2="http://schemas.microsoft.com/office/spreadsheetml/2017/richdata2" ref="AI2:AL25">
    <sortCondition ref="AL1:AL25"/>
  </sortState>
  <tableColumns count="6">
    <tableColumn id="1" xr3:uid="{D13A12FC-EAE6-4280-A219-C2622262E5F4}" name="Crop" dataDxfId="212"/>
    <tableColumn id="2" xr3:uid="{FD06C4A3-4B75-490D-88CF-232C7DC3EFC6}" name="P Offtake" dataDxfId="211"/>
    <tableColumn id="3" xr3:uid="{B043BEFF-10D4-4840-989B-BB13A502ECDF}" name="K Offtake" dataDxfId="210"/>
    <tableColumn id="4" xr3:uid="{48481FDC-5D20-466C-B554-D45886EA366A}" name="Order" dataDxfId="209"/>
    <tableColumn id="5" xr3:uid="{9E0852D2-9D0D-44AB-98B7-FBA51F331ACF}" name="Lime pH requirement" dataDxfId="208"/>
    <tableColumn id="6" xr3:uid="{29F9C4A5-6854-4F37-8BD1-0DD9B6024A55}" name="Column1" dataDxfId="20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206" dataDxfId="204" headerRowBorderDxfId="205" tableBorderDxfId="203" totalsRowBorderDxfId="202">
  <autoFilter ref="AI1:AN26" xr:uid="{F8B5EC87-3095-445A-A980-2CFAA0A7B9A2}"/>
  <sortState xmlns:xlrd2="http://schemas.microsoft.com/office/spreadsheetml/2017/richdata2" ref="AI2:AL25">
    <sortCondition ref="AL1:AL25"/>
  </sortState>
  <tableColumns count="6">
    <tableColumn id="1" xr3:uid="{1B554ED3-7AAF-4192-827C-B071945474B8}" name="Crop" dataDxfId="201"/>
    <tableColumn id="2" xr3:uid="{35F435E0-8D8E-44D1-84BD-C2FF51C3F944}" name="P Offtake" dataDxfId="200"/>
    <tableColumn id="3" xr3:uid="{38465C9D-AA8F-443A-80F5-96D1F6258317}" name="K Offtake" dataDxfId="199"/>
    <tableColumn id="4" xr3:uid="{E0C0E6AF-5628-4BC3-9625-81A87B93D279}" name="Order" dataDxfId="198"/>
    <tableColumn id="5" xr3:uid="{ACDE1D9A-7F94-4404-BDDC-1235C32C758F}" name="Lime pH requirement" dataDxfId="197"/>
    <tableColumn id="6" xr3:uid="{B093C9DF-C4CF-4906-9658-89F446EB9C12}" name="Column1" dataDxfId="19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H15" sqref="H1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06" t="s">
        <v>41</v>
      </c>
      <c r="B1" s="106"/>
      <c r="C1" s="122" t="s">
        <v>160</v>
      </c>
      <c r="D1" s="123"/>
      <c r="E1" s="83" t="s">
        <v>45</v>
      </c>
      <c r="F1" s="86">
        <v>49.3</v>
      </c>
      <c r="G1" s="107" t="s">
        <v>43</v>
      </c>
      <c r="H1" s="108"/>
      <c r="I1" s="86">
        <v>5.9</v>
      </c>
      <c r="J1" s="106" t="s">
        <v>153</v>
      </c>
      <c r="K1" s="106"/>
      <c r="L1" s="86">
        <v>93.9</v>
      </c>
      <c r="AB1" s="14"/>
      <c r="AC1" s="14"/>
      <c r="AD1" s="23" t="s">
        <v>126</v>
      </c>
      <c r="AE1" s="14"/>
      <c r="AF1" s="14"/>
      <c r="AG1" s="14"/>
      <c r="AH1" s="14"/>
      <c r="AI1" s="33" t="s">
        <v>79</v>
      </c>
      <c r="AJ1" s="34" t="s">
        <v>94</v>
      </c>
      <c r="AK1" s="35" t="s">
        <v>95</v>
      </c>
      <c r="AL1" s="36" t="s">
        <v>125</v>
      </c>
      <c r="AM1" s="36" t="s">
        <v>131</v>
      </c>
      <c r="AN1" s="36" t="s">
        <v>111</v>
      </c>
    </row>
    <row r="2" spans="1:40" ht="13" x14ac:dyDescent="0.3">
      <c r="A2" s="106" t="s">
        <v>87</v>
      </c>
      <c r="B2" s="106"/>
      <c r="C2" s="120" t="s">
        <v>165</v>
      </c>
      <c r="D2" s="121"/>
      <c r="E2" s="83" t="s">
        <v>109</v>
      </c>
      <c r="F2" s="86" t="s">
        <v>167</v>
      </c>
      <c r="G2" s="125" t="s">
        <v>110</v>
      </c>
      <c r="H2" s="126"/>
      <c r="I2" s="86"/>
      <c r="J2" s="106" t="s">
        <v>158</v>
      </c>
      <c r="K2" s="106"/>
      <c r="L2" s="86">
        <v>0.77800000000000002</v>
      </c>
      <c r="AB2" s="23" t="s">
        <v>56</v>
      </c>
      <c r="AC2" s="14"/>
      <c r="AD2" s="23" t="s">
        <v>70</v>
      </c>
      <c r="AE2" s="14"/>
      <c r="AF2" s="14"/>
      <c r="AG2" s="37" t="s">
        <v>76</v>
      </c>
      <c r="AH2" s="14"/>
      <c r="AI2" s="38" t="s">
        <v>126</v>
      </c>
      <c r="AJ2" s="39">
        <v>0</v>
      </c>
      <c r="AK2" s="40">
        <v>0</v>
      </c>
      <c r="AL2" s="7">
        <v>0</v>
      </c>
      <c r="AM2" s="9">
        <v>0</v>
      </c>
      <c r="AN2" s="9">
        <v>0</v>
      </c>
    </row>
    <row r="3" spans="1:40" ht="13" x14ac:dyDescent="0.25">
      <c r="A3" s="107" t="s">
        <v>42</v>
      </c>
      <c r="B3" s="108"/>
      <c r="C3" s="120" t="s">
        <v>161</v>
      </c>
      <c r="D3" s="121"/>
      <c r="E3" s="83" t="s">
        <v>108</v>
      </c>
      <c r="F3" s="24" t="s">
        <v>78</v>
      </c>
      <c r="G3" s="106" t="s">
        <v>159</v>
      </c>
      <c r="H3" s="106"/>
      <c r="I3" s="86"/>
      <c r="J3" s="107" t="s">
        <v>154</v>
      </c>
      <c r="K3" s="108"/>
      <c r="L3" s="86">
        <f>(L1/(L2*10000))*100</f>
        <v>1.2069408740359899</v>
      </c>
      <c r="AB3" s="23" t="s">
        <v>57</v>
      </c>
      <c r="AC3" s="14"/>
      <c r="AD3" s="23" t="s">
        <v>71</v>
      </c>
      <c r="AE3" s="14"/>
      <c r="AF3" s="14"/>
      <c r="AG3" s="37" t="s">
        <v>77</v>
      </c>
      <c r="AH3" s="14"/>
      <c r="AI3" s="41" t="s">
        <v>113</v>
      </c>
      <c r="AJ3" s="42">
        <v>1.7</v>
      </c>
      <c r="AK3" s="43">
        <v>6</v>
      </c>
      <c r="AL3" s="44">
        <v>1</v>
      </c>
      <c r="AM3" s="9">
        <v>6.2</v>
      </c>
      <c r="AN3" s="9" t="s">
        <v>112</v>
      </c>
    </row>
    <row r="4" spans="1:40" ht="13" x14ac:dyDescent="0.25">
      <c r="A4" s="106" t="s">
        <v>0</v>
      </c>
      <c r="B4" s="106"/>
      <c r="C4" s="122" t="s">
        <v>166</v>
      </c>
      <c r="D4" s="123"/>
      <c r="E4" s="84" t="s">
        <v>1</v>
      </c>
      <c r="F4" s="85" t="s">
        <v>164</v>
      </c>
      <c r="G4" s="106"/>
      <c r="H4" s="106"/>
      <c r="I4" s="86"/>
      <c r="J4" s="107"/>
      <c r="K4" s="108"/>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06" t="s">
        <v>47</v>
      </c>
      <c r="B5" s="106"/>
      <c r="C5" s="124" t="s">
        <v>162</v>
      </c>
      <c r="D5" s="124"/>
      <c r="E5" s="84"/>
      <c r="F5" s="85"/>
      <c r="G5" s="106"/>
      <c r="H5" s="106"/>
      <c r="I5" s="86"/>
      <c r="J5" s="107"/>
      <c r="K5" s="108"/>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06" t="s">
        <v>2</v>
      </c>
      <c r="B8" s="106"/>
      <c r="C8" s="12">
        <v>1</v>
      </c>
      <c r="D8" s="12">
        <v>2</v>
      </c>
      <c r="E8" s="12">
        <v>3</v>
      </c>
      <c r="F8" s="12">
        <v>4</v>
      </c>
      <c r="G8" s="12">
        <v>5</v>
      </c>
      <c r="H8" s="12">
        <v>6</v>
      </c>
      <c r="I8" s="12">
        <v>7</v>
      </c>
      <c r="J8" s="12">
        <v>8</v>
      </c>
      <c r="K8" s="12">
        <v>9</v>
      </c>
      <c r="L8" s="12">
        <v>10</v>
      </c>
      <c r="M8" s="12">
        <v>11</v>
      </c>
      <c r="N8" s="12">
        <v>12</v>
      </c>
      <c r="O8" s="12">
        <v>13</v>
      </c>
      <c r="P8" s="12">
        <v>15</v>
      </c>
      <c r="Q8" s="12">
        <v>16</v>
      </c>
      <c r="R8" s="12">
        <v>21</v>
      </c>
      <c r="S8" s="12">
        <v>22</v>
      </c>
      <c r="T8" s="12">
        <v>23</v>
      </c>
      <c r="U8" s="12">
        <v>7078</v>
      </c>
      <c r="V8" s="12">
        <v>7058</v>
      </c>
      <c r="AB8" s="53"/>
      <c r="AC8" s="53"/>
      <c r="AD8" s="14"/>
      <c r="AE8" s="14" t="s">
        <v>139</v>
      </c>
      <c r="AF8" s="14"/>
      <c r="AG8" s="14"/>
      <c r="AH8" s="14"/>
      <c r="AI8" s="46" t="s">
        <v>105</v>
      </c>
      <c r="AJ8" s="54">
        <v>1.4</v>
      </c>
      <c r="AK8" s="48">
        <v>4.4000000000000004</v>
      </c>
      <c r="AL8" s="9">
        <v>6</v>
      </c>
      <c r="AM8" s="9">
        <v>6.7</v>
      </c>
      <c r="AN8" s="9" t="s">
        <v>135</v>
      </c>
    </row>
    <row r="9" spans="1:40" ht="13" x14ac:dyDescent="0.25">
      <c r="A9" s="106" t="s">
        <v>3</v>
      </c>
      <c r="B9" s="106"/>
      <c r="C9" s="12" t="s">
        <v>163</v>
      </c>
      <c r="D9" s="12" t="s">
        <v>163</v>
      </c>
      <c r="E9" s="12" t="s">
        <v>163</v>
      </c>
      <c r="F9" s="12" t="s">
        <v>163</v>
      </c>
      <c r="G9" s="12" t="s">
        <v>163</v>
      </c>
      <c r="H9" s="12" t="s">
        <v>163</v>
      </c>
      <c r="I9" s="12" t="s">
        <v>163</v>
      </c>
      <c r="J9" s="12" t="s">
        <v>163</v>
      </c>
      <c r="K9" s="12" t="s">
        <v>163</v>
      </c>
      <c r="L9" s="12" t="s">
        <v>163</v>
      </c>
      <c r="M9" s="12" t="s">
        <v>163</v>
      </c>
      <c r="N9" s="12" t="s">
        <v>163</v>
      </c>
      <c r="O9" s="12" t="s">
        <v>163</v>
      </c>
      <c r="P9" s="12" t="s">
        <v>163</v>
      </c>
      <c r="Q9" s="12" t="s">
        <v>163</v>
      </c>
      <c r="R9" s="12" t="s">
        <v>163</v>
      </c>
      <c r="S9" s="12" t="s">
        <v>163</v>
      </c>
      <c r="T9" s="12" t="s">
        <v>163</v>
      </c>
      <c r="U9" s="12" t="s">
        <v>163</v>
      </c>
      <c r="V9" s="12" t="s">
        <v>163</v>
      </c>
      <c r="AB9" s="14"/>
      <c r="AC9" s="14"/>
      <c r="AD9" s="23" t="s">
        <v>137</v>
      </c>
      <c r="AE9" s="23">
        <v>4.5</v>
      </c>
      <c r="AF9" s="14"/>
      <c r="AG9" s="14"/>
      <c r="AH9" s="14"/>
      <c r="AI9" s="55" t="s">
        <v>103</v>
      </c>
      <c r="AJ9" s="56">
        <v>0.7</v>
      </c>
      <c r="AK9" s="57">
        <v>4</v>
      </c>
      <c r="AL9" s="22">
        <v>7</v>
      </c>
      <c r="AM9" s="9">
        <v>6.7</v>
      </c>
      <c r="AN9" s="9" t="s">
        <v>135</v>
      </c>
    </row>
    <row r="10" spans="1:40" ht="13" x14ac:dyDescent="0.25">
      <c r="A10" s="106" t="s">
        <v>4</v>
      </c>
      <c r="B10" s="106"/>
      <c r="C10" s="12">
        <v>7.1</v>
      </c>
      <c r="D10" s="12">
        <v>6.9</v>
      </c>
      <c r="E10" s="12">
        <v>7.7</v>
      </c>
      <c r="F10" s="12">
        <v>6.9</v>
      </c>
      <c r="G10" s="12">
        <v>6.9</v>
      </c>
      <c r="H10" s="12">
        <v>6.3</v>
      </c>
      <c r="I10" s="12">
        <v>7.9</v>
      </c>
      <c r="J10" s="12">
        <v>6.8</v>
      </c>
      <c r="K10" s="12">
        <v>6.7</v>
      </c>
      <c r="L10" s="12">
        <v>6.8</v>
      </c>
      <c r="M10" s="12">
        <v>6.9</v>
      </c>
      <c r="N10" s="12">
        <v>7</v>
      </c>
      <c r="O10" s="12">
        <v>7</v>
      </c>
      <c r="P10" s="12">
        <v>6.8</v>
      </c>
      <c r="Q10" s="12">
        <v>6.9</v>
      </c>
      <c r="R10" s="12">
        <v>6.7</v>
      </c>
      <c r="S10" s="12">
        <v>6.3</v>
      </c>
      <c r="T10" s="12">
        <v>6</v>
      </c>
      <c r="U10" s="12">
        <v>6.8</v>
      </c>
      <c r="V10" s="12">
        <v>6.9</v>
      </c>
      <c r="AB10" s="14"/>
      <c r="AC10" s="14"/>
      <c r="AD10" s="23" t="s">
        <v>140</v>
      </c>
      <c r="AE10" s="23">
        <v>5</v>
      </c>
      <c r="AF10" s="14"/>
      <c r="AG10" s="14"/>
      <c r="AH10" s="14"/>
      <c r="AI10" s="46" t="s">
        <v>97</v>
      </c>
      <c r="AJ10" s="47">
        <v>9</v>
      </c>
      <c r="AK10" s="48">
        <v>16.5</v>
      </c>
      <c r="AL10" s="9">
        <v>8</v>
      </c>
      <c r="AM10" s="9">
        <v>6.7</v>
      </c>
      <c r="AN10" s="9" t="s">
        <v>135</v>
      </c>
    </row>
    <row r="11" spans="1:40" ht="13" x14ac:dyDescent="0.25">
      <c r="A11" s="106" t="s">
        <v>5</v>
      </c>
      <c r="B11" s="106"/>
      <c r="C11" s="12">
        <v>2</v>
      </c>
      <c r="D11" s="12">
        <v>2</v>
      </c>
      <c r="E11" s="12">
        <v>2</v>
      </c>
      <c r="F11" s="12">
        <v>1</v>
      </c>
      <c r="G11" s="12">
        <v>1</v>
      </c>
      <c r="H11" s="12">
        <v>1</v>
      </c>
      <c r="I11" s="12">
        <v>2</v>
      </c>
      <c r="J11" s="12">
        <v>1</v>
      </c>
      <c r="K11" s="12">
        <v>1</v>
      </c>
      <c r="L11" s="12">
        <v>1</v>
      </c>
      <c r="M11" s="12">
        <v>1</v>
      </c>
      <c r="N11" s="12">
        <v>2</v>
      </c>
      <c r="O11" s="12">
        <v>3</v>
      </c>
      <c r="P11" s="12">
        <v>3</v>
      </c>
      <c r="Q11" s="12">
        <v>2</v>
      </c>
      <c r="R11" s="12">
        <v>2</v>
      </c>
      <c r="S11" s="12">
        <v>2</v>
      </c>
      <c r="T11" s="12">
        <v>2</v>
      </c>
      <c r="U11" s="12">
        <v>1</v>
      </c>
      <c r="V11" s="12">
        <v>1</v>
      </c>
      <c r="AB11" s="14"/>
      <c r="AC11" s="14"/>
      <c r="AD11" s="45" t="s">
        <v>141</v>
      </c>
      <c r="AE11" s="23">
        <v>6</v>
      </c>
      <c r="AF11" s="14"/>
      <c r="AG11" s="14"/>
      <c r="AH11" s="14"/>
      <c r="AI11" s="46" t="s">
        <v>122</v>
      </c>
      <c r="AJ11" s="47">
        <v>15</v>
      </c>
      <c r="AK11" s="48">
        <v>17.5</v>
      </c>
      <c r="AL11" s="9">
        <v>9</v>
      </c>
      <c r="AM11" s="9">
        <v>7</v>
      </c>
      <c r="AN11" s="9" t="s">
        <v>135</v>
      </c>
    </row>
    <row r="12" spans="1:40" ht="13" x14ac:dyDescent="0.25">
      <c r="A12" s="106" t="s">
        <v>6</v>
      </c>
      <c r="B12" s="106"/>
      <c r="C12" s="12">
        <v>1</v>
      </c>
      <c r="D12" s="12">
        <v>2</v>
      </c>
      <c r="E12" s="12">
        <v>1</v>
      </c>
      <c r="F12" s="12">
        <v>1</v>
      </c>
      <c r="G12" s="12">
        <v>0</v>
      </c>
      <c r="H12" s="12">
        <v>1</v>
      </c>
      <c r="I12" s="12">
        <v>1</v>
      </c>
      <c r="J12" s="12">
        <v>1</v>
      </c>
      <c r="K12" s="12">
        <v>1</v>
      </c>
      <c r="L12" s="12">
        <v>1</v>
      </c>
      <c r="M12" s="12">
        <v>1</v>
      </c>
      <c r="N12" s="12">
        <v>0</v>
      </c>
      <c r="O12" s="12">
        <v>2</v>
      </c>
      <c r="P12" s="12">
        <v>2</v>
      </c>
      <c r="Q12" s="12">
        <v>1</v>
      </c>
      <c r="R12" s="12">
        <v>2</v>
      </c>
      <c r="S12" s="12">
        <v>2</v>
      </c>
      <c r="T12" s="12">
        <v>2</v>
      </c>
      <c r="U12" s="12">
        <v>1</v>
      </c>
      <c r="V12" s="12">
        <v>0</v>
      </c>
      <c r="AB12" s="14"/>
      <c r="AC12" s="14"/>
      <c r="AD12" s="45" t="s">
        <v>142</v>
      </c>
      <c r="AE12" s="23">
        <v>7.5</v>
      </c>
      <c r="AF12" s="14"/>
      <c r="AG12" s="14"/>
      <c r="AH12" s="14"/>
      <c r="AI12" s="46" t="s">
        <v>121</v>
      </c>
      <c r="AJ12" s="47">
        <v>14</v>
      </c>
      <c r="AK12" s="48">
        <v>11</v>
      </c>
      <c r="AL12" s="9">
        <v>10</v>
      </c>
      <c r="AM12" s="9">
        <v>7</v>
      </c>
      <c r="AN12" s="9" t="s">
        <v>135</v>
      </c>
    </row>
    <row r="13" spans="1:40" ht="13" x14ac:dyDescent="0.25">
      <c r="A13" s="106" t="s">
        <v>7</v>
      </c>
      <c r="B13" s="106"/>
      <c r="C13" s="12">
        <v>2</v>
      </c>
      <c r="D13" s="12">
        <v>2</v>
      </c>
      <c r="E13" s="12">
        <v>2</v>
      </c>
      <c r="F13" s="12">
        <v>2</v>
      </c>
      <c r="G13" s="12">
        <v>2</v>
      </c>
      <c r="H13" s="12">
        <v>2</v>
      </c>
      <c r="I13" s="12">
        <v>1</v>
      </c>
      <c r="J13" s="12">
        <v>2</v>
      </c>
      <c r="K13" s="12">
        <v>2</v>
      </c>
      <c r="L13" s="12">
        <v>2</v>
      </c>
      <c r="M13" s="12">
        <v>2</v>
      </c>
      <c r="N13" s="12">
        <v>1</v>
      </c>
      <c r="O13" s="12">
        <v>3</v>
      </c>
      <c r="P13" s="12">
        <v>3</v>
      </c>
      <c r="Q13" s="12">
        <v>2</v>
      </c>
      <c r="R13" s="12">
        <v>3</v>
      </c>
      <c r="S13" s="12">
        <v>3</v>
      </c>
      <c r="T13" s="12">
        <v>3</v>
      </c>
      <c r="U13" s="12">
        <v>2</v>
      </c>
      <c r="V13" s="12">
        <v>2</v>
      </c>
      <c r="AB13" s="14"/>
      <c r="AC13" s="14"/>
      <c r="AD13" s="45" t="s">
        <v>143</v>
      </c>
      <c r="AE13" s="23">
        <v>12</v>
      </c>
      <c r="AF13" s="14"/>
      <c r="AG13" s="14"/>
      <c r="AH13" s="14"/>
      <c r="AI13" s="46" t="s">
        <v>120</v>
      </c>
      <c r="AJ13" s="47">
        <v>1.9</v>
      </c>
      <c r="AK13" s="48">
        <v>7.5</v>
      </c>
      <c r="AL13" s="9">
        <v>11</v>
      </c>
      <c r="AM13" s="9">
        <v>6.7</v>
      </c>
      <c r="AN13" s="9" t="s">
        <v>135</v>
      </c>
    </row>
    <row r="14" spans="1:40" ht="13" x14ac:dyDescent="0.25">
      <c r="A14" s="118" t="s">
        <v>8</v>
      </c>
      <c r="B14" s="118"/>
      <c r="C14" s="89" t="s">
        <v>113</v>
      </c>
      <c r="D14" s="89" t="s">
        <v>113</v>
      </c>
      <c r="E14" s="89" t="s">
        <v>113</v>
      </c>
      <c r="F14" s="89" t="s">
        <v>113</v>
      </c>
      <c r="G14" s="89" t="s">
        <v>113</v>
      </c>
      <c r="H14" s="89" t="s">
        <v>113</v>
      </c>
      <c r="I14" s="89" t="s">
        <v>113</v>
      </c>
      <c r="J14" s="89" t="s">
        <v>113</v>
      </c>
      <c r="K14" s="89" t="s">
        <v>113</v>
      </c>
      <c r="L14" s="89" t="s">
        <v>113</v>
      </c>
      <c r="M14" s="89" t="s">
        <v>113</v>
      </c>
      <c r="N14" s="89" t="s">
        <v>113</v>
      </c>
      <c r="O14" s="89" t="s">
        <v>113</v>
      </c>
      <c r="P14" s="89" t="s">
        <v>113</v>
      </c>
      <c r="Q14" s="89" t="s">
        <v>113</v>
      </c>
      <c r="R14" s="89" t="s">
        <v>113</v>
      </c>
      <c r="S14" s="89" t="s">
        <v>113</v>
      </c>
      <c r="T14" s="89" t="s">
        <v>113</v>
      </c>
      <c r="U14" s="89" t="s">
        <v>113</v>
      </c>
      <c r="V14" s="89" t="s">
        <v>113</v>
      </c>
      <c r="AD14" s="23" t="s">
        <v>138</v>
      </c>
      <c r="AE14" s="23">
        <v>6</v>
      </c>
      <c r="AI14" s="46" t="s">
        <v>119</v>
      </c>
      <c r="AJ14" s="47">
        <v>0.8</v>
      </c>
      <c r="AK14" s="48">
        <v>1.7</v>
      </c>
      <c r="AL14" s="9">
        <v>12</v>
      </c>
      <c r="AM14" s="9">
        <v>6.7</v>
      </c>
      <c r="AN14" s="9" t="s">
        <v>135</v>
      </c>
    </row>
    <row r="15" spans="1:40" ht="13" x14ac:dyDescent="0.25">
      <c r="A15" s="117" t="s">
        <v>9</v>
      </c>
      <c r="B15" s="117"/>
      <c r="C15" s="12">
        <v>38</v>
      </c>
      <c r="D15" s="12">
        <v>38</v>
      </c>
      <c r="E15" s="12">
        <v>38</v>
      </c>
      <c r="F15" s="12">
        <v>38</v>
      </c>
      <c r="G15" s="12">
        <v>38</v>
      </c>
      <c r="H15" s="12">
        <v>38</v>
      </c>
      <c r="I15" s="12">
        <v>38</v>
      </c>
      <c r="J15" s="12">
        <v>38</v>
      </c>
      <c r="K15" s="12">
        <v>38</v>
      </c>
      <c r="L15" s="12">
        <v>38</v>
      </c>
      <c r="M15" s="12">
        <v>38</v>
      </c>
      <c r="N15" s="12">
        <v>38</v>
      </c>
      <c r="O15" s="12">
        <v>38</v>
      </c>
      <c r="P15" s="12">
        <v>38</v>
      </c>
      <c r="Q15" s="12">
        <v>38</v>
      </c>
      <c r="R15" s="12">
        <v>38</v>
      </c>
      <c r="S15" s="12">
        <v>38</v>
      </c>
      <c r="T15" s="12">
        <v>38</v>
      </c>
      <c r="U15" s="12">
        <v>38</v>
      </c>
      <c r="V15" s="12">
        <v>38</v>
      </c>
      <c r="AD15" s="23" t="s">
        <v>144</v>
      </c>
      <c r="AE15" s="23">
        <v>7</v>
      </c>
      <c r="AI15" s="46" t="s">
        <v>101</v>
      </c>
      <c r="AJ15" s="54">
        <v>1.8</v>
      </c>
      <c r="AK15" s="48">
        <v>5.4</v>
      </c>
      <c r="AL15" s="9">
        <v>13</v>
      </c>
      <c r="AM15" s="9">
        <v>6.7</v>
      </c>
      <c r="AN15" s="9" t="s">
        <v>135</v>
      </c>
    </row>
    <row r="16" spans="1:40" ht="13.5" thickBot="1" x14ac:dyDescent="0.3">
      <c r="A16" s="119" t="s">
        <v>44</v>
      </c>
      <c r="B16" s="119"/>
      <c r="C16" s="90" t="s">
        <v>72</v>
      </c>
      <c r="D16" s="90" t="s">
        <v>72</v>
      </c>
      <c r="E16" s="90" t="s">
        <v>72</v>
      </c>
      <c r="F16" s="90" t="s">
        <v>72</v>
      </c>
      <c r="G16" s="90" t="s">
        <v>72</v>
      </c>
      <c r="H16" s="90" t="s">
        <v>72</v>
      </c>
      <c r="I16" s="90" t="s">
        <v>72</v>
      </c>
      <c r="J16" s="90" t="s">
        <v>72</v>
      </c>
      <c r="K16" s="90" t="s">
        <v>72</v>
      </c>
      <c r="L16" s="90" t="s">
        <v>72</v>
      </c>
      <c r="M16" s="90" t="s">
        <v>72</v>
      </c>
      <c r="N16" s="90" t="s">
        <v>72</v>
      </c>
      <c r="O16" s="90" t="s">
        <v>72</v>
      </c>
      <c r="P16" s="90" t="s">
        <v>72</v>
      </c>
      <c r="Q16" s="90" t="s">
        <v>72</v>
      </c>
      <c r="R16" s="90" t="s">
        <v>72</v>
      </c>
      <c r="S16" s="90" t="s">
        <v>72</v>
      </c>
      <c r="T16" s="90" t="s">
        <v>72</v>
      </c>
      <c r="U16" s="90" t="s">
        <v>72</v>
      </c>
      <c r="V16" s="90" t="s">
        <v>72</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f t="shared" si="0"/>
        <v>64.599999999999994</v>
      </c>
      <c r="N17" s="21">
        <f t="shared" si="0"/>
        <v>64.599999999999994</v>
      </c>
      <c r="O17" s="21">
        <f t="shared" si="0"/>
        <v>64.599999999999994</v>
      </c>
      <c r="P17" s="21">
        <f t="shared" si="0"/>
        <v>64.599999999999994</v>
      </c>
      <c r="Q17" s="21">
        <f t="shared" si="0"/>
        <v>64.599999999999994</v>
      </c>
      <c r="R17" s="21">
        <f t="shared" si="0"/>
        <v>64.599999999999994</v>
      </c>
      <c r="S17" s="21">
        <f t="shared" si="0"/>
        <v>64.599999999999994</v>
      </c>
      <c r="T17" s="21">
        <f t="shared" si="0"/>
        <v>64.599999999999994</v>
      </c>
      <c r="U17" s="21">
        <f t="shared" si="0"/>
        <v>64.599999999999994</v>
      </c>
      <c r="V17" s="21">
        <f t="shared" si="0"/>
        <v>64.599999999999994</v>
      </c>
      <c r="AD17" s="45" t="s">
        <v>146</v>
      </c>
      <c r="AE17" s="23">
        <v>10</v>
      </c>
      <c r="AI17" s="41" t="s">
        <v>115</v>
      </c>
      <c r="AJ17" s="42">
        <v>1.4</v>
      </c>
      <c r="AK17" s="43">
        <v>4.8</v>
      </c>
      <c r="AL17" s="44">
        <v>15</v>
      </c>
      <c r="AM17" s="9">
        <v>6.2</v>
      </c>
      <c r="AN17" s="9" t="s">
        <v>112</v>
      </c>
    </row>
    <row r="18" spans="1:40" ht="13" x14ac:dyDescent="0.25">
      <c r="A18" s="111" t="s">
        <v>23</v>
      </c>
      <c r="B18" s="112"/>
      <c r="C18" s="13">
        <f>$D31</f>
        <v>14.708219999999999</v>
      </c>
      <c r="D18" s="13">
        <f>$D32</f>
        <v>14.708219999999999</v>
      </c>
      <c r="E18" s="13">
        <f>$D33</f>
        <v>14.708219999999999</v>
      </c>
      <c r="F18" s="13">
        <f>$D34</f>
        <v>14.708219999999999</v>
      </c>
      <c r="G18" s="13">
        <f>$D35</f>
        <v>14.708219999999999</v>
      </c>
      <c r="H18" s="13">
        <f>$D36</f>
        <v>14.708219999999999</v>
      </c>
      <c r="I18" s="13">
        <f>$D37</f>
        <v>14.708219999999999</v>
      </c>
      <c r="J18" s="13">
        <f>$D38</f>
        <v>14.708219999999999</v>
      </c>
      <c r="K18" s="13">
        <f>$D39</f>
        <v>14.708219999999999</v>
      </c>
      <c r="L18" s="13">
        <f>$D40</f>
        <v>14.708219999999999</v>
      </c>
      <c r="M18" s="13">
        <f>$D41</f>
        <v>14.708219999999999</v>
      </c>
      <c r="N18" s="13">
        <f>$D42</f>
        <v>14.708219999999999</v>
      </c>
      <c r="O18" s="13">
        <f>$D43</f>
        <v>14.708219999999999</v>
      </c>
      <c r="P18" s="13">
        <f>$D44</f>
        <v>14.708219999999999</v>
      </c>
      <c r="Q18" s="13">
        <f>$D45</f>
        <v>14.708219999999999</v>
      </c>
      <c r="R18" s="13">
        <f>$D46</f>
        <v>14.708219999999999</v>
      </c>
      <c r="S18" s="13">
        <f>$D47</f>
        <v>14.708219999999999</v>
      </c>
      <c r="T18" s="13">
        <f>$D48</f>
        <v>14.708219999999999</v>
      </c>
      <c r="U18" s="13">
        <f>$D49</f>
        <v>14.708219999999999</v>
      </c>
      <c r="V18" s="18">
        <f>$D50</f>
        <v>14.708219999999999</v>
      </c>
      <c r="AD18" s="45" t="s">
        <v>147</v>
      </c>
      <c r="AE18" s="23">
        <v>16</v>
      </c>
      <c r="AI18" s="41" t="s">
        <v>106</v>
      </c>
      <c r="AJ18" s="42">
        <v>5.9</v>
      </c>
      <c r="AK18" s="43">
        <v>18</v>
      </c>
      <c r="AL18" s="44">
        <v>16</v>
      </c>
      <c r="AM18" s="9">
        <v>6.2</v>
      </c>
      <c r="AN18" s="9" t="s">
        <v>112</v>
      </c>
    </row>
    <row r="19" spans="1:40" ht="13" x14ac:dyDescent="0.25">
      <c r="A19" s="111" t="s">
        <v>90</v>
      </c>
      <c r="B19" s="112"/>
      <c r="C19" s="13">
        <f>C18-C17</f>
        <v>-49.891779999999997</v>
      </c>
      <c r="D19" s="13">
        <f t="shared" ref="D19:V19" si="1">D18-D17</f>
        <v>-49.891779999999997</v>
      </c>
      <c r="E19" s="13">
        <f t="shared" si="1"/>
        <v>-49.891779999999997</v>
      </c>
      <c r="F19" s="13">
        <f t="shared" si="1"/>
        <v>-49.891779999999997</v>
      </c>
      <c r="G19" s="13">
        <f t="shared" si="1"/>
        <v>-49.891779999999997</v>
      </c>
      <c r="H19" s="13">
        <f t="shared" si="1"/>
        <v>-49.891779999999997</v>
      </c>
      <c r="I19" s="13">
        <f t="shared" si="1"/>
        <v>-49.891779999999997</v>
      </c>
      <c r="J19" s="13">
        <f t="shared" si="1"/>
        <v>-49.891779999999997</v>
      </c>
      <c r="K19" s="13">
        <f t="shared" si="1"/>
        <v>-49.891779999999997</v>
      </c>
      <c r="L19" s="13">
        <f t="shared" si="1"/>
        <v>-49.891779999999997</v>
      </c>
      <c r="M19" s="13">
        <f t="shared" si="1"/>
        <v>-49.891779999999997</v>
      </c>
      <c r="N19" s="13">
        <f t="shared" si="1"/>
        <v>-49.891779999999997</v>
      </c>
      <c r="O19" s="13">
        <f t="shared" si="1"/>
        <v>-49.891779999999997</v>
      </c>
      <c r="P19" s="13">
        <f t="shared" si="1"/>
        <v>-49.891779999999997</v>
      </c>
      <c r="Q19" s="13">
        <f t="shared" si="1"/>
        <v>-49.891779999999997</v>
      </c>
      <c r="R19" s="13">
        <f t="shared" si="1"/>
        <v>-49.891779999999997</v>
      </c>
      <c r="S19" s="13">
        <f t="shared" si="1"/>
        <v>-49.891779999999997</v>
      </c>
      <c r="T19" s="13">
        <f t="shared" si="1"/>
        <v>-49.891779999999997</v>
      </c>
      <c r="U19" s="13">
        <f t="shared" si="1"/>
        <v>-49.891779999999997</v>
      </c>
      <c r="V19" s="18">
        <f t="shared" si="1"/>
        <v>-49.891779999999997</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DECREASE</v>
      </c>
      <c r="V20" s="20" t="str">
        <f>IF($B50="","",IF(V$19&gt;=0,"INCREASE","DECREASE"))</f>
        <v>DECREASE</v>
      </c>
      <c r="AI20" s="41" t="s">
        <v>114</v>
      </c>
      <c r="AJ20" s="42">
        <v>2.1</v>
      </c>
      <c r="AK20" s="43">
        <v>7.2</v>
      </c>
      <c r="AL20" s="44">
        <v>18</v>
      </c>
      <c r="AM20" s="9">
        <v>6.2</v>
      </c>
      <c r="AN20" s="9" t="s">
        <v>112</v>
      </c>
    </row>
    <row r="21" spans="1:40" ht="13" x14ac:dyDescent="0.25">
      <c r="A21" s="109" t="s">
        <v>88</v>
      </c>
      <c r="B21" s="110"/>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f t="shared" si="2"/>
        <v>228</v>
      </c>
      <c r="N21" s="21">
        <f t="shared" si="2"/>
        <v>228</v>
      </c>
      <c r="O21" s="21">
        <f t="shared" si="2"/>
        <v>228</v>
      </c>
      <c r="P21" s="21">
        <f t="shared" si="2"/>
        <v>228</v>
      </c>
      <c r="Q21" s="21">
        <f t="shared" si="2"/>
        <v>228</v>
      </c>
      <c r="R21" s="21">
        <f t="shared" si="2"/>
        <v>228</v>
      </c>
      <c r="S21" s="21">
        <f t="shared" si="2"/>
        <v>228</v>
      </c>
      <c r="T21" s="21">
        <f t="shared" si="2"/>
        <v>228</v>
      </c>
      <c r="U21" s="21">
        <f t="shared" si="2"/>
        <v>228</v>
      </c>
      <c r="V21" s="21">
        <f t="shared" si="2"/>
        <v>228</v>
      </c>
      <c r="AI21" s="55" t="s">
        <v>100</v>
      </c>
      <c r="AJ21" s="58">
        <v>11</v>
      </c>
      <c r="AK21" s="57">
        <v>12</v>
      </c>
      <c r="AL21" s="22">
        <v>19</v>
      </c>
      <c r="AM21" s="9">
        <v>6.7</v>
      </c>
      <c r="AN21" s="9" t="s">
        <v>135</v>
      </c>
    </row>
    <row r="22" spans="1:40" ht="13" x14ac:dyDescent="0.25">
      <c r="A22" s="111" t="s">
        <v>89</v>
      </c>
      <c r="B22" s="112"/>
      <c r="C22" s="13">
        <f>$E31</f>
        <v>2.4853125</v>
      </c>
      <c r="D22" s="13">
        <f>$E32</f>
        <v>2.4853125</v>
      </c>
      <c r="E22" s="13">
        <f>$E33</f>
        <v>2.4853125</v>
      </c>
      <c r="F22" s="13">
        <f>$E34</f>
        <v>2.4853125</v>
      </c>
      <c r="G22" s="13">
        <f>$E35</f>
        <v>2.4853125</v>
      </c>
      <c r="H22" s="13">
        <f>$E36</f>
        <v>2.4853125</v>
      </c>
      <c r="I22" s="13">
        <f>$E37</f>
        <v>2.4853125</v>
      </c>
      <c r="J22" s="13">
        <f>$E38</f>
        <v>2.4853125</v>
      </c>
      <c r="K22" s="13">
        <f>$E39</f>
        <v>2.4853125</v>
      </c>
      <c r="L22" s="13">
        <f>$E40</f>
        <v>2.4853125</v>
      </c>
      <c r="M22" s="13">
        <f>$E41</f>
        <v>2.4853125</v>
      </c>
      <c r="N22" s="13">
        <f>$E42</f>
        <v>2.4853125</v>
      </c>
      <c r="O22" s="13">
        <f>$E43</f>
        <v>2.4853125</v>
      </c>
      <c r="P22" s="13">
        <f>$E44</f>
        <v>2.4853125</v>
      </c>
      <c r="Q22" s="13">
        <f>$E45</f>
        <v>2.4853125</v>
      </c>
      <c r="R22" s="13">
        <f>$E46</f>
        <v>2.4853125</v>
      </c>
      <c r="S22" s="13">
        <f>$E47</f>
        <v>2.4853125</v>
      </c>
      <c r="T22" s="13">
        <f>$E48</f>
        <v>2.4853125</v>
      </c>
      <c r="U22" s="13">
        <f>$E49</f>
        <v>2.4853125</v>
      </c>
      <c r="V22" s="13">
        <f>$E50</f>
        <v>2.4853125</v>
      </c>
      <c r="AI22" s="55" t="s">
        <v>102</v>
      </c>
      <c r="AJ22" s="56">
        <v>1.2</v>
      </c>
      <c r="AK22" s="57">
        <v>5</v>
      </c>
      <c r="AL22" s="22">
        <v>20</v>
      </c>
      <c r="AM22" s="9">
        <v>6.7</v>
      </c>
      <c r="AN22" s="9" t="s">
        <v>135</v>
      </c>
    </row>
    <row r="23" spans="1:40" ht="13" x14ac:dyDescent="0.25">
      <c r="A23" s="111" t="s">
        <v>92</v>
      </c>
      <c r="B23" s="112"/>
      <c r="C23" s="13">
        <f>C22-C21</f>
        <v>-225.51468750000001</v>
      </c>
      <c r="D23" s="13">
        <f t="shared" ref="D23:V23" si="3">D22-D21</f>
        <v>-225.51468750000001</v>
      </c>
      <c r="E23" s="13">
        <f t="shared" si="3"/>
        <v>-225.51468750000001</v>
      </c>
      <c r="F23" s="13">
        <f t="shared" si="3"/>
        <v>-225.51468750000001</v>
      </c>
      <c r="G23" s="13">
        <f t="shared" si="3"/>
        <v>-225.51468750000001</v>
      </c>
      <c r="H23" s="13">
        <f t="shared" si="3"/>
        <v>-225.51468750000001</v>
      </c>
      <c r="I23" s="13">
        <f t="shared" si="3"/>
        <v>-225.51468750000001</v>
      </c>
      <c r="J23" s="13">
        <f t="shared" si="3"/>
        <v>-225.51468750000001</v>
      </c>
      <c r="K23" s="13">
        <f t="shared" si="3"/>
        <v>-225.51468750000001</v>
      </c>
      <c r="L23" s="13">
        <f t="shared" si="3"/>
        <v>-225.51468750000001</v>
      </c>
      <c r="M23" s="13">
        <f t="shared" si="3"/>
        <v>-225.51468750000001</v>
      </c>
      <c r="N23" s="13">
        <f t="shared" si="3"/>
        <v>-225.51468750000001</v>
      </c>
      <c r="O23" s="13">
        <f t="shared" si="3"/>
        <v>-225.51468750000001</v>
      </c>
      <c r="P23" s="13">
        <f t="shared" si="3"/>
        <v>-225.51468750000001</v>
      </c>
      <c r="Q23" s="13">
        <f t="shared" si="3"/>
        <v>-225.51468750000001</v>
      </c>
      <c r="R23" s="13">
        <f t="shared" si="3"/>
        <v>-225.51468750000001</v>
      </c>
      <c r="S23" s="13">
        <f t="shared" si="3"/>
        <v>-225.51468750000001</v>
      </c>
      <c r="T23" s="13">
        <f t="shared" si="3"/>
        <v>-225.51468750000001</v>
      </c>
      <c r="U23" s="13">
        <f t="shared" si="3"/>
        <v>-225.51468750000001</v>
      </c>
      <c r="V23" s="13">
        <f t="shared" si="3"/>
        <v>-225.51468750000001</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str">
        <f t="shared" si="4"/>
        <v>DECREASE</v>
      </c>
      <c r="V24" s="19" t="str">
        <f t="shared" si="4"/>
        <v>DECREASE</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3</v>
      </c>
      <c r="C28" s="12">
        <v>0.77900000000000003</v>
      </c>
      <c r="D28" s="12">
        <v>8.5599999999999996E-2</v>
      </c>
      <c r="E28" s="12">
        <v>2.75E-2</v>
      </c>
      <c r="F28" s="12">
        <v>653</v>
      </c>
      <c r="G28" s="12">
        <v>18.399999999999999</v>
      </c>
      <c r="H28" s="12">
        <v>106</v>
      </c>
      <c r="I28" s="12">
        <v>6.2</v>
      </c>
      <c r="J28" s="12">
        <v>0.11</v>
      </c>
      <c r="K28" s="16">
        <v>1.26</v>
      </c>
      <c r="L28" s="12">
        <v>11.9</v>
      </c>
      <c r="M28" s="12">
        <v>10.1</v>
      </c>
      <c r="N28" s="12">
        <v>2210</v>
      </c>
      <c r="O28" s="12">
        <v>379000</v>
      </c>
      <c r="P28" s="12"/>
      <c r="Q28" s="12">
        <v>4430</v>
      </c>
      <c r="R28" s="12"/>
      <c r="S28" s="12">
        <v>11.4</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250</v>
      </c>
      <c r="C31" s="68">
        <f>IF(C$27="%w/w SAR",((C$28*10)*$B31),IF(C$27="%w/w DM",(((C$28*10)*($B$28/100))*$B31),IF(C$27="kg/t SAR",(C$28*$B31),IF(C$27="kg/t DM",((C$28*($B$28/100))*$B31),IF(C$27="mg/kg SAR",((C$28*0.001)*$B31),IF(C$27="mg/kg DM",(((C$28*0.001)*($B$28/100))*$B31),0))))))</f>
        <v>58.424999999999997</v>
      </c>
      <c r="D31" s="68">
        <f>(IF(D$27="%w/w SAR",((D$28*10)*$B31),IF(D$27="%w/w DM",(((D$28*10)*($B$28/100))*$B31),IF(D$27="kg/t SAR",(D$28*$B31),IF(D$27="kg/t DM",((D$28*($B$28/100))*$B31),IF(D$27="mg/kg SAR",((D$28*0.001)*$B31),IF(D$27="mg/kg DM",(((D$28*0.001)*($B$28/100))*$B31),"0")))))))*2.291</f>
        <v>14.708219999999999</v>
      </c>
      <c r="E31" s="68">
        <f>(IF(E$27="%w/w SAR",((E$28*10)*$B31),IF(E$27="%w/w DM",(((E$28*10)*($B$28/100))*$B31),IF(E$27="kg/t SAR",(E$28*$B31),IF(E$27="kg/t DM",((E$28*($B$28/100))*$B31),IF(E$27="mg/kg SAR",((E$28*0.001)*$B31),IF(E$27="mg/kg DM",(((E$28*0.001)*($B$28/100))*$B31),"0")))))))*1.205</f>
        <v>2.4853125</v>
      </c>
      <c r="F31" s="68">
        <f>(IF(F$27="%w/w SAR",((F$28*10)*$B31),IF(F$27="%w/w DM",(((F$28*10)*($B$28/100))*$B31),IF(F$27="kg/t SAR",(F$28*$B31),IF(F$27="kg/t DM",((F$28*($B$28/100))*$B31),IF(F$27="mg/kg SAR",((F$28*0.001)*$B31),IF(F$27="mg/kg DM",(((F$28*0.001)*($B$28/100))*$B31),"0")))))))*1.658</f>
        <v>8.1200549999999989</v>
      </c>
      <c r="G31" s="68">
        <f t="shared" ref="G31:P31" si="5">IF(G$27="%w/w SAR",((G$28*10)*$B31),IF(G$27="%w/w DM",(((G$28*10)*($B$28/100))*$B31),IF(G$27="kg/t SAR",(G$28*$B31),IF(G$27="kg/t DM",((G$28*($B$28/100))*$B31),IF(G$27="mg/kg SAR",((G$28*0.001)*$B31),IF(G$27="mg/kg DM",(((G$28*0.001)*($B$28/100))*$B31),0))))))</f>
        <v>0.13799999999999998</v>
      </c>
      <c r="H31" s="68">
        <f t="shared" si="5"/>
        <v>0.79499999999999993</v>
      </c>
      <c r="I31" s="68">
        <f t="shared" si="5"/>
        <v>4.6500000000000007E-2</v>
      </c>
      <c r="J31" s="68">
        <f t="shared" si="5"/>
        <v>8.25E-4</v>
      </c>
      <c r="K31" s="68">
        <f t="shared" si="5"/>
        <v>9.4500000000000001E-3</v>
      </c>
      <c r="L31" s="68">
        <f t="shared" si="5"/>
        <v>8.9249999999999996E-2</v>
      </c>
      <c r="M31" s="68">
        <f t="shared" si="5"/>
        <v>7.5749999999999998E-2</v>
      </c>
      <c r="N31" s="68">
        <f t="shared" si="5"/>
        <v>16.574999999999999</v>
      </c>
      <c r="O31" s="68">
        <f t="shared" si="5"/>
        <v>2842.5</v>
      </c>
      <c r="P31" s="68">
        <f t="shared" si="5"/>
        <v>0</v>
      </c>
      <c r="Q31" s="68">
        <f>(IF(Q$27="%w/w SAR",((Q$28*10)*$B31),IF(Q$27="%w/w DM",(((Q$28*10)*($B$28/100))*$B31),IF(Q$27="kg/t SAR",(Q$28*$B31),IF(Q$27="kg/t DM",((Q$28*($B$28/100))*$B31),IF(Q$27="mg/kg SAR",((Q$28*0.001)*$B31),IF(Q$27="mg/kg DM",(((Q$28*0.001)*($B$28/100))*$B31),0)))))))*2.5</f>
        <v>83.062499999999986</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8.5500000000000007E-2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250</v>
      </c>
      <c r="C32" s="68">
        <f t="shared" ref="C32:C50" si="6">IF(C$27="%w/w SAR",((C$28*10)*$B32),IF(C$27="%w/w DM",(((C$28*10)*($B$28/100))*$B32),IF(C$27="kg/t SAR",(C$28*$B32),IF(C$27="kg/t DM",((C$28*($B$28/100))*$B32),IF(C$27="mg/kg SAR",((C$28*0.001)*$B32),IF(C$27="mg/kg DM",(((C$28*0.001)*($B$28/100))*$B32),0))))))</f>
        <v>58.424999999999997</v>
      </c>
      <c r="D32" s="68">
        <f t="shared" ref="D32:D50" si="7">(IF(D$27="%w/w SAR",((D$28*10)*$B32),IF(D$27="%w/w DM",(((D$28*10)*($B$28/100))*$B32),IF(D$27="kg/t SAR",(D$28*$B32),IF(D$27="kg/t DM",((D$28*($B$28/100))*$B32),IF(D$27="mg/kg SAR",((D$28*0.001)*$B32),IF(D$27="mg/kg DM",(((D$28*0.001)*($B$28/100))*$B32),"0")))))))*2.291</f>
        <v>14.708219999999999</v>
      </c>
      <c r="E32" s="68">
        <f t="shared" ref="E32:E50" si="8">(IF(E$27="%w/w SAR",((E$28*10)*$B32),IF(E$27="%w/w DM",(((E$28*10)*($B$28/100))*$B32),IF(E$27="kg/t SAR",(E$28*$B32),IF(E$27="kg/t DM",((E$28*($B$28/100))*$B32),IF(E$27="mg/kg SAR",((E$28*0.001)*$B32),IF(E$27="mg/kg DM",(((E$28*0.001)*($B$28/100))*$B32),"0")))))))*1.205</f>
        <v>2.4853125</v>
      </c>
      <c r="F32" s="68">
        <f t="shared" ref="F32:F50" si="9">(IF(F$27="%w/w SAR",((F$28*10)*$B32),IF(F$27="%w/w DM",(((F$28*10)*($B$28/100))*$B32),IF(F$27="kg/t SAR",(F$28*$B32),IF(F$27="kg/t DM",((F$28*($B$28/100))*$B32),IF(F$27="mg/kg SAR",((F$28*0.001)*$B32),IF(F$27="mg/kg DM",(((F$28*0.001)*($B$28/100))*$B32),"0")))))))*1.658</f>
        <v>8.1200549999999989</v>
      </c>
      <c r="G32" s="68">
        <f t="shared" ref="G32:P50" si="10">IF(G$27="%w/w SAR",((G$28*10)*$B32),IF(G$27="%w/w DM",(((G$28*10)*($B$28/100))*$B32),IF(G$27="kg/t SAR",(G$28*$B32),IF(G$27="kg/t DM",((G$28*($B$28/100))*$B32),IF(G$27="mg/kg SAR",((G$28*0.001)*$B32),IF(G$27="mg/kg DM",(((G$28*0.001)*($B$28/100))*$B32),0))))))</f>
        <v>0.13799999999999998</v>
      </c>
      <c r="H32" s="68">
        <f t="shared" si="10"/>
        <v>0.79499999999999993</v>
      </c>
      <c r="I32" s="68">
        <f t="shared" si="10"/>
        <v>4.6500000000000007E-2</v>
      </c>
      <c r="J32" s="68">
        <f t="shared" si="10"/>
        <v>8.25E-4</v>
      </c>
      <c r="K32" s="68">
        <f t="shared" si="10"/>
        <v>9.4500000000000001E-3</v>
      </c>
      <c r="L32" s="68">
        <f t="shared" si="10"/>
        <v>8.9249999999999996E-2</v>
      </c>
      <c r="M32" s="68">
        <f t="shared" si="10"/>
        <v>7.5749999999999998E-2</v>
      </c>
      <c r="N32" s="68">
        <f t="shared" si="10"/>
        <v>16.574999999999999</v>
      </c>
      <c r="O32" s="68">
        <f t="shared" si="10"/>
        <v>2842.5</v>
      </c>
      <c r="P32" s="68">
        <f t="shared" si="10"/>
        <v>0</v>
      </c>
      <c r="Q32" s="68">
        <f t="shared" ref="Q32:Q50" si="11">(IF(Q$27="%w/w SAR",((Q$28*10)*$B32),IF(Q$27="%w/w DM",(((Q$28*10)*($B$28/100))*$B32),IF(Q$27="kg/t SAR",(Q$28*$B32),IF(Q$27="kg/t DM",((Q$28*($B$28/100))*$B32),IF(Q$27="mg/kg SAR",((Q$28*0.001)*$B32),IF(Q$27="mg/kg DM",(((Q$28*0.001)*($B$28/100))*$B32),0)))))))*2.5</f>
        <v>83.062499999999986</v>
      </c>
      <c r="R32" s="68">
        <f t="shared" ref="R32:U50" si="12">IF(R$27="%w/w SAR",((R$28*10)*$B32),IF(R$27="%w/w DM",(((R$28*10)*($B$28/100))*$B32),IF(R$27="kg/t SAR",(R$28*$B32),IF(R$27="kg/t DM",((R$28*($B$28/100))*$B32),IF(R$27="mg/kg SAR",((R$28*0.001)*$B32),IF(R$27="mg/kg DM",(((R$28*0.001)*($B$28/100))*$B32),0))))))</f>
        <v>0</v>
      </c>
      <c r="S32" s="68">
        <f t="shared" si="12"/>
        <v>8.5500000000000007E-2</v>
      </c>
      <c r="T32" s="68">
        <f t="shared" si="12"/>
        <v>0</v>
      </c>
      <c r="U32" s="68">
        <f t="shared" si="12"/>
        <v>0</v>
      </c>
    </row>
    <row r="33" spans="1:21" s="51" customFormat="1" ht="13" x14ac:dyDescent="0.35">
      <c r="A33" s="10">
        <f>E8</f>
        <v>3</v>
      </c>
      <c r="B33" s="12">
        <v>250</v>
      </c>
      <c r="C33" s="68">
        <f t="shared" si="6"/>
        <v>58.424999999999997</v>
      </c>
      <c r="D33" s="68">
        <f t="shared" si="7"/>
        <v>14.708219999999999</v>
      </c>
      <c r="E33" s="68">
        <f t="shared" si="8"/>
        <v>2.4853125</v>
      </c>
      <c r="F33" s="68">
        <f t="shared" si="9"/>
        <v>8.1200549999999989</v>
      </c>
      <c r="G33" s="68">
        <f t="shared" si="10"/>
        <v>0.13799999999999998</v>
      </c>
      <c r="H33" s="68">
        <f t="shared" si="10"/>
        <v>0.79499999999999993</v>
      </c>
      <c r="I33" s="68">
        <f t="shared" si="10"/>
        <v>4.6500000000000007E-2</v>
      </c>
      <c r="J33" s="68">
        <f t="shared" si="10"/>
        <v>8.25E-4</v>
      </c>
      <c r="K33" s="68">
        <f t="shared" si="10"/>
        <v>9.4500000000000001E-3</v>
      </c>
      <c r="L33" s="68">
        <f t="shared" si="10"/>
        <v>8.9249999999999996E-2</v>
      </c>
      <c r="M33" s="68">
        <f t="shared" si="10"/>
        <v>7.5749999999999998E-2</v>
      </c>
      <c r="N33" s="68">
        <f t="shared" si="10"/>
        <v>16.574999999999999</v>
      </c>
      <c r="O33" s="68">
        <f t="shared" si="10"/>
        <v>2842.5</v>
      </c>
      <c r="P33" s="68">
        <f t="shared" si="10"/>
        <v>0</v>
      </c>
      <c r="Q33" s="68">
        <f t="shared" si="11"/>
        <v>83.062499999999986</v>
      </c>
      <c r="R33" s="68">
        <f t="shared" si="12"/>
        <v>0</v>
      </c>
      <c r="S33" s="68">
        <f t="shared" si="12"/>
        <v>8.5500000000000007E-2</v>
      </c>
      <c r="T33" s="68">
        <f t="shared" si="12"/>
        <v>0</v>
      </c>
      <c r="U33" s="68">
        <f t="shared" si="12"/>
        <v>0</v>
      </c>
    </row>
    <row r="34" spans="1:21" s="51" customFormat="1" ht="13" x14ac:dyDescent="0.35">
      <c r="A34" s="10">
        <f>F8</f>
        <v>4</v>
      </c>
      <c r="B34" s="12">
        <v>250</v>
      </c>
      <c r="C34" s="68">
        <f t="shared" si="6"/>
        <v>58.424999999999997</v>
      </c>
      <c r="D34" s="68">
        <f t="shared" si="7"/>
        <v>14.708219999999999</v>
      </c>
      <c r="E34" s="68">
        <f t="shared" si="8"/>
        <v>2.4853125</v>
      </c>
      <c r="F34" s="68">
        <f t="shared" si="9"/>
        <v>8.1200549999999989</v>
      </c>
      <c r="G34" s="68">
        <f t="shared" si="10"/>
        <v>0.13799999999999998</v>
      </c>
      <c r="H34" s="68">
        <f t="shared" si="10"/>
        <v>0.79499999999999993</v>
      </c>
      <c r="I34" s="68">
        <f t="shared" si="10"/>
        <v>4.6500000000000007E-2</v>
      </c>
      <c r="J34" s="68">
        <f t="shared" si="10"/>
        <v>8.25E-4</v>
      </c>
      <c r="K34" s="68">
        <f t="shared" si="10"/>
        <v>9.4500000000000001E-3</v>
      </c>
      <c r="L34" s="68">
        <f t="shared" si="10"/>
        <v>8.9249999999999996E-2</v>
      </c>
      <c r="M34" s="68">
        <f t="shared" si="10"/>
        <v>7.5749999999999998E-2</v>
      </c>
      <c r="N34" s="68">
        <f t="shared" si="10"/>
        <v>16.574999999999999</v>
      </c>
      <c r="O34" s="68">
        <f t="shared" si="10"/>
        <v>2842.5</v>
      </c>
      <c r="P34" s="68">
        <f t="shared" si="10"/>
        <v>0</v>
      </c>
      <c r="Q34" s="68">
        <f t="shared" si="11"/>
        <v>83.062499999999986</v>
      </c>
      <c r="R34" s="68">
        <f t="shared" si="12"/>
        <v>0</v>
      </c>
      <c r="S34" s="68">
        <f t="shared" si="12"/>
        <v>8.5500000000000007E-2</v>
      </c>
      <c r="T34" s="68">
        <f t="shared" si="12"/>
        <v>0</v>
      </c>
      <c r="U34" s="68">
        <f t="shared" si="12"/>
        <v>0</v>
      </c>
    </row>
    <row r="35" spans="1:21" s="51" customFormat="1" ht="13" x14ac:dyDescent="0.35">
      <c r="A35" s="10">
        <f>G8</f>
        <v>5</v>
      </c>
      <c r="B35" s="12">
        <v>250</v>
      </c>
      <c r="C35" s="68">
        <f t="shared" si="6"/>
        <v>58.424999999999997</v>
      </c>
      <c r="D35" s="68">
        <f t="shared" si="7"/>
        <v>14.708219999999999</v>
      </c>
      <c r="E35" s="68">
        <f t="shared" si="8"/>
        <v>2.4853125</v>
      </c>
      <c r="F35" s="68">
        <f t="shared" si="9"/>
        <v>8.1200549999999989</v>
      </c>
      <c r="G35" s="68">
        <f t="shared" si="10"/>
        <v>0.13799999999999998</v>
      </c>
      <c r="H35" s="68">
        <f t="shared" si="10"/>
        <v>0.79499999999999993</v>
      </c>
      <c r="I35" s="68">
        <f t="shared" si="10"/>
        <v>4.6500000000000007E-2</v>
      </c>
      <c r="J35" s="68">
        <f t="shared" si="10"/>
        <v>8.25E-4</v>
      </c>
      <c r="K35" s="68">
        <f t="shared" si="10"/>
        <v>9.4500000000000001E-3</v>
      </c>
      <c r="L35" s="68">
        <f t="shared" si="10"/>
        <v>8.9249999999999996E-2</v>
      </c>
      <c r="M35" s="68">
        <f t="shared" si="10"/>
        <v>7.5749999999999998E-2</v>
      </c>
      <c r="N35" s="68">
        <f t="shared" si="10"/>
        <v>16.574999999999999</v>
      </c>
      <c r="O35" s="68">
        <f t="shared" si="10"/>
        <v>2842.5</v>
      </c>
      <c r="P35" s="68">
        <f t="shared" si="10"/>
        <v>0</v>
      </c>
      <c r="Q35" s="68">
        <f t="shared" si="11"/>
        <v>83.062499999999986</v>
      </c>
      <c r="R35" s="68">
        <f t="shared" si="12"/>
        <v>0</v>
      </c>
      <c r="S35" s="68">
        <f t="shared" si="12"/>
        <v>8.5500000000000007E-2</v>
      </c>
      <c r="T35" s="68">
        <f t="shared" si="12"/>
        <v>0</v>
      </c>
      <c r="U35" s="68">
        <f t="shared" si="12"/>
        <v>0</v>
      </c>
    </row>
    <row r="36" spans="1:21" s="51" customFormat="1" ht="13" x14ac:dyDescent="0.35">
      <c r="A36" s="10">
        <f>H8</f>
        <v>6</v>
      </c>
      <c r="B36" s="12">
        <v>250</v>
      </c>
      <c r="C36" s="68">
        <f t="shared" si="6"/>
        <v>58.424999999999997</v>
      </c>
      <c r="D36" s="68">
        <f t="shared" si="7"/>
        <v>14.708219999999999</v>
      </c>
      <c r="E36" s="68">
        <f t="shared" si="8"/>
        <v>2.4853125</v>
      </c>
      <c r="F36" s="68">
        <f t="shared" si="9"/>
        <v>8.1200549999999989</v>
      </c>
      <c r="G36" s="68">
        <f t="shared" si="10"/>
        <v>0.13799999999999998</v>
      </c>
      <c r="H36" s="68">
        <f t="shared" si="10"/>
        <v>0.79499999999999993</v>
      </c>
      <c r="I36" s="68">
        <f t="shared" si="10"/>
        <v>4.6500000000000007E-2</v>
      </c>
      <c r="J36" s="68">
        <f t="shared" si="10"/>
        <v>8.25E-4</v>
      </c>
      <c r="K36" s="68">
        <f t="shared" si="10"/>
        <v>9.4500000000000001E-3</v>
      </c>
      <c r="L36" s="68">
        <f t="shared" si="10"/>
        <v>8.9249999999999996E-2</v>
      </c>
      <c r="M36" s="68">
        <f t="shared" si="10"/>
        <v>7.5749999999999998E-2</v>
      </c>
      <c r="N36" s="68">
        <f t="shared" si="10"/>
        <v>16.574999999999999</v>
      </c>
      <c r="O36" s="68">
        <f t="shared" si="10"/>
        <v>2842.5</v>
      </c>
      <c r="P36" s="68">
        <f t="shared" si="10"/>
        <v>0</v>
      </c>
      <c r="Q36" s="68">
        <f t="shared" si="11"/>
        <v>83.062499999999986</v>
      </c>
      <c r="R36" s="68">
        <f t="shared" si="12"/>
        <v>0</v>
      </c>
      <c r="S36" s="68">
        <f t="shared" si="12"/>
        <v>8.5500000000000007E-2</v>
      </c>
      <c r="T36" s="68">
        <f t="shared" si="12"/>
        <v>0</v>
      </c>
      <c r="U36" s="68">
        <f t="shared" si="12"/>
        <v>0</v>
      </c>
    </row>
    <row r="37" spans="1:21" s="51" customFormat="1" ht="13" x14ac:dyDescent="0.35">
      <c r="A37" s="10">
        <f>I8</f>
        <v>7</v>
      </c>
      <c r="B37" s="12">
        <v>250</v>
      </c>
      <c r="C37" s="68">
        <f t="shared" si="6"/>
        <v>58.424999999999997</v>
      </c>
      <c r="D37" s="68">
        <f t="shared" si="7"/>
        <v>14.708219999999999</v>
      </c>
      <c r="E37" s="68">
        <f t="shared" si="8"/>
        <v>2.4853125</v>
      </c>
      <c r="F37" s="68">
        <f t="shared" si="9"/>
        <v>8.1200549999999989</v>
      </c>
      <c r="G37" s="68">
        <f t="shared" si="10"/>
        <v>0.13799999999999998</v>
      </c>
      <c r="H37" s="68">
        <f t="shared" si="10"/>
        <v>0.79499999999999993</v>
      </c>
      <c r="I37" s="68">
        <f t="shared" si="10"/>
        <v>4.6500000000000007E-2</v>
      </c>
      <c r="J37" s="68">
        <f t="shared" si="10"/>
        <v>8.25E-4</v>
      </c>
      <c r="K37" s="68">
        <f t="shared" si="10"/>
        <v>9.4500000000000001E-3</v>
      </c>
      <c r="L37" s="68">
        <f t="shared" si="10"/>
        <v>8.9249999999999996E-2</v>
      </c>
      <c r="M37" s="68">
        <f t="shared" si="10"/>
        <v>7.5749999999999998E-2</v>
      </c>
      <c r="N37" s="68">
        <f t="shared" si="10"/>
        <v>16.574999999999999</v>
      </c>
      <c r="O37" s="68">
        <f t="shared" si="10"/>
        <v>2842.5</v>
      </c>
      <c r="P37" s="68">
        <f t="shared" si="10"/>
        <v>0</v>
      </c>
      <c r="Q37" s="68">
        <f t="shared" si="11"/>
        <v>83.062499999999986</v>
      </c>
      <c r="R37" s="68">
        <f t="shared" si="12"/>
        <v>0</v>
      </c>
      <c r="S37" s="68">
        <f t="shared" si="12"/>
        <v>8.5500000000000007E-2</v>
      </c>
      <c r="T37" s="68">
        <f t="shared" si="12"/>
        <v>0</v>
      </c>
      <c r="U37" s="68">
        <f t="shared" si="12"/>
        <v>0</v>
      </c>
    </row>
    <row r="38" spans="1:21" s="51" customFormat="1" ht="13" x14ac:dyDescent="0.35">
      <c r="A38" s="10">
        <f>J8</f>
        <v>8</v>
      </c>
      <c r="B38" s="12">
        <v>250</v>
      </c>
      <c r="C38" s="68">
        <f t="shared" si="6"/>
        <v>58.424999999999997</v>
      </c>
      <c r="D38" s="68">
        <f t="shared" si="7"/>
        <v>14.708219999999999</v>
      </c>
      <c r="E38" s="68">
        <f t="shared" si="8"/>
        <v>2.4853125</v>
      </c>
      <c r="F38" s="68">
        <f t="shared" si="9"/>
        <v>8.1200549999999989</v>
      </c>
      <c r="G38" s="68">
        <f t="shared" si="10"/>
        <v>0.13799999999999998</v>
      </c>
      <c r="H38" s="68">
        <f t="shared" si="10"/>
        <v>0.79499999999999993</v>
      </c>
      <c r="I38" s="68">
        <f t="shared" si="10"/>
        <v>4.6500000000000007E-2</v>
      </c>
      <c r="J38" s="68">
        <f t="shared" si="10"/>
        <v>8.25E-4</v>
      </c>
      <c r="K38" s="68">
        <f t="shared" si="10"/>
        <v>9.4500000000000001E-3</v>
      </c>
      <c r="L38" s="68">
        <f t="shared" si="10"/>
        <v>8.9249999999999996E-2</v>
      </c>
      <c r="M38" s="68">
        <f t="shared" si="10"/>
        <v>7.5749999999999998E-2</v>
      </c>
      <c r="N38" s="68">
        <f t="shared" si="10"/>
        <v>16.574999999999999</v>
      </c>
      <c r="O38" s="68">
        <f t="shared" si="10"/>
        <v>2842.5</v>
      </c>
      <c r="P38" s="68">
        <f t="shared" si="10"/>
        <v>0</v>
      </c>
      <c r="Q38" s="68">
        <f t="shared" si="11"/>
        <v>83.062499999999986</v>
      </c>
      <c r="R38" s="68">
        <f t="shared" si="12"/>
        <v>0</v>
      </c>
      <c r="S38" s="68">
        <f t="shared" si="12"/>
        <v>8.5500000000000007E-2</v>
      </c>
      <c r="T38" s="68">
        <f t="shared" si="12"/>
        <v>0</v>
      </c>
      <c r="U38" s="68">
        <f t="shared" si="12"/>
        <v>0</v>
      </c>
    </row>
    <row r="39" spans="1:21" s="51" customFormat="1" ht="13" x14ac:dyDescent="0.35">
      <c r="A39" s="10">
        <f>K8</f>
        <v>9</v>
      </c>
      <c r="B39" s="12">
        <v>250</v>
      </c>
      <c r="C39" s="68">
        <f t="shared" si="6"/>
        <v>58.424999999999997</v>
      </c>
      <c r="D39" s="68">
        <f t="shared" si="7"/>
        <v>14.708219999999999</v>
      </c>
      <c r="E39" s="68">
        <f t="shared" si="8"/>
        <v>2.4853125</v>
      </c>
      <c r="F39" s="68">
        <f t="shared" si="9"/>
        <v>8.1200549999999989</v>
      </c>
      <c r="G39" s="68">
        <f t="shared" si="10"/>
        <v>0.13799999999999998</v>
      </c>
      <c r="H39" s="68">
        <f t="shared" si="10"/>
        <v>0.79499999999999993</v>
      </c>
      <c r="I39" s="68">
        <f t="shared" si="10"/>
        <v>4.6500000000000007E-2</v>
      </c>
      <c r="J39" s="68">
        <f t="shared" si="10"/>
        <v>8.25E-4</v>
      </c>
      <c r="K39" s="68">
        <f t="shared" si="10"/>
        <v>9.4500000000000001E-3</v>
      </c>
      <c r="L39" s="68">
        <f t="shared" si="10"/>
        <v>8.9249999999999996E-2</v>
      </c>
      <c r="M39" s="68">
        <f t="shared" si="10"/>
        <v>7.5749999999999998E-2</v>
      </c>
      <c r="N39" s="68">
        <f t="shared" si="10"/>
        <v>16.574999999999999</v>
      </c>
      <c r="O39" s="68">
        <f t="shared" si="10"/>
        <v>2842.5</v>
      </c>
      <c r="P39" s="68">
        <f t="shared" si="10"/>
        <v>0</v>
      </c>
      <c r="Q39" s="68">
        <f t="shared" si="11"/>
        <v>83.062499999999986</v>
      </c>
      <c r="R39" s="68">
        <f t="shared" si="12"/>
        <v>0</v>
      </c>
      <c r="S39" s="68">
        <f t="shared" si="12"/>
        <v>8.5500000000000007E-2</v>
      </c>
      <c r="T39" s="68">
        <f t="shared" si="12"/>
        <v>0</v>
      </c>
      <c r="U39" s="68">
        <f t="shared" si="12"/>
        <v>0</v>
      </c>
    </row>
    <row r="40" spans="1:21" s="51" customFormat="1" ht="13" x14ac:dyDescent="0.35">
      <c r="A40" s="10">
        <f>L8</f>
        <v>10</v>
      </c>
      <c r="B40" s="12">
        <v>250</v>
      </c>
      <c r="C40" s="68">
        <f t="shared" si="6"/>
        <v>58.424999999999997</v>
      </c>
      <c r="D40" s="68">
        <f t="shared" si="7"/>
        <v>14.708219999999999</v>
      </c>
      <c r="E40" s="68">
        <f t="shared" si="8"/>
        <v>2.4853125</v>
      </c>
      <c r="F40" s="68">
        <f t="shared" si="9"/>
        <v>8.1200549999999989</v>
      </c>
      <c r="G40" s="68">
        <f t="shared" si="10"/>
        <v>0.13799999999999998</v>
      </c>
      <c r="H40" s="68">
        <f t="shared" si="10"/>
        <v>0.79499999999999993</v>
      </c>
      <c r="I40" s="68">
        <f t="shared" si="10"/>
        <v>4.6500000000000007E-2</v>
      </c>
      <c r="J40" s="68">
        <f t="shared" si="10"/>
        <v>8.25E-4</v>
      </c>
      <c r="K40" s="68">
        <f t="shared" si="10"/>
        <v>9.4500000000000001E-3</v>
      </c>
      <c r="L40" s="68">
        <f t="shared" si="10"/>
        <v>8.9249999999999996E-2</v>
      </c>
      <c r="M40" s="68">
        <f t="shared" si="10"/>
        <v>7.5749999999999998E-2</v>
      </c>
      <c r="N40" s="68">
        <f t="shared" si="10"/>
        <v>16.574999999999999</v>
      </c>
      <c r="O40" s="68">
        <f t="shared" si="10"/>
        <v>2842.5</v>
      </c>
      <c r="P40" s="68">
        <f t="shared" si="10"/>
        <v>0</v>
      </c>
      <c r="Q40" s="68">
        <f t="shared" si="11"/>
        <v>83.062499999999986</v>
      </c>
      <c r="R40" s="68">
        <f t="shared" si="12"/>
        <v>0</v>
      </c>
      <c r="S40" s="68">
        <f t="shared" si="12"/>
        <v>8.5500000000000007E-2</v>
      </c>
      <c r="T40" s="68">
        <f t="shared" si="12"/>
        <v>0</v>
      </c>
      <c r="U40" s="68">
        <f t="shared" si="12"/>
        <v>0</v>
      </c>
    </row>
    <row r="41" spans="1:21" s="51" customFormat="1" ht="13" x14ac:dyDescent="0.35">
      <c r="A41" s="10">
        <f>M8</f>
        <v>11</v>
      </c>
      <c r="B41" s="12">
        <v>250</v>
      </c>
      <c r="C41" s="68">
        <f t="shared" si="6"/>
        <v>58.424999999999997</v>
      </c>
      <c r="D41" s="68">
        <f t="shared" si="7"/>
        <v>14.708219999999999</v>
      </c>
      <c r="E41" s="68">
        <f t="shared" si="8"/>
        <v>2.4853125</v>
      </c>
      <c r="F41" s="68">
        <f t="shared" si="9"/>
        <v>8.1200549999999989</v>
      </c>
      <c r="G41" s="68">
        <f t="shared" si="10"/>
        <v>0.13799999999999998</v>
      </c>
      <c r="H41" s="68">
        <f t="shared" si="10"/>
        <v>0.79499999999999993</v>
      </c>
      <c r="I41" s="68">
        <f t="shared" si="10"/>
        <v>4.6500000000000007E-2</v>
      </c>
      <c r="J41" s="68">
        <f t="shared" si="10"/>
        <v>8.25E-4</v>
      </c>
      <c r="K41" s="68">
        <f t="shared" si="10"/>
        <v>9.4500000000000001E-3</v>
      </c>
      <c r="L41" s="68">
        <f t="shared" si="10"/>
        <v>8.9249999999999996E-2</v>
      </c>
      <c r="M41" s="68">
        <f t="shared" si="10"/>
        <v>7.5749999999999998E-2</v>
      </c>
      <c r="N41" s="68">
        <f t="shared" si="10"/>
        <v>16.574999999999999</v>
      </c>
      <c r="O41" s="68">
        <f t="shared" si="10"/>
        <v>2842.5</v>
      </c>
      <c r="P41" s="68">
        <f t="shared" si="10"/>
        <v>0</v>
      </c>
      <c r="Q41" s="68">
        <f t="shared" si="11"/>
        <v>83.062499999999986</v>
      </c>
      <c r="R41" s="68">
        <f t="shared" si="12"/>
        <v>0</v>
      </c>
      <c r="S41" s="68">
        <f t="shared" si="12"/>
        <v>8.5500000000000007E-2</v>
      </c>
      <c r="T41" s="68">
        <f t="shared" si="12"/>
        <v>0</v>
      </c>
      <c r="U41" s="68">
        <f t="shared" si="12"/>
        <v>0</v>
      </c>
    </row>
    <row r="42" spans="1:21" s="51" customFormat="1" ht="13" x14ac:dyDescent="0.35">
      <c r="A42" s="10">
        <f>N8</f>
        <v>12</v>
      </c>
      <c r="B42" s="12">
        <v>250</v>
      </c>
      <c r="C42" s="68">
        <f t="shared" si="6"/>
        <v>58.424999999999997</v>
      </c>
      <c r="D42" s="68">
        <f t="shared" si="7"/>
        <v>14.708219999999999</v>
      </c>
      <c r="E42" s="68">
        <f t="shared" si="8"/>
        <v>2.4853125</v>
      </c>
      <c r="F42" s="68">
        <f t="shared" si="9"/>
        <v>8.1200549999999989</v>
      </c>
      <c r="G42" s="68">
        <f t="shared" si="10"/>
        <v>0.13799999999999998</v>
      </c>
      <c r="H42" s="68">
        <f t="shared" si="10"/>
        <v>0.79499999999999993</v>
      </c>
      <c r="I42" s="68">
        <f t="shared" si="10"/>
        <v>4.6500000000000007E-2</v>
      </c>
      <c r="J42" s="68">
        <f t="shared" si="10"/>
        <v>8.25E-4</v>
      </c>
      <c r="K42" s="68">
        <f t="shared" si="10"/>
        <v>9.4500000000000001E-3</v>
      </c>
      <c r="L42" s="68">
        <f t="shared" si="10"/>
        <v>8.9249999999999996E-2</v>
      </c>
      <c r="M42" s="68">
        <f t="shared" si="10"/>
        <v>7.5749999999999998E-2</v>
      </c>
      <c r="N42" s="68">
        <f t="shared" si="10"/>
        <v>16.574999999999999</v>
      </c>
      <c r="O42" s="68">
        <f t="shared" si="10"/>
        <v>2842.5</v>
      </c>
      <c r="P42" s="68">
        <f t="shared" si="10"/>
        <v>0</v>
      </c>
      <c r="Q42" s="68">
        <f t="shared" si="11"/>
        <v>83.062499999999986</v>
      </c>
      <c r="R42" s="68">
        <f t="shared" si="12"/>
        <v>0</v>
      </c>
      <c r="S42" s="68">
        <f t="shared" si="12"/>
        <v>8.5500000000000007E-2</v>
      </c>
      <c r="T42" s="68">
        <f t="shared" si="12"/>
        <v>0</v>
      </c>
      <c r="U42" s="68">
        <f t="shared" si="12"/>
        <v>0</v>
      </c>
    </row>
    <row r="43" spans="1:21" s="51" customFormat="1" ht="13" x14ac:dyDescent="0.35">
      <c r="A43" s="10">
        <f>O8</f>
        <v>13</v>
      </c>
      <c r="B43" s="12">
        <v>250</v>
      </c>
      <c r="C43" s="68">
        <f t="shared" si="6"/>
        <v>58.424999999999997</v>
      </c>
      <c r="D43" s="68">
        <f t="shared" si="7"/>
        <v>14.708219999999999</v>
      </c>
      <c r="E43" s="68">
        <f t="shared" si="8"/>
        <v>2.4853125</v>
      </c>
      <c r="F43" s="68">
        <f t="shared" si="9"/>
        <v>8.1200549999999989</v>
      </c>
      <c r="G43" s="68">
        <f t="shared" si="10"/>
        <v>0.13799999999999998</v>
      </c>
      <c r="H43" s="68">
        <f t="shared" si="10"/>
        <v>0.79499999999999993</v>
      </c>
      <c r="I43" s="68">
        <f t="shared" si="10"/>
        <v>4.6500000000000007E-2</v>
      </c>
      <c r="J43" s="68">
        <f t="shared" si="10"/>
        <v>8.25E-4</v>
      </c>
      <c r="K43" s="68">
        <f t="shared" si="10"/>
        <v>9.4500000000000001E-3</v>
      </c>
      <c r="L43" s="68">
        <f t="shared" si="10"/>
        <v>8.9249999999999996E-2</v>
      </c>
      <c r="M43" s="68">
        <f t="shared" si="10"/>
        <v>7.5749999999999998E-2</v>
      </c>
      <c r="N43" s="68">
        <f t="shared" si="10"/>
        <v>16.574999999999999</v>
      </c>
      <c r="O43" s="68">
        <f t="shared" si="10"/>
        <v>2842.5</v>
      </c>
      <c r="P43" s="68">
        <f t="shared" si="10"/>
        <v>0</v>
      </c>
      <c r="Q43" s="68">
        <f t="shared" si="11"/>
        <v>83.062499999999986</v>
      </c>
      <c r="R43" s="68">
        <f t="shared" si="12"/>
        <v>0</v>
      </c>
      <c r="S43" s="68">
        <f t="shared" si="12"/>
        <v>8.5500000000000007E-2</v>
      </c>
      <c r="T43" s="68">
        <f t="shared" si="12"/>
        <v>0</v>
      </c>
      <c r="U43" s="68">
        <f t="shared" si="12"/>
        <v>0</v>
      </c>
    </row>
    <row r="44" spans="1:21" s="51" customFormat="1" ht="13" x14ac:dyDescent="0.35">
      <c r="A44" s="10">
        <f>P8</f>
        <v>15</v>
      </c>
      <c r="B44" s="12">
        <v>250</v>
      </c>
      <c r="C44" s="68">
        <f t="shared" si="6"/>
        <v>58.424999999999997</v>
      </c>
      <c r="D44" s="68">
        <f t="shared" si="7"/>
        <v>14.708219999999999</v>
      </c>
      <c r="E44" s="68">
        <f t="shared" si="8"/>
        <v>2.4853125</v>
      </c>
      <c r="F44" s="68">
        <f t="shared" si="9"/>
        <v>8.1200549999999989</v>
      </c>
      <c r="G44" s="68">
        <f t="shared" si="10"/>
        <v>0.13799999999999998</v>
      </c>
      <c r="H44" s="68">
        <f t="shared" si="10"/>
        <v>0.79499999999999993</v>
      </c>
      <c r="I44" s="68">
        <f t="shared" si="10"/>
        <v>4.6500000000000007E-2</v>
      </c>
      <c r="J44" s="68">
        <f t="shared" si="10"/>
        <v>8.25E-4</v>
      </c>
      <c r="K44" s="68">
        <f t="shared" si="10"/>
        <v>9.4500000000000001E-3</v>
      </c>
      <c r="L44" s="68">
        <f t="shared" si="10"/>
        <v>8.9249999999999996E-2</v>
      </c>
      <c r="M44" s="68">
        <f t="shared" si="10"/>
        <v>7.5749999999999998E-2</v>
      </c>
      <c r="N44" s="68">
        <f t="shared" si="10"/>
        <v>16.574999999999999</v>
      </c>
      <c r="O44" s="68">
        <f t="shared" si="10"/>
        <v>2842.5</v>
      </c>
      <c r="P44" s="68">
        <f t="shared" si="10"/>
        <v>0</v>
      </c>
      <c r="Q44" s="68">
        <f t="shared" si="11"/>
        <v>83.062499999999986</v>
      </c>
      <c r="R44" s="68">
        <f t="shared" si="12"/>
        <v>0</v>
      </c>
      <c r="S44" s="68">
        <f t="shared" si="12"/>
        <v>8.5500000000000007E-2</v>
      </c>
      <c r="T44" s="68">
        <f t="shared" si="12"/>
        <v>0</v>
      </c>
      <c r="U44" s="68">
        <f t="shared" si="12"/>
        <v>0</v>
      </c>
    </row>
    <row r="45" spans="1:21" s="51" customFormat="1" ht="13" x14ac:dyDescent="0.35">
      <c r="A45" s="10">
        <f>Q8</f>
        <v>16</v>
      </c>
      <c r="B45" s="12">
        <v>250</v>
      </c>
      <c r="C45" s="68">
        <f t="shared" si="6"/>
        <v>58.424999999999997</v>
      </c>
      <c r="D45" s="68">
        <f t="shared" si="7"/>
        <v>14.708219999999999</v>
      </c>
      <c r="E45" s="68">
        <f t="shared" si="8"/>
        <v>2.4853125</v>
      </c>
      <c r="F45" s="68">
        <f t="shared" si="9"/>
        <v>8.1200549999999989</v>
      </c>
      <c r="G45" s="68">
        <f t="shared" si="10"/>
        <v>0.13799999999999998</v>
      </c>
      <c r="H45" s="68">
        <f t="shared" si="10"/>
        <v>0.79499999999999993</v>
      </c>
      <c r="I45" s="68">
        <f t="shared" si="10"/>
        <v>4.6500000000000007E-2</v>
      </c>
      <c r="J45" s="68">
        <f t="shared" si="10"/>
        <v>8.25E-4</v>
      </c>
      <c r="K45" s="68">
        <f t="shared" si="10"/>
        <v>9.4500000000000001E-3</v>
      </c>
      <c r="L45" s="68">
        <f t="shared" si="10"/>
        <v>8.9249999999999996E-2</v>
      </c>
      <c r="M45" s="68">
        <f t="shared" si="10"/>
        <v>7.5749999999999998E-2</v>
      </c>
      <c r="N45" s="68">
        <f t="shared" si="10"/>
        <v>16.574999999999999</v>
      </c>
      <c r="O45" s="68">
        <f t="shared" si="10"/>
        <v>2842.5</v>
      </c>
      <c r="P45" s="68">
        <f t="shared" si="10"/>
        <v>0</v>
      </c>
      <c r="Q45" s="68">
        <f t="shared" si="11"/>
        <v>83.062499999999986</v>
      </c>
      <c r="R45" s="68">
        <f t="shared" si="12"/>
        <v>0</v>
      </c>
      <c r="S45" s="68">
        <f t="shared" si="12"/>
        <v>8.5500000000000007E-2</v>
      </c>
      <c r="T45" s="68">
        <f t="shared" si="12"/>
        <v>0</v>
      </c>
      <c r="U45" s="68">
        <f t="shared" si="12"/>
        <v>0</v>
      </c>
    </row>
    <row r="46" spans="1:21" s="51" customFormat="1" ht="13" x14ac:dyDescent="0.35">
      <c r="A46" s="10">
        <f>R8</f>
        <v>21</v>
      </c>
      <c r="B46" s="12">
        <v>250</v>
      </c>
      <c r="C46" s="68">
        <f t="shared" si="6"/>
        <v>58.424999999999997</v>
      </c>
      <c r="D46" s="68">
        <f t="shared" si="7"/>
        <v>14.708219999999999</v>
      </c>
      <c r="E46" s="68">
        <f t="shared" si="8"/>
        <v>2.4853125</v>
      </c>
      <c r="F46" s="68">
        <f t="shared" si="9"/>
        <v>8.1200549999999989</v>
      </c>
      <c r="G46" s="68">
        <f t="shared" si="10"/>
        <v>0.13799999999999998</v>
      </c>
      <c r="H46" s="68">
        <f t="shared" si="10"/>
        <v>0.79499999999999993</v>
      </c>
      <c r="I46" s="68">
        <f t="shared" si="10"/>
        <v>4.6500000000000007E-2</v>
      </c>
      <c r="J46" s="68">
        <f t="shared" si="10"/>
        <v>8.25E-4</v>
      </c>
      <c r="K46" s="68">
        <f t="shared" si="10"/>
        <v>9.4500000000000001E-3</v>
      </c>
      <c r="L46" s="68">
        <f t="shared" si="10"/>
        <v>8.9249999999999996E-2</v>
      </c>
      <c r="M46" s="68">
        <f t="shared" si="10"/>
        <v>7.5749999999999998E-2</v>
      </c>
      <c r="N46" s="68">
        <f t="shared" si="10"/>
        <v>16.574999999999999</v>
      </c>
      <c r="O46" s="68">
        <f t="shared" si="10"/>
        <v>2842.5</v>
      </c>
      <c r="P46" s="68">
        <f t="shared" si="10"/>
        <v>0</v>
      </c>
      <c r="Q46" s="68">
        <f t="shared" si="11"/>
        <v>83.062499999999986</v>
      </c>
      <c r="R46" s="68">
        <f t="shared" si="12"/>
        <v>0</v>
      </c>
      <c r="S46" s="68">
        <f t="shared" si="12"/>
        <v>8.5500000000000007E-2</v>
      </c>
      <c r="T46" s="68">
        <f t="shared" si="12"/>
        <v>0</v>
      </c>
      <c r="U46" s="68">
        <f t="shared" si="12"/>
        <v>0</v>
      </c>
    </row>
    <row r="47" spans="1:21" s="51" customFormat="1" ht="13" x14ac:dyDescent="0.35">
      <c r="A47" s="10">
        <f>S8</f>
        <v>22</v>
      </c>
      <c r="B47" s="12">
        <v>250</v>
      </c>
      <c r="C47" s="68">
        <f t="shared" si="6"/>
        <v>58.424999999999997</v>
      </c>
      <c r="D47" s="68">
        <f t="shared" si="7"/>
        <v>14.708219999999999</v>
      </c>
      <c r="E47" s="68">
        <f t="shared" si="8"/>
        <v>2.4853125</v>
      </c>
      <c r="F47" s="68">
        <f t="shared" si="9"/>
        <v>8.1200549999999989</v>
      </c>
      <c r="G47" s="68">
        <f t="shared" si="10"/>
        <v>0.13799999999999998</v>
      </c>
      <c r="H47" s="68">
        <f t="shared" si="10"/>
        <v>0.79499999999999993</v>
      </c>
      <c r="I47" s="68">
        <f t="shared" si="10"/>
        <v>4.6500000000000007E-2</v>
      </c>
      <c r="J47" s="68">
        <f t="shared" si="10"/>
        <v>8.25E-4</v>
      </c>
      <c r="K47" s="68">
        <f t="shared" si="10"/>
        <v>9.4500000000000001E-3</v>
      </c>
      <c r="L47" s="68">
        <f t="shared" si="10"/>
        <v>8.9249999999999996E-2</v>
      </c>
      <c r="M47" s="68">
        <f t="shared" si="10"/>
        <v>7.5749999999999998E-2</v>
      </c>
      <c r="N47" s="68">
        <f t="shared" si="10"/>
        <v>16.574999999999999</v>
      </c>
      <c r="O47" s="68">
        <f t="shared" si="10"/>
        <v>2842.5</v>
      </c>
      <c r="P47" s="68">
        <f t="shared" si="10"/>
        <v>0</v>
      </c>
      <c r="Q47" s="68">
        <f t="shared" si="11"/>
        <v>83.062499999999986</v>
      </c>
      <c r="R47" s="68">
        <f t="shared" si="12"/>
        <v>0</v>
      </c>
      <c r="S47" s="68">
        <f t="shared" si="12"/>
        <v>8.5500000000000007E-2</v>
      </c>
      <c r="T47" s="68">
        <f t="shared" si="12"/>
        <v>0</v>
      </c>
      <c r="U47" s="68">
        <f t="shared" si="12"/>
        <v>0</v>
      </c>
    </row>
    <row r="48" spans="1:21" s="51" customFormat="1" ht="13" x14ac:dyDescent="0.35">
      <c r="A48" s="10">
        <f>T8</f>
        <v>23</v>
      </c>
      <c r="B48" s="12">
        <v>250</v>
      </c>
      <c r="C48" s="68">
        <f t="shared" si="6"/>
        <v>58.424999999999997</v>
      </c>
      <c r="D48" s="68">
        <f t="shared" si="7"/>
        <v>14.708219999999999</v>
      </c>
      <c r="E48" s="68">
        <f t="shared" si="8"/>
        <v>2.4853125</v>
      </c>
      <c r="F48" s="68">
        <f t="shared" si="9"/>
        <v>8.1200549999999989</v>
      </c>
      <c r="G48" s="68">
        <f t="shared" si="10"/>
        <v>0.13799999999999998</v>
      </c>
      <c r="H48" s="68">
        <f t="shared" si="10"/>
        <v>0.79499999999999993</v>
      </c>
      <c r="I48" s="68">
        <f t="shared" si="10"/>
        <v>4.6500000000000007E-2</v>
      </c>
      <c r="J48" s="68">
        <f t="shared" si="10"/>
        <v>8.25E-4</v>
      </c>
      <c r="K48" s="68">
        <f t="shared" si="10"/>
        <v>9.4500000000000001E-3</v>
      </c>
      <c r="L48" s="68">
        <f t="shared" si="10"/>
        <v>8.9249999999999996E-2</v>
      </c>
      <c r="M48" s="68">
        <f t="shared" si="10"/>
        <v>7.5749999999999998E-2</v>
      </c>
      <c r="N48" s="68">
        <f t="shared" si="10"/>
        <v>16.574999999999999</v>
      </c>
      <c r="O48" s="68">
        <f t="shared" si="10"/>
        <v>2842.5</v>
      </c>
      <c r="P48" s="68">
        <f t="shared" si="10"/>
        <v>0</v>
      </c>
      <c r="Q48" s="68">
        <f t="shared" si="11"/>
        <v>83.062499999999986</v>
      </c>
      <c r="R48" s="68">
        <f t="shared" si="12"/>
        <v>0</v>
      </c>
      <c r="S48" s="68">
        <f t="shared" si="12"/>
        <v>8.5500000000000007E-2</v>
      </c>
      <c r="T48" s="68">
        <f t="shared" si="12"/>
        <v>0</v>
      </c>
      <c r="U48" s="68">
        <f t="shared" si="12"/>
        <v>0</v>
      </c>
    </row>
    <row r="49" spans="1:21" s="51" customFormat="1" ht="13" x14ac:dyDescent="0.35">
      <c r="A49" s="10">
        <f>U8</f>
        <v>7078</v>
      </c>
      <c r="B49" s="12">
        <v>250</v>
      </c>
      <c r="C49" s="68">
        <f t="shared" si="6"/>
        <v>58.424999999999997</v>
      </c>
      <c r="D49" s="68">
        <f t="shared" si="7"/>
        <v>14.708219999999999</v>
      </c>
      <c r="E49" s="68">
        <f t="shared" si="8"/>
        <v>2.4853125</v>
      </c>
      <c r="F49" s="68">
        <f t="shared" si="9"/>
        <v>8.1200549999999989</v>
      </c>
      <c r="G49" s="68">
        <f t="shared" si="10"/>
        <v>0.13799999999999998</v>
      </c>
      <c r="H49" s="68">
        <f t="shared" si="10"/>
        <v>0.79499999999999993</v>
      </c>
      <c r="I49" s="68">
        <f t="shared" si="10"/>
        <v>4.6500000000000007E-2</v>
      </c>
      <c r="J49" s="68">
        <f t="shared" si="10"/>
        <v>8.25E-4</v>
      </c>
      <c r="K49" s="68">
        <f t="shared" si="10"/>
        <v>9.4500000000000001E-3</v>
      </c>
      <c r="L49" s="68">
        <f t="shared" si="10"/>
        <v>8.9249999999999996E-2</v>
      </c>
      <c r="M49" s="68">
        <f t="shared" si="10"/>
        <v>7.5749999999999998E-2</v>
      </c>
      <c r="N49" s="68">
        <f t="shared" si="10"/>
        <v>16.574999999999999</v>
      </c>
      <c r="O49" s="68">
        <f t="shared" si="10"/>
        <v>2842.5</v>
      </c>
      <c r="P49" s="68">
        <f t="shared" si="10"/>
        <v>0</v>
      </c>
      <c r="Q49" s="68">
        <f t="shared" si="11"/>
        <v>83.062499999999986</v>
      </c>
      <c r="R49" s="68">
        <f t="shared" si="12"/>
        <v>0</v>
      </c>
      <c r="S49" s="68">
        <f t="shared" si="12"/>
        <v>8.5500000000000007E-2</v>
      </c>
      <c r="T49" s="68">
        <f t="shared" si="12"/>
        <v>0</v>
      </c>
      <c r="U49" s="68">
        <f t="shared" si="12"/>
        <v>0</v>
      </c>
    </row>
    <row r="50" spans="1:21" s="51" customFormat="1" ht="13.5" thickBot="1" x14ac:dyDescent="0.4">
      <c r="A50" s="11">
        <f>V8</f>
        <v>7058</v>
      </c>
      <c r="B50" s="12">
        <v>250</v>
      </c>
      <c r="C50" s="87">
        <f t="shared" si="6"/>
        <v>58.424999999999997</v>
      </c>
      <c r="D50" s="87">
        <f t="shared" si="7"/>
        <v>14.708219999999999</v>
      </c>
      <c r="E50" s="87">
        <f t="shared" si="8"/>
        <v>2.4853125</v>
      </c>
      <c r="F50" s="87">
        <f t="shared" si="9"/>
        <v>8.1200549999999989</v>
      </c>
      <c r="G50" s="87">
        <f t="shared" si="10"/>
        <v>0.13799999999999998</v>
      </c>
      <c r="H50" s="87">
        <f t="shared" si="10"/>
        <v>0.79499999999999993</v>
      </c>
      <c r="I50" s="87">
        <f t="shared" si="10"/>
        <v>4.6500000000000007E-2</v>
      </c>
      <c r="J50" s="87">
        <f t="shared" si="10"/>
        <v>8.25E-4</v>
      </c>
      <c r="K50" s="87">
        <f t="shared" si="10"/>
        <v>9.4500000000000001E-3</v>
      </c>
      <c r="L50" s="87">
        <f t="shared" si="10"/>
        <v>8.9249999999999996E-2</v>
      </c>
      <c r="M50" s="87">
        <f t="shared" si="10"/>
        <v>7.5749999999999998E-2</v>
      </c>
      <c r="N50" s="87">
        <f t="shared" si="10"/>
        <v>16.574999999999999</v>
      </c>
      <c r="O50" s="87">
        <f t="shared" si="10"/>
        <v>2842.5</v>
      </c>
      <c r="P50" s="87">
        <f t="shared" si="10"/>
        <v>0</v>
      </c>
      <c r="Q50" s="87">
        <f t="shared" si="11"/>
        <v>83.062499999999986</v>
      </c>
      <c r="R50" s="87">
        <f t="shared" si="12"/>
        <v>0</v>
      </c>
      <c r="S50" s="87">
        <f t="shared" si="12"/>
        <v>8.5500000000000007E-2</v>
      </c>
      <c r="T50" s="87">
        <f t="shared" si="12"/>
        <v>0</v>
      </c>
      <c r="U50" s="8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21" ht="13" x14ac:dyDescent="0.3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str">
        <f>R16&amp;" I "&amp;(VLOOKUP(R14,Table24[],6,FALSE))</f>
        <v>Medium/Clay I Grass</v>
      </c>
      <c r="R58" s="10" t="str">
        <f>S16&amp;" I "&amp;(VLOOKUP(S14,Table24[],6,FALSE))</f>
        <v>Medium/Clay I Grass</v>
      </c>
      <c r="S58" s="10" t="str">
        <f>T16&amp;" I "&amp;(VLOOKUP(T14,Table24[],6,FALSE))</f>
        <v>Medium/Clay I Grass</v>
      </c>
      <c r="T58" s="10" t="str">
        <f>U16&amp;" I "&amp;(VLOOKUP(U14,Table24[],6,FALSE))</f>
        <v>Medium/Clay I Grass</v>
      </c>
      <c r="U58" s="10" t="str">
        <f>V16&amp;" I "&amp;(VLOOKUP(V14,Table24[],6,FALSE))</f>
        <v>Medium/Clay I Grass</v>
      </c>
    </row>
    <row r="59" spans="1:21" ht="13" x14ac:dyDescent="0.3">
      <c r="A59" s="100" t="s">
        <v>132</v>
      </c>
      <c r="B59" s="67">
        <f>VLOOKUP(C$14,Table24[],5,FALSE)</f>
        <v>6.2</v>
      </c>
      <c r="C59" s="67">
        <f>VLOOKUP(D$14,Table24[],5,FALSE)</f>
        <v>6.2</v>
      </c>
      <c r="D59" s="67">
        <f>VLOOKUP(E$14,Table24[],5,FALSE)</f>
        <v>6.2</v>
      </c>
      <c r="E59" s="67">
        <f>VLOOKUP(F$14,Table24[],5,FALSE)</f>
        <v>6.2</v>
      </c>
      <c r="F59" s="67">
        <f>VLOOKUP(G$14,Table24[],5,FALSE)</f>
        <v>6.2</v>
      </c>
      <c r="G59" s="67">
        <f>VLOOKUP(H$14,Table24[],5,FALSE)</f>
        <v>6.2</v>
      </c>
      <c r="H59" s="67">
        <f>VLOOKUP(I$14,Table24[],5,FALSE)</f>
        <v>6.2</v>
      </c>
      <c r="I59" s="67">
        <f>VLOOKUP(J$14,Table24[],5,FALSE)</f>
        <v>6.2</v>
      </c>
      <c r="J59" s="67">
        <f>VLOOKUP(K$14,Table24[],5,FALSE)</f>
        <v>6.2</v>
      </c>
      <c r="K59" s="67">
        <f>VLOOKUP(L$14,Table24[],5,FALSE)</f>
        <v>6.2</v>
      </c>
      <c r="L59" s="67">
        <f>VLOOKUP(M$14,Table24[],5,FALSE)</f>
        <v>6.2</v>
      </c>
      <c r="M59" s="67">
        <f>VLOOKUP(N$14,Table24[],5,FALSE)</f>
        <v>6.2</v>
      </c>
      <c r="N59" s="67">
        <f>VLOOKUP(O$14,Table24[],5,FALSE)</f>
        <v>6.2</v>
      </c>
      <c r="O59" s="67">
        <f>VLOOKUP(P$14,Table24[],5,FALSE)</f>
        <v>6.2</v>
      </c>
      <c r="P59" s="67">
        <f>VLOOKUP(Q$14,Table24[],5,FALSE)</f>
        <v>6.2</v>
      </c>
      <c r="Q59" s="67">
        <f>VLOOKUP(R$14,Table24[],5,FALSE)</f>
        <v>6.2</v>
      </c>
      <c r="R59" s="67">
        <f>VLOOKUP(S$14,Table24[],5,FALSE)</f>
        <v>6.2</v>
      </c>
      <c r="S59" s="67">
        <f>VLOOKUP(T$14,Table24[],5,FALSE)</f>
        <v>6.2</v>
      </c>
      <c r="T59" s="67">
        <f>VLOOKUP(U$14,Table24[],5,FALSE)</f>
        <v>6.2</v>
      </c>
      <c r="U59" s="67">
        <f>VLOOKUP(V$14,Table24[],5,FALSE)</f>
        <v>6.2</v>
      </c>
    </row>
    <row r="60" spans="1:21" ht="13" x14ac:dyDescent="0.3">
      <c r="A60" s="100" t="s">
        <v>4</v>
      </c>
      <c r="B60" s="67">
        <f>C10</f>
        <v>7.1</v>
      </c>
      <c r="C60" s="67">
        <f t="shared" ref="C60:U60" si="14">D10</f>
        <v>6.9</v>
      </c>
      <c r="D60" s="67">
        <f t="shared" si="14"/>
        <v>7.7</v>
      </c>
      <c r="E60" s="67">
        <f t="shared" si="14"/>
        <v>6.9</v>
      </c>
      <c r="F60" s="67">
        <f t="shared" si="14"/>
        <v>6.9</v>
      </c>
      <c r="G60" s="67">
        <f t="shared" si="14"/>
        <v>6.3</v>
      </c>
      <c r="H60" s="67">
        <f t="shared" si="14"/>
        <v>7.9</v>
      </c>
      <c r="I60" s="67">
        <f t="shared" si="14"/>
        <v>6.8</v>
      </c>
      <c r="J60" s="67">
        <f t="shared" si="14"/>
        <v>6.7</v>
      </c>
      <c r="K60" s="67">
        <f t="shared" si="14"/>
        <v>6.8</v>
      </c>
      <c r="L60" s="67">
        <f t="shared" si="14"/>
        <v>6.9</v>
      </c>
      <c r="M60" s="67">
        <f t="shared" si="14"/>
        <v>7</v>
      </c>
      <c r="N60" s="67">
        <f t="shared" si="14"/>
        <v>7</v>
      </c>
      <c r="O60" s="67">
        <f t="shared" si="14"/>
        <v>6.8</v>
      </c>
      <c r="P60" s="67">
        <f t="shared" si="14"/>
        <v>6.9</v>
      </c>
      <c r="Q60" s="67">
        <f t="shared" si="14"/>
        <v>6.7</v>
      </c>
      <c r="R60" s="67">
        <f t="shared" si="14"/>
        <v>6.3</v>
      </c>
      <c r="S60" s="67">
        <f t="shared" si="14"/>
        <v>6</v>
      </c>
      <c r="T60" s="67">
        <f t="shared" si="14"/>
        <v>6.8</v>
      </c>
      <c r="U60" s="67">
        <f t="shared" si="14"/>
        <v>6.9</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f t="shared" si="15"/>
        <v>6</v>
      </c>
      <c r="U61" s="67">
        <f t="shared" si="15"/>
        <v>6</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250</v>
      </c>
      <c r="O62" s="68">
        <f>B44</f>
        <v>250</v>
      </c>
      <c r="P62" s="68">
        <f>B45</f>
        <v>250</v>
      </c>
      <c r="Q62" s="68">
        <f>B46</f>
        <v>250</v>
      </c>
      <c r="R62" s="68">
        <f>B47</f>
        <v>250</v>
      </c>
      <c r="S62" s="68">
        <f>B48</f>
        <v>250</v>
      </c>
      <c r="T62" s="68">
        <f>B49</f>
        <v>250</v>
      </c>
      <c r="U62" s="68">
        <f>B50</f>
        <v>250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-5.3999999999999968</v>
      </c>
      <c r="C64" s="68">
        <f t="shared" ref="C64:U64" si="17">(C59-C60)*C61</f>
        <v>-4.2000000000000011</v>
      </c>
      <c r="D64" s="68">
        <f t="shared" si="17"/>
        <v>-9</v>
      </c>
      <c r="E64" s="68">
        <f t="shared" si="17"/>
        <v>-4.2000000000000011</v>
      </c>
      <c r="F64" s="68">
        <f t="shared" si="17"/>
        <v>-4.2000000000000011</v>
      </c>
      <c r="G64" s="68">
        <f t="shared" si="17"/>
        <v>-0.59999999999999787</v>
      </c>
      <c r="H64" s="68">
        <f t="shared" si="17"/>
        <v>-10.200000000000001</v>
      </c>
      <c r="I64" s="68">
        <f t="shared" si="17"/>
        <v>-3.5999999999999979</v>
      </c>
      <c r="J64" s="68">
        <f t="shared" si="17"/>
        <v>-3</v>
      </c>
      <c r="K64" s="68">
        <f t="shared" si="17"/>
        <v>-3.5999999999999979</v>
      </c>
      <c r="L64" s="68">
        <f t="shared" si="17"/>
        <v>-4.2000000000000011</v>
      </c>
      <c r="M64" s="68">
        <f t="shared" si="17"/>
        <v>-4.7999999999999989</v>
      </c>
      <c r="N64" s="68">
        <f t="shared" si="17"/>
        <v>-4.7999999999999989</v>
      </c>
      <c r="O64" s="68">
        <f t="shared" si="17"/>
        <v>-3.5999999999999979</v>
      </c>
      <c r="P64" s="68">
        <f t="shared" si="17"/>
        <v>-4.2000000000000011</v>
      </c>
      <c r="Q64" s="68">
        <f t="shared" si="17"/>
        <v>-3</v>
      </c>
      <c r="R64" s="68">
        <f t="shared" si="17"/>
        <v>-0.59999999999999787</v>
      </c>
      <c r="S64" s="68">
        <f t="shared" si="17"/>
        <v>1.2000000000000011</v>
      </c>
      <c r="T64" s="68">
        <f t="shared" si="17"/>
        <v>-3.5999999999999979</v>
      </c>
      <c r="U64" s="68">
        <f t="shared" si="17"/>
        <v>-4.2000000000000011</v>
      </c>
    </row>
    <row r="65" spans="1:21" ht="52" x14ac:dyDescent="0.3">
      <c r="A65" s="101" t="s">
        <v>157</v>
      </c>
      <c r="B65" s="68">
        <f>B63-B64</f>
        <v>5.3999999999999968</v>
      </c>
      <c r="C65" s="68">
        <f t="shared" ref="C65:U65" si="18">C63-C64</f>
        <v>4.2000000000000011</v>
      </c>
      <c r="D65" s="68">
        <f t="shared" si="18"/>
        <v>9</v>
      </c>
      <c r="E65" s="68">
        <f t="shared" si="18"/>
        <v>4.2000000000000011</v>
      </c>
      <c r="F65" s="68">
        <f t="shared" si="18"/>
        <v>4.2000000000000011</v>
      </c>
      <c r="G65" s="68">
        <f t="shared" si="18"/>
        <v>0.59999999999999787</v>
      </c>
      <c r="H65" s="68">
        <f t="shared" si="18"/>
        <v>10.200000000000001</v>
      </c>
      <c r="I65" s="68">
        <f t="shared" si="18"/>
        <v>3.5999999999999979</v>
      </c>
      <c r="J65" s="68">
        <f t="shared" si="18"/>
        <v>3</v>
      </c>
      <c r="K65" s="68">
        <f t="shared" si="18"/>
        <v>3.5999999999999979</v>
      </c>
      <c r="L65" s="68">
        <f t="shared" si="18"/>
        <v>4.2000000000000011</v>
      </c>
      <c r="M65" s="68">
        <f t="shared" si="18"/>
        <v>4.7999999999999989</v>
      </c>
      <c r="N65" s="68">
        <f t="shared" si="18"/>
        <v>4.7999999999999989</v>
      </c>
      <c r="O65" s="68">
        <f t="shared" si="18"/>
        <v>3.5999999999999979</v>
      </c>
      <c r="P65" s="68">
        <f t="shared" si="18"/>
        <v>4.2000000000000011</v>
      </c>
      <c r="Q65" s="68">
        <f t="shared" si="18"/>
        <v>3</v>
      </c>
      <c r="R65" s="68">
        <f t="shared" si="18"/>
        <v>0.59999999999999787</v>
      </c>
      <c r="S65" s="68">
        <f t="shared" si="18"/>
        <v>-1.2000000000000011</v>
      </c>
      <c r="T65" s="68">
        <f t="shared" si="18"/>
        <v>3.5999999999999979</v>
      </c>
      <c r="U65" s="68">
        <f t="shared" si="18"/>
        <v>4.2000000000000011</v>
      </c>
    </row>
    <row r="66" spans="1:21" ht="26"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str">
        <f t="shared" si="19"/>
        <v>OVER</v>
      </c>
      <c r="N66" s="69" t="str">
        <f t="shared" si="19"/>
        <v>OVER</v>
      </c>
      <c r="O66" s="69" t="str">
        <f t="shared" si="19"/>
        <v>OVER</v>
      </c>
      <c r="P66" s="69" t="str">
        <f t="shared" si="19"/>
        <v>OVER</v>
      </c>
      <c r="Q66" s="69" t="str">
        <f t="shared" si="19"/>
        <v>OVER</v>
      </c>
      <c r="R66" s="69" t="str">
        <f t="shared" si="19"/>
        <v>OVER</v>
      </c>
      <c r="S66" s="69" t="str">
        <f t="shared" si="19"/>
        <v>UNDER</v>
      </c>
      <c r="T66" s="69" t="str">
        <f t="shared" si="19"/>
        <v>OVER</v>
      </c>
      <c r="U66" s="69" t="str">
        <f t="shared" si="19"/>
        <v>OVER</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195" priority="42" operator="greaterThan">
      <formula>$B$51</formula>
    </cfRule>
  </conditionalFormatting>
  <conditionalFormatting sqref="B66:U66">
    <cfRule type="cellIs" dxfId="194" priority="4" operator="equal">
      <formula>"UNDER"</formula>
    </cfRule>
    <cfRule type="cellIs" dxfId="193" priority="5" operator="equal">
      <formula>"OVER"</formula>
    </cfRule>
  </conditionalFormatting>
  <conditionalFormatting sqref="C31:C50">
    <cfRule type="cellIs" dxfId="192" priority="41" operator="greaterThan">
      <formula>$C$51</formula>
    </cfRule>
  </conditionalFormatting>
  <conditionalFormatting sqref="C17:V19">
    <cfRule type="cellIs" dxfId="191" priority="34" operator="equal">
      <formula>0</formula>
    </cfRule>
  </conditionalFormatting>
  <conditionalFormatting sqref="C20:V21">
    <cfRule type="cellIs" dxfId="190" priority="43" operator="equal">
      <formula>"DECREASE"</formula>
    </cfRule>
    <cfRule type="cellIs" dxfId="189" priority="44" operator="equal">
      <formula>"INCREASE"</formula>
    </cfRule>
  </conditionalFormatting>
  <conditionalFormatting sqref="C21:V21">
    <cfRule type="cellIs" dxfId="188" priority="8" operator="equal">
      <formula>0</formula>
    </cfRule>
  </conditionalFormatting>
  <conditionalFormatting sqref="C22:V23">
    <cfRule type="cellIs" dxfId="187" priority="15" operator="equal">
      <formula>0</formula>
    </cfRule>
  </conditionalFormatting>
  <conditionalFormatting sqref="C24:V24">
    <cfRule type="cellIs" dxfId="186" priority="16" operator="equal">
      <formula>"DECREASE"</formula>
    </cfRule>
    <cfRule type="cellIs" dxfId="185" priority="17" operator="equal">
      <formula>"INCREASE"</formula>
    </cfRule>
  </conditionalFormatting>
  <conditionalFormatting sqref="G31:G50">
    <cfRule type="cellIs" dxfId="184" priority="31" operator="greaterThan">
      <formula>$G$51</formula>
    </cfRule>
  </conditionalFormatting>
  <conditionalFormatting sqref="H31:H50">
    <cfRule type="cellIs" dxfId="183" priority="30" operator="greaterThan">
      <formula>$H$51</formula>
    </cfRule>
  </conditionalFormatting>
  <conditionalFormatting sqref="I1">
    <cfRule type="cellIs" dxfId="182" priority="11" operator="between">
      <formula>0.1</formula>
      <formula>5</formula>
    </cfRule>
  </conditionalFormatting>
  <conditionalFormatting sqref="I2">
    <cfRule type="cellIs" dxfId="181" priority="10" operator="greaterThan">
      <formula>5000.1</formula>
    </cfRule>
  </conditionalFormatting>
  <conditionalFormatting sqref="I3">
    <cfRule type="cellIs" dxfId="180" priority="9" operator="greaterThan">
      <formula>40000.01</formula>
    </cfRule>
  </conditionalFormatting>
  <conditionalFormatting sqref="I31:I50">
    <cfRule type="cellIs" dxfId="179" priority="29" operator="greaterThan">
      <formula>$I$51</formula>
    </cfRule>
  </conditionalFormatting>
  <conditionalFormatting sqref="J31:J50">
    <cfRule type="cellIs" dxfId="178" priority="3" operator="greaterThan">
      <formula>$J$51</formula>
    </cfRule>
  </conditionalFormatting>
  <conditionalFormatting sqref="K31:K50">
    <cfRule type="cellIs" dxfId="177" priority="27" operator="greaterThan">
      <formula>$K$51</formula>
    </cfRule>
  </conditionalFormatting>
  <conditionalFormatting sqref="L3">
    <cfRule type="cellIs" dxfId="176" priority="1" operator="lessThan">
      <formula>30</formula>
    </cfRule>
    <cfRule type="cellIs" dxfId="175" priority="2" operator="greaterThanOrEqual">
      <formula>30</formula>
    </cfRule>
  </conditionalFormatting>
  <conditionalFormatting sqref="L31:L50">
    <cfRule type="cellIs" dxfId="174" priority="26" operator="greaterThan">
      <formula>$L$51</formula>
    </cfRule>
  </conditionalFormatting>
  <conditionalFormatting sqref="M31:M50">
    <cfRule type="cellIs" dxfId="173" priority="25" operator="greaterThan">
      <formula>$M$51</formula>
    </cfRule>
  </conditionalFormatting>
  <conditionalFormatting sqref="P31:P50">
    <cfRule type="cellIs" dxfId="172" priority="24" operator="greaterThan">
      <formula>$P$51</formula>
    </cfRule>
  </conditionalFormatting>
  <conditionalFormatting sqref="R31:R50">
    <cfRule type="cellIs" dxfId="171" priority="23" operator="greaterThan">
      <formula>$R$51</formula>
    </cfRule>
  </conditionalFormatting>
  <conditionalFormatting sqref="S31:S50">
    <cfRule type="cellIs" dxfId="170" priority="22" operator="greaterThan">
      <formula>$S$51</formula>
    </cfRule>
  </conditionalFormatting>
  <conditionalFormatting sqref="T31:T50">
    <cfRule type="cellIs" dxfId="169" priority="21" operator="greaterThan">
      <formula>$T$51</formula>
    </cfRule>
  </conditionalFormatting>
  <conditionalFormatting sqref="U31:U50">
    <cfRule type="cellIs" dxfId="168"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R28" sqref="R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'Bryn Cowlyd'!C1:D1</f>
        <v>PAN-026782</v>
      </c>
      <c r="D1" s="128"/>
      <c r="E1" s="83" t="s">
        <v>45</v>
      </c>
      <c r="F1" s="32">
        <f>'Bryn Cowlyd'!F1</f>
        <v>49.3</v>
      </c>
      <c r="G1" s="107" t="s">
        <v>43</v>
      </c>
      <c r="H1" s="108"/>
      <c r="I1" s="86">
        <v>7</v>
      </c>
      <c r="J1" s="106" t="s">
        <v>153</v>
      </c>
      <c r="K1" s="106"/>
      <c r="L1" s="86">
        <v>1130</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'Bryn Cowlyd'!C2:D2</f>
        <v>EPR/GP3792SK</v>
      </c>
      <c r="D2" s="130"/>
      <c r="E2" s="83" t="s">
        <v>109</v>
      </c>
      <c r="F2" s="86" t="s">
        <v>167</v>
      </c>
      <c r="G2" s="125" t="s">
        <v>110</v>
      </c>
      <c r="H2" s="126"/>
      <c r="I2" s="86"/>
      <c r="J2" s="106" t="s">
        <v>158</v>
      </c>
      <c r="K2" s="106"/>
      <c r="L2" s="86">
        <v>1.24</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'Bryn Cowlyd'!C3:D3</f>
        <v xml:space="preserve">Byproduct recovery LTD </v>
      </c>
      <c r="D3" s="130"/>
      <c r="E3" s="83" t="s">
        <v>108</v>
      </c>
      <c r="F3" s="24" t="s">
        <v>78</v>
      </c>
      <c r="G3" s="106" t="s">
        <v>159</v>
      </c>
      <c r="H3" s="106"/>
      <c r="I3" s="86"/>
      <c r="J3" s="107" t="s">
        <v>154</v>
      </c>
      <c r="K3" s="108"/>
      <c r="L3" s="86">
        <f>(L1/(L2*10000))*100</f>
        <v>9.112903225806452</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'Bryn Cowlyd'!C4:D4</f>
        <v xml:space="preserve">Farchwel, Talybont, Conwy, LL32 8UY </v>
      </c>
      <c r="D4" s="128"/>
      <c r="E4" s="84" t="s">
        <v>1</v>
      </c>
      <c r="F4" s="86" t="s">
        <v>168</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'Bryn Cowlyd'!C5:D5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f>'Bryn Cowlyd'!C8</f>
        <v>1</v>
      </c>
      <c r="D8" s="52">
        <f>'Bryn Cowlyd'!D8</f>
        <v>2</v>
      </c>
      <c r="E8" s="52">
        <f>'Bryn Cowlyd'!E8</f>
        <v>3</v>
      </c>
      <c r="F8" s="52">
        <f>'Bryn Cowlyd'!F8</f>
        <v>4</v>
      </c>
      <c r="G8" s="52">
        <f>'Bryn Cowlyd'!G8</f>
        <v>5</v>
      </c>
      <c r="H8" s="52">
        <f>'Bryn Cowlyd'!H8</f>
        <v>6</v>
      </c>
      <c r="I8" s="52">
        <f>'Bryn Cowlyd'!I8</f>
        <v>7</v>
      </c>
      <c r="J8" s="52">
        <f>'Bryn Cowlyd'!J8</f>
        <v>8</v>
      </c>
      <c r="K8" s="52">
        <f>'Bryn Cowlyd'!K8</f>
        <v>9</v>
      </c>
      <c r="L8" s="52">
        <f>'Bryn Cowlyd'!L8</f>
        <v>10</v>
      </c>
      <c r="M8" s="52">
        <f>'Bryn Cowlyd'!M8</f>
        <v>11</v>
      </c>
      <c r="N8" s="52">
        <f>'Bryn Cowlyd'!N8</f>
        <v>12</v>
      </c>
      <c r="O8" s="52">
        <f>'Bryn Cowlyd'!O8</f>
        <v>13</v>
      </c>
      <c r="P8" s="52">
        <f>'Bryn Cowlyd'!P8</f>
        <v>15</v>
      </c>
      <c r="Q8" s="52">
        <f>'Bryn Cowlyd'!Q8</f>
        <v>16</v>
      </c>
      <c r="R8" s="52">
        <f>'Bryn Cowlyd'!R8</f>
        <v>21</v>
      </c>
      <c r="S8" s="52">
        <f>'Bryn Cowlyd'!S8</f>
        <v>22</v>
      </c>
      <c r="T8" s="52">
        <f>'Bryn Cowlyd'!T8</f>
        <v>23</v>
      </c>
      <c r="U8" s="52">
        <f>'Bryn Cowlyd'!U8</f>
        <v>7078</v>
      </c>
      <c r="V8" s="52">
        <f>'Bryn Cowlyd'!V8</f>
        <v>7058</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'Bryn Cowlyd'!C9</f>
        <v>M</v>
      </c>
      <c r="D9" s="52" t="str">
        <f>'Bryn Cowlyd'!D9</f>
        <v>M</v>
      </c>
      <c r="E9" s="52" t="str">
        <f>'Bryn Cowlyd'!E9</f>
        <v>M</v>
      </c>
      <c r="F9" s="52" t="str">
        <f>'Bryn Cowlyd'!F9</f>
        <v>M</v>
      </c>
      <c r="G9" s="52" t="str">
        <f>'Bryn Cowlyd'!G9</f>
        <v>M</v>
      </c>
      <c r="H9" s="52" t="str">
        <f>'Bryn Cowlyd'!H9</f>
        <v>M</v>
      </c>
      <c r="I9" s="52" t="str">
        <f>'Bryn Cowlyd'!I9</f>
        <v>M</v>
      </c>
      <c r="J9" s="52" t="str">
        <f>'Bryn Cowlyd'!J9</f>
        <v>M</v>
      </c>
      <c r="K9" s="52" t="str">
        <f>'Bryn Cowlyd'!K9</f>
        <v>M</v>
      </c>
      <c r="L9" s="52" t="str">
        <f>'Bryn Cowlyd'!L9</f>
        <v>M</v>
      </c>
      <c r="M9" s="52" t="str">
        <f>'Bryn Cowlyd'!M9</f>
        <v>M</v>
      </c>
      <c r="N9" s="52" t="str">
        <f>'Bryn Cowlyd'!N9</f>
        <v>M</v>
      </c>
      <c r="O9" s="52" t="str">
        <f>'Bryn Cowlyd'!O9</f>
        <v>M</v>
      </c>
      <c r="P9" s="52" t="str">
        <f>'Bryn Cowlyd'!P9</f>
        <v>M</v>
      </c>
      <c r="Q9" s="52" t="str">
        <f>'Bryn Cowlyd'!Q9</f>
        <v>M</v>
      </c>
      <c r="R9" s="52" t="str">
        <f>'Bryn Cowlyd'!R9</f>
        <v>M</v>
      </c>
      <c r="S9" s="52" t="str">
        <f>'Bryn Cowlyd'!S9</f>
        <v>M</v>
      </c>
      <c r="T9" s="52" t="str">
        <f>'Bryn Cowlyd'!T9</f>
        <v>M</v>
      </c>
      <c r="U9" s="52" t="str">
        <f>'Bryn Cowlyd'!U9</f>
        <v>M</v>
      </c>
      <c r="V9" s="52" t="str">
        <f>'Bryn Cowlyd'!V9</f>
        <v>M</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'Bryn Cowlyd'!C10</f>
        <v>7.1</v>
      </c>
      <c r="D10" s="52">
        <f>'Bryn Cowlyd'!D10</f>
        <v>6.9</v>
      </c>
      <c r="E10" s="52">
        <f>'Bryn Cowlyd'!E10</f>
        <v>7.7</v>
      </c>
      <c r="F10" s="52">
        <f>'Bryn Cowlyd'!F10</f>
        <v>6.9</v>
      </c>
      <c r="G10" s="52">
        <f>'Bryn Cowlyd'!G10</f>
        <v>6.9</v>
      </c>
      <c r="H10" s="52">
        <f>'Bryn Cowlyd'!H10</f>
        <v>6.3</v>
      </c>
      <c r="I10" s="52">
        <f>'Bryn Cowlyd'!I10</f>
        <v>7.9</v>
      </c>
      <c r="J10" s="52">
        <f>'Bryn Cowlyd'!J10</f>
        <v>6.8</v>
      </c>
      <c r="K10" s="52">
        <f>'Bryn Cowlyd'!K10</f>
        <v>6.7</v>
      </c>
      <c r="L10" s="52">
        <f>'Bryn Cowlyd'!L10</f>
        <v>6.8</v>
      </c>
      <c r="M10" s="52">
        <f>'Bryn Cowlyd'!M10</f>
        <v>6.9</v>
      </c>
      <c r="N10" s="52">
        <f>'Bryn Cowlyd'!N10</f>
        <v>7</v>
      </c>
      <c r="O10" s="52">
        <f>'Bryn Cowlyd'!O10</f>
        <v>7</v>
      </c>
      <c r="P10" s="52">
        <f>'Bryn Cowlyd'!P10</f>
        <v>6.8</v>
      </c>
      <c r="Q10" s="52">
        <f>'Bryn Cowlyd'!Q10</f>
        <v>6.9</v>
      </c>
      <c r="R10" s="52">
        <f>'Bryn Cowlyd'!R10</f>
        <v>6.7</v>
      </c>
      <c r="S10" s="52">
        <f>'Bryn Cowlyd'!S10</f>
        <v>6.3</v>
      </c>
      <c r="T10" s="52">
        <f>'Bryn Cowlyd'!T10</f>
        <v>6</v>
      </c>
      <c r="U10" s="52">
        <f>'Bryn Cowlyd'!U10</f>
        <v>6.8</v>
      </c>
      <c r="V10" s="52">
        <f>'Bryn Cowlyd'!V10</f>
        <v>6.9</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'Bryn Cowlyd'!C11</f>
        <v>2</v>
      </c>
      <c r="D11" s="52">
        <f>'Bryn Cowlyd'!D11</f>
        <v>2</v>
      </c>
      <c r="E11" s="52">
        <f>'Bryn Cowlyd'!E11</f>
        <v>2</v>
      </c>
      <c r="F11" s="52">
        <f>'Bryn Cowlyd'!F11</f>
        <v>1</v>
      </c>
      <c r="G11" s="52">
        <f>'Bryn Cowlyd'!G11</f>
        <v>1</v>
      </c>
      <c r="H11" s="52">
        <f>'Bryn Cowlyd'!H11</f>
        <v>1</v>
      </c>
      <c r="I11" s="52">
        <f>'Bryn Cowlyd'!I11</f>
        <v>2</v>
      </c>
      <c r="J11" s="52">
        <f>'Bryn Cowlyd'!J11</f>
        <v>1</v>
      </c>
      <c r="K11" s="52">
        <f>'Bryn Cowlyd'!K11</f>
        <v>1</v>
      </c>
      <c r="L11" s="52">
        <f>'Bryn Cowlyd'!L11</f>
        <v>1</v>
      </c>
      <c r="M11" s="52">
        <f>'Bryn Cowlyd'!M11</f>
        <v>1</v>
      </c>
      <c r="N11" s="52">
        <f>'Bryn Cowlyd'!N11</f>
        <v>2</v>
      </c>
      <c r="O11" s="52">
        <f>'Bryn Cowlyd'!O11</f>
        <v>3</v>
      </c>
      <c r="P11" s="52">
        <f>'Bryn Cowlyd'!P11</f>
        <v>3</v>
      </c>
      <c r="Q11" s="52">
        <f>'Bryn Cowlyd'!Q11</f>
        <v>2</v>
      </c>
      <c r="R11" s="52">
        <f>'Bryn Cowlyd'!R11</f>
        <v>2</v>
      </c>
      <c r="S11" s="52">
        <f>'Bryn Cowlyd'!S11</f>
        <v>2</v>
      </c>
      <c r="T11" s="52">
        <f>'Bryn Cowlyd'!T11</f>
        <v>2</v>
      </c>
      <c r="U11" s="52">
        <f>'Bryn Cowlyd'!U11</f>
        <v>1</v>
      </c>
      <c r="V11" s="52">
        <f>'Bryn Cowlyd'!V11</f>
        <v>1</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'Bryn Cowlyd'!C12</f>
        <v>1</v>
      </c>
      <c r="D12" s="52">
        <f>'Bryn Cowlyd'!D12</f>
        <v>2</v>
      </c>
      <c r="E12" s="52">
        <f>'Bryn Cowlyd'!E12</f>
        <v>1</v>
      </c>
      <c r="F12" s="52">
        <f>'Bryn Cowlyd'!F12</f>
        <v>1</v>
      </c>
      <c r="G12" s="52">
        <f>'Bryn Cowlyd'!G12</f>
        <v>0</v>
      </c>
      <c r="H12" s="52">
        <f>'Bryn Cowlyd'!H12</f>
        <v>1</v>
      </c>
      <c r="I12" s="52">
        <f>'Bryn Cowlyd'!I12</f>
        <v>1</v>
      </c>
      <c r="J12" s="52">
        <f>'Bryn Cowlyd'!J12</f>
        <v>1</v>
      </c>
      <c r="K12" s="52">
        <f>'Bryn Cowlyd'!K12</f>
        <v>1</v>
      </c>
      <c r="L12" s="52">
        <f>'Bryn Cowlyd'!L12</f>
        <v>1</v>
      </c>
      <c r="M12" s="52">
        <f>'Bryn Cowlyd'!M12</f>
        <v>1</v>
      </c>
      <c r="N12" s="52">
        <f>'Bryn Cowlyd'!N12</f>
        <v>0</v>
      </c>
      <c r="O12" s="52">
        <f>'Bryn Cowlyd'!O12</f>
        <v>2</v>
      </c>
      <c r="P12" s="52">
        <f>'Bryn Cowlyd'!P12</f>
        <v>2</v>
      </c>
      <c r="Q12" s="52">
        <f>'Bryn Cowlyd'!Q12</f>
        <v>1</v>
      </c>
      <c r="R12" s="52">
        <f>'Bryn Cowlyd'!R12</f>
        <v>2</v>
      </c>
      <c r="S12" s="52">
        <f>'Bryn Cowlyd'!S12</f>
        <v>2</v>
      </c>
      <c r="T12" s="52">
        <f>'Bryn Cowlyd'!T12</f>
        <v>2</v>
      </c>
      <c r="U12" s="52">
        <f>'Bryn Cowlyd'!U12</f>
        <v>1</v>
      </c>
      <c r="V12" s="52">
        <f>'Bryn Cowlyd'!V12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'Bryn Cowlyd'!C13</f>
        <v>2</v>
      </c>
      <c r="D13" s="52">
        <f>'Bryn Cowlyd'!D13</f>
        <v>2</v>
      </c>
      <c r="E13" s="52">
        <f>'Bryn Cowlyd'!E13</f>
        <v>2</v>
      </c>
      <c r="F13" s="52">
        <f>'Bryn Cowlyd'!F13</f>
        <v>2</v>
      </c>
      <c r="G13" s="52">
        <f>'Bryn Cowlyd'!G13</f>
        <v>2</v>
      </c>
      <c r="H13" s="52">
        <f>'Bryn Cowlyd'!H13</f>
        <v>2</v>
      </c>
      <c r="I13" s="52">
        <f>'Bryn Cowlyd'!I13</f>
        <v>1</v>
      </c>
      <c r="J13" s="52">
        <f>'Bryn Cowlyd'!J13</f>
        <v>2</v>
      </c>
      <c r="K13" s="52">
        <f>'Bryn Cowlyd'!K13</f>
        <v>2</v>
      </c>
      <c r="L13" s="52">
        <f>'Bryn Cowlyd'!L13</f>
        <v>2</v>
      </c>
      <c r="M13" s="52">
        <f>'Bryn Cowlyd'!M13</f>
        <v>2</v>
      </c>
      <c r="N13" s="52">
        <f>'Bryn Cowlyd'!N13</f>
        <v>1</v>
      </c>
      <c r="O13" s="52">
        <f>'Bryn Cowlyd'!O13</f>
        <v>3</v>
      </c>
      <c r="P13" s="52">
        <f>'Bryn Cowlyd'!P13</f>
        <v>3</v>
      </c>
      <c r="Q13" s="52">
        <f>'Bryn Cowlyd'!Q13</f>
        <v>2</v>
      </c>
      <c r="R13" s="52">
        <f>'Bryn Cowlyd'!R13</f>
        <v>3</v>
      </c>
      <c r="S13" s="52">
        <f>'Bryn Cowlyd'!S13</f>
        <v>3</v>
      </c>
      <c r="T13" s="52">
        <f>'Bryn Cowlyd'!T13</f>
        <v>3</v>
      </c>
      <c r="U13" s="52">
        <f>'Bryn Cowlyd'!U13</f>
        <v>2</v>
      </c>
      <c r="V13" s="52">
        <f>'Bryn Cowlyd'!V13</f>
        <v>2</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'Bryn Cowlyd'!C14</f>
        <v xml:space="preserve">Grass Silage (25% DM) </v>
      </c>
      <c r="D14" s="91" t="str">
        <f>'Bryn Cowlyd'!D14</f>
        <v xml:space="preserve">Grass Silage (25% DM) </v>
      </c>
      <c r="E14" s="91" t="str">
        <f>'Bryn Cowlyd'!E14</f>
        <v xml:space="preserve">Grass Silage (25% DM) </v>
      </c>
      <c r="F14" s="91" t="str">
        <f>'Bryn Cowlyd'!F14</f>
        <v xml:space="preserve">Grass Silage (25% DM) </v>
      </c>
      <c r="G14" s="91" t="str">
        <f>'Bryn Cowlyd'!G14</f>
        <v xml:space="preserve">Grass Silage (25% DM) </v>
      </c>
      <c r="H14" s="91" t="str">
        <f>'Bryn Cowlyd'!H14</f>
        <v xml:space="preserve">Grass Silage (25% DM) </v>
      </c>
      <c r="I14" s="91" t="str">
        <f>'Bryn Cowlyd'!I14</f>
        <v xml:space="preserve">Grass Silage (25% DM) </v>
      </c>
      <c r="J14" s="91" t="str">
        <f>'Bryn Cowlyd'!J14</f>
        <v xml:space="preserve">Grass Silage (25% DM) </v>
      </c>
      <c r="K14" s="91" t="str">
        <f>'Bryn Cowlyd'!K14</f>
        <v xml:space="preserve">Grass Silage (25% DM) </v>
      </c>
      <c r="L14" s="91" t="str">
        <f>'Bryn Cowlyd'!L14</f>
        <v xml:space="preserve">Grass Silage (25% DM) </v>
      </c>
      <c r="M14" s="91" t="str">
        <f>'Bryn Cowlyd'!M14</f>
        <v xml:space="preserve">Grass Silage (25% DM) </v>
      </c>
      <c r="N14" s="91" t="str">
        <f>'Bryn Cowlyd'!N14</f>
        <v xml:space="preserve">Grass Silage (25% DM) </v>
      </c>
      <c r="O14" s="91" t="str">
        <f>'Bryn Cowlyd'!O14</f>
        <v xml:space="preserve">Grass Silage (25% DM) </v>
      </c>
      <c r="P14" s="91" t="str">
        <f>'Bryn Cowlyd'!P14</f>
        <v xml:space="preserve">Grass Silage (25% DM) </v>
      </c>
      <c r="Q14" s="91" t="str">
        <f>'Bryn Cowlyd'!Q14</f>
        <v xml:space="preserve">Grass Silage (25% DM) </v>
      </c>
      <c r="R14" s="91" t="str">
        <f>'Bryn Cowlyd'!R14</f>
        <v xml:space="preserve">Grass Silage (25% DM) </v>
      </c>
      <c r="S14" s="91" t="str">
        <f>'Bryn Cowlyd'!S14</f>
        <v xml:space="preserve">Grass Silage (25% DM) </v>
      </c>
      <c r="T14" s="91" t="str">
        <f>'Bryn Cowlyd'!T14</f>
        <v xml:space="preserve">Grass Silage (25% DM) </v>
      </c>
      <c r="U14" s="91" t="str">
        <f>'Bryn Cowlyd'!U14</f>
        <v xml:space="preserve">Grass Silage (25% DM) </v>
      </c>
      <c r="V14" s="91" t="str">
        <f>'Bryn Cowlyd'!V14</f>
        <v xml:space="preserve">Grass Silage (25% DM) </v>
      </c>
      <c r="AD14" s="23" t="s">
        <v>138</v>
      </c>
      <c r="AE14" s="23">
        <v>6</v>
      </c>
      <c r="AI14" s="46" t="s">
        <v>119</v>
      </c>
      <c r="AJ14" s="47">
        <v>0.8</v>
      </c>
      <c r="AK14" s="48">
        <v>1.7</v>
      </c>
      <c r="AL14" s="9">
        <v>12</v>
      </c>
      <c r="AM14" s="9">
        <v>6.7</v>
      </c>
      <c r="AN14" s="9" t="s">
        <v>135</v>
      </c>
    </row>
    <row r="15" spans="1:41" ht="13" x14ac:dyDescent="0.25">
      <c r="A15" s="117" t="s">
        <v>9</v>
      </c>
      <c r="B15" s="117"/>
      <c r="C15" s="52">
        <f>'Bryn Cowlyd'!C15</f>
        <v>38</v>
      </c>
      <c r="D15" s="52">
        <f>'Bryn Cowlyd'!D15</f>
        <v>38</v>
      </c>
      <c r="E15" s="52">
        <f>'Bryn Cowlyd'!E15</f>
        <v>38</v>
      </c>
      <c r="F15" s="52">
        <f>'Bryn Cowlyd'!F15</f>
        <v>38</v>
      </c>
      <c r="G15" s="52">
        <f>'Bryn Cowlyd'!G15</f>
        <v>38</v>
      </c>
      <c r="H15" s="52">
        <f>'Bryn Cowlyd'!H15</f>
        <v>38</v>
      </c>
      <c r="I15" s="52">
        <f>'Bryn Cowlyd'!I15</f>
        <v>38</v>
      </c>
      <c r="J15" s="52">
        <f>'Bryn Cowlyd'!J15</f>
        <v>38</v>
      </c>
      <c r="K15" s="52">
        <f>'Bryn Cowlyd'!K15</f>
        <v>38</v>
      </c>
      <c r="L15" s="52">
        <f>'Bryn Cowlyd'!L15</f>
        <v>38</v>
      </c>
      <c r="M15" s="52">
        <f>'Bryn Cowlyd'!M15</f>
        <v>38</v>
      </c>
      <c r="N15" s="52">
        <f>'Bryn Cowlyd'!N15</f>
        <v>38</v>
      </c>
      <c r="O15" s="52">
        <f>'Bryn Cowlyd'!O15</f>
        <v>38</v>
      </c>
      <c r="P15" s="52">
        <f>'Bryn Cowlyd'!P15</f>
        <v>38</v>
      </c>
      <c r="Q15" s="52">
        <f>'Bryn Cowlyd'!Q15</f>
        <v>38</v>
      </c>
      <c r="R15" s="52">
        <f>'Bryn Cowlyd'!R15</f>
        <v>38</v>
      </c>
      <c r="S15" s="52">
        <f>'Bryn Cowlyd'!S15</f>
        <v>38</v>
      </c>
      <c r="T15" s="52">
        <f>'Bryn Cowlyd'!T15</f>
        <v>38</v>
      </c>
      <c r="U15" s="52">
        <f>'Bryn Cowlyd'!U15</f>
        <v>38</v>
      </c>
      <c r="V15" s="52">
        <f>'Bryn Cowlyd'!V15</f>
        <v>38</v>
      </c>
      <c r="AD15" s="23" t="s">
        <v>144</v>
      </c>
      <c r="AE15" s="23">
        <v>7</v>
      </c>
      <c r="AI15" s="46" t="s">
        <v>101</v>
      </c>
      <c r="AJ15" s="54">
        <v>1.8</v>
      </c>
      <c r="AK15" s="48">
        <v>5.4</v>
      </c>
      <c r="AL15" s="9">
        <v>13</v>
      </c>
      <c r="AM15" s="9">
        <v>6.7</v>
      </c>
      <c r="AN15" s="9" t="s">
        <v>135</v>
      </c>
    </row>
    <row r="16" spans="1:41" ht="13.5" thickBot="1" x14ac:dyDescent="0.3">
      <c r="A16" s="119" t="s">
        <v>44</v>
      </c>
      <c r="B16" s="119"/>
      <c r="C16" s="92" t="str">
        <f>'Bryn Cowlyd'!C16</f>
        <v>Medium/Clay</v>
      </c>
      <c r="D16" s="92" t="str">
        <f>'Bryn Cowlyd'!D16</f>
        <v>Medium/Clay</v>
      </c>
      <c r="E16" s="92" t="str">
        <f>'Bryn Cowlyd'!E16</f>
        <v>Medium/Clay</v>
      </c>
      <c r="F16" s="92" t="str">
        <f>'Bryn Cowlyd'!F16</f>
        <v>Medium/Clay</v>
      </c>
      <c r="G16" s="92" t="str">
        <f>'Bryn Cowlyd'!G16</f>
        <v>Medium/Clay</v>
      </c>
      <c r="H16" s="92" t="str">
        <f>'Bryn Cowlyd'!H16</f>
        <v>Medium/Clay</v>
      </c>
      <c r="I16" s="92" t="str">
        <f>'Bryn Cowlyd'!I16</f>
        <v>Medium/Clay</v>
      </c>
      <c r="J16" s="92" t="str">
        <f>'Bryn Cowlyd'!J16</f>
        <v>Medium/Clay</v>
      </c>
      <c r="K16" s="92" t="str">
        <f>'Bryn Cowlyd'!K16</f>
        <v>Medium/Clay</v>
      </c>
      <c r="L16" s="92" t="str">
        <f>'Bryn Cowlyd'!L16</f>
        <v>Medium/Clay</v>
      </c>
      <c r="M16" s="92" t="str">
        <f>'Bryn Cowlyd'!M16</f>
        <v>Medium/Clay</v>
      </c>
      <c r="N16" s="92" t="str">
        <f>'Bryn Cowlyd'!N16</f>
        <v>Medium/Clay</v>
      </c>
      <c r="O16" s="92" t="str">
        <f>'Bryn Cowlyd'!O16</f>
        <v>Medium/Clay</v>
      </c>
      <c r="P16" s="92" t="str">
        <f>'Bryn Cowlyd'!P16</f>
        <v>Medium/Clay</v>
      </c>
      <c r="Q16" s="92" t="str">
        <f>'Bryn Cowlyd'!Q16</f>
        <v>Medium/Clay</v>
      </c>
      <c r="R16" s="92" t="str">
        <f>'Bryn Cowlyd'!R16</f>
        <v>Medium/Clay</v>
      </c>
      <c r="S16" s="92" t="str">
        <f>'Bryn Cowlyd'!S16</f>
        <v>Medium/Clay</v>
      </c>
      <c r="T16" s="92" t="str">
        <f>'Bryn Cowlyd'!T16</f>
        <v>Medium/Clay</v>
      </c>
      <c r="U16" s="92" t="str">
        <f>'Bryn Cowlyd'!U16</f>
        <v>Medium/Clay</v>
      </c>
      <c r="V16" s="92" t="str">
        <f>'Bryn Cowlyd'!V16</f>
        <v>Medium/Clay</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f t="shared" si="0"/>
        <v>64.599999999999994</v>
      </c>
      <c r="N17" s="21">
        <f t="shared" si="0"/>
        <v>64.599999999999994</v>
      </c>
      <c r="O17" s="21">
        <f t="shared" si="0"/>
        <v>64.599999999999994</v>
      </c>
      <c r="P17" s="21">
        <f t="shared" si="0"/>
        <v>64.599999999999994</v>
      </c>
      <c r="Q17" s="21">
        <f t="shared" si="0"/>
        <v>64.599999999999994</v>
      </c>
      <c r="R17" s="21">
        <f t="shared" si="0"/>
        <v>64.599999999999994</v>
      </c>
      <c r="S17" s="21">
        <f t="shared" si="0"/>
        <v>64.599999999999994</v>
      </c>
      <c r="T17" s="21">
        <f t="shared" si="0"/>
        <v>64.599999999999994</v>
      </c>
      <c r="U17" s="21">
        <f t="shared" si="0"/>
        <v>64.599999999999994</v>
      </c>
      <c r="V17" s="21">
        <f t="shared" si="0"/>
        <v>64.599999999999994</v>
      </c>
      <c r="AD17" s="45" t="s">
        <v>146</v>
      </c>
      <c r="AE17" s="23">
        <v>10</v>
      </c>
      <c r="AI17" s="41" t="s">
        <v>115</v>
      </c>
      <c r="AJ17" s="42">
        <v>1.4</v>
      </c>
      <c r="AK17" s="43">
        <v>4.8</v>
      </c>
      <c r="AL17" s="44">
        <v>15</v>
      </c>
      <c r="AM17" s="9">
        <v>6.2</v>
      </c>
      <c r="AN17" s="9" t="s">
        <v>112</v>
      </c>
    </row>
    <row r="18" spans="1:40" ht="13" x14ac:dyDescent="0.25">
      <c r="A18" s="111" t="s">
        <v>23</v>
      </c>
      <c r="B18" s="112"/>
      <c r="C18" s="13">
        <f>$D31</f>
        <v>25.762295000000002</v>
      </c>
      <c r="D18" s="13">
        <f>$D32</f>
        <v>25.762295000000002</v>
      </c>
      <c r="E18" s="13">
        <f>$D33</f>
        <v>25.762295000000002</v>
      </c>
      <c r="F18" s="13">
        <f>$D34</f>
        <v>25.762295000000002</v>
      </c>
      <c r="G18" s="13">
        <f>$D35</f>
        <v>25.762295000000002</v>
      </c>
      <c r="H18" s="13">
        <f>$D36</f>
        <v>25.762295000000002</v>
      </c>
      <c r="I18" s="13">
        <f>$D37</f>
        <v>25.762295000000002</v>
      </c>
      <c r="J18" s="13">
        <f>$D38</f>
        <v>25.762295000000002</v>
      </c>
      <c r="K18" s="13">
        <f>$D39</f>
        <v>25.762295000000002</v>
      </c>
      <c r="L18" s="13">
        <f>$D40</f>
        <v>25.762295000000002</v>
      </c>
      <c r="M18" s="13">
        <f>$D41</f>
        <v>25.762295000000002</v>
      </c>
      <c r="N18" s="13">
        <f>$D42</f>
        <v>25.762295000000002</v>
      </c>
      <c r="O18" s="13">
        <f>$D43</f>
        <v>25.762295000000002</v>
      </c>
      <c r="P18" s="13">
        <f>$D44</f>
        <v>25.762295000000002</v>
      </c>
      <c r="Q18" s="13">
        <f>$D45</f>
        <v>25.762295000000002</v>
      </c>
      <c r="R18" s="13">
        <f>$D46</f>
        <v>25.762295000000002</v>
      </c>
      <c r="S18" s="13">
        <f>$D47</f>
        <v>25.762295000000002</v>
      </c>
      <c r="T18" s="13">
        <f>$D48</f>
        <v>25.762295000000002</v>
      </c>
      <c r="U18" s="13">
        <f>$D49</f>
        <v>25.762295000000002</v>
      </c>
      <c r="V18" s="18">
        <f>$D50</f>
        <v>25.762295000000002</v>
      </c>
      <c r="AD18" s="45" t="s">
        <v>147</v>
      </c>
      <c r="AE18" s="23">
        <v>16</v>
      </c>
      <c r="AI18" s="41" t="s">
        <v>106</v>
      </c>
      <c r="AJ18" s="42">
        <v>5.9</v>
      </c>
      <c r="AK18" s="43">
        <v>18</v>
      </c>
      <c r="AL18" s="44">
        <v>16</v>
      </c>
      <c r="AM18" s="9">
        <v>6.2</v>
      </c>
      <c r="AN18" s="9" t="s">
        <v>112</v>
      </c>
    </row>
    <row r="19" spans="1:40" ht="13" x14ac:dyDescent="0.25">
      <c r="A19" s="111" t="s">
        <v>90</v>
      </c>
      <c r="B19" s="112"/>
      <c r="C19" s="13">
        <f>C18-C17</f>
        <v>-38.837704999999993</v>
      </c>
      <c r="D19" s="13">
        <f t="shared" ref="D19:V19" si="1">D18-D17</f>
        <v>-38.837704999999993</v>
      </c>
      <c r="E19" s="13">
        <f t="shared" si="1"/>
        <v>-38.837704999999993</v>
      </c>
      <c r="F19" s="13">
        <f t="shared" si="1"/>
        <v>-38.837704999999993</v>
      </c>
      <c r="G19" s="13">
        <f t="shared" si="1"/>
        <v>-38.837704999999993</v>
      </c>
      <c r="H19" s="13">
        <f t="shared" si="1"/>
        <v>-38.837704999999993</v>
      </c>
      <c r="I19" s="13">
        <f t="shared" si="1"/>
        <v>-38.837704999999993</v>
      </c>
      <c r="J19" s="13">
        <f t="shared" si="1"/>
        <v>-38.837704999999993</v>
      </c>
      <c r="K19" s="13">
        <f t="shared" si="1"/>
        <v>-38.837704999999993</v>
      </c>
      <c r="L19" s="13">
        <f t="shared" si="1"/>
        <v>-38.837704999999993</v>
      </c>
      <c r="M19" s="13">
        <f t="shared" si="1"/>
        <v>-38.837704999999993</v>
      </c>
      <c r="N19" s="13">
        <f t="shared" si="1"/>
        <v>-38.837704999999993</v>
      </c>
      <c r="O19" s="13">
        <f t="shared" si="1"/>
        <v>-38.837704999999993</v>
      </c>
      <c r="P19" s="13">
        <f t="shared" si="1"/>
        <v>-38.837704999999993</v>
      </c>
      <c r="Q19" s="13">
        <f t="shared" si="1"/>
        <v>-38.837704999999993</v>
      </c>
      <c r="R19" s="13">
        <f t="shared" si="1"/>
        <v>-38.837704999999993</v>
      </c>
      <c r="S19" s="13">
        <f t="shared" si="1"/>
        <v>-38.837704999999993</v>
      </c>
      <c r="T19" s="13">
        <f t="shared" si="1"/>
        <v>-38.837704999999993</v>
      </c>
      <c r="U19" s="13">
        <f t="shared" si="1"/>
        <v>-38.837704999999993</v>
      </c>
      <c r="V19" s="18">
        <f t="shared" si="1"/>
        <v>-38.837704999999993</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DECREASE</v>
      </c>
      <c r="V20" s="20" t="str">
        <f>IF($B50="","",IF(V$19&gt;=0,"INCREASE","DECREASE"))</f>
        <v>DECREASE</v>
      </c>
      <c r="AI20" s="41" t="s">
        <v>114</v>
      </c>
      <c r="AJ20" s="42">
        <v>2.1</v>
      </c>
      <c r="AK20" s="43">
        <v>7.2</v>
      </c>
      <c r="AL20" s="44">
        <v>18</v>
      </c>
      <c r="AM20" s="9">
        <v>6.2</v>
      </c>
      <c r="AN20" s="9" t="s">
        <v>112</v>
      </c>
    </row>
    <row r="21" spans="1:40" ht="13" x14ac:dyDescent="0.25">
      <c r="A21" s="109" t="s">
        <v>88</v>
      </c>
      <c r="B21" s="110"/>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f t="shared" si="2"/>
        <v>228</v>
      </c>
      <c r="N21" s="21">
        <f t="shared" si="2"/>
        <v>228</v>
      </c>
      <c r="O21" s="21">
        <f t="shared" si="2"/>
        <v>228</v>
      </c>
      <c r="P21" s="21">
        <f t="shared" si="2"/>
        <v>228</v>
      </c>
      <c r="Q21" s="21">
        <f t="shared" si="2"/>
        <v>228</v>
      </c>
      <c r="R21" s="21">
        <f t="shared" si="2"/>
        <v>228</v>
      </c>
      <c r="S21" s="21">
        <f t="shared" si="2"/>
        <v>228</v>
      </c>
      <c r="T21" s="21">
        <f t="shared" si="2"/>
        <v>228</v>
      </c>
      <c r="U21" s="21">
        <f t="shared" si="2"/>
        <v>228</v>
      </c>
      <c r="V21" s="21">
        <f t="shared" si="2"/>
        <v>228</v>
      </c>
      <c r="AI21" s="55" t="s">
        <v>100</v>
      </c>
      <c r="AJ21" s="58">
        <v>11</v>
      </c>
      <c r="AK21" s="57">
        <v>12</v>
      </c>
      <c r="AL21" s="22">
        <v>19</v>
      </c>
      <c r="AM21" s="9">
        <v>6.7</v>
      </c>
      <c r="AN21" s="9" t="s">
        <v>135</v>
      </c>
    </row>
    <row r="22" spans="1:40" ht="13" x14ac:dyDescent="0.25">
      <c r="A22" s="111" t="s">
        <v>89</v>
      </c>
      <c r="B22" s="112"/>
      <c r="C22" s="13">
        <f>$E31</f>
        <v>3.2504875000000008E-4</v>
      </c>
      <c r="D22" s="13">
        <f>$E32</f>
        <v>3.2504875000000008E-4</v>
      </c>
      <c r="E22" s="13">
        <f>$E33</f>
        <v>3.2504875000000008E-4</v>
      </c>
      <c r="F22" s="13">
        <f>$E34</f>
        <v>3.2504875000000008E-4</v>
      </c>
      <c r="G22" s="13">
        <f>$E35</f>
        <v>3.2504875000000008E-4</v>
      </c>
      <c r="H22" s="13">
        <f>$E36</f>
        <v>3.2504875000000008E-4</v>
      </c>
      <c r="I22" s="13">
        <f>$E37</f>
        <v>3.2504875000000008E-4</v>
      </c>
      <c r="J22" s="13">
        <f>$E38</f>
        <v>3.2504875000000008E-4</v>
      </c>
      <c r="K22" s="13">
        <f>$E39</f>
        <v>3.2504875000000008E-4</v>
      </c>
      <c r="L22" s="13">
        <f>$E40</f>
        <v>3.2504875000000008E-4</v>
      </c>
      <c r="M22" s="13">
        <f>$E41</f>
        <v>3.2504875000000008E-4</v>
      </c>
      <c r="N22" s="13">
        <f>$E42</f>
        <v>3.2504875000000008E-4</v>
      </c>
      <c r="O22" s="13">
        <f>$E43</f>
        <v>3.2504875000000008E-4</v>
      </c>
      <c r="P22" s="13">
        <f>$E44</f>
        <v>3.2504875000000008E-4</v>
      </c>
      <c r="Q22" s="13">
        <f>$E45</f>
        <v>3.2504875000000008E-4</v>
      </c>
      <c r="R22" s="13">
        <f>$E46</f>
        <v>3.2504875000000008E-4</v>
      </c>
      <c r="S22" s="13">
        <f>$E47</f>
        <v>3.2504875000000008E-4</v>
      </c>
      <c r="T22" s="13">
        <f>$E48</f>
        <v>3.2504875000000008E-4</v>
      </c>
      <c r="U22" s="13">
        <f>$E49</f>
        <v>3.2504875000000008E-4</v>
      </c>
      <c r="V22" s="13">
        <f>$E50</f>
        <v>3.2504875000000008E-4</v>
      </c>
      <c r="AI22" s="55" t="s">
        <v>102</v>
      </c>
      <c r="AJ22" s="56">
        <v>1.2</v>
      </c>
      <c r="AK22" s="57">
        <v>5</v>
      </c>
      <c r="AL22" s="22">
        <v>20</v>
      </c>
      <c r="AM22" s="9">
        <v>6.7</v>
      </c>
      <c r="AN22" s="9" t="s">
        <v>135</v>
      </c>
    </row>
    <row r="23" spans="1:40" ht="13" x14ac:dyDescent="0.25">
      <c r="A23" s="111" t="s">
        <v>92</v>
      </c>
      <c r="B23" s="112"/>
      <c r="C23" s="13">
        <f>C22-C21</f>
        <v>-227.99967495125</v>
      </c>
      <c r="D23" s="13">
        <f t="shared" ref="D23:V23" si="3">D22-D21</f>
        <v>-227.99967495125</v>
      </c>
      <c r="E23" s="13">
        <f t="shared" si="3"/>
        <v>-227.99967495125</v>
      </c>
      <c r="F23" s="13">
        <f t="shared" si="3"/>
        <v>-227.99967495125</v>
      </c>
      <c r="G23" s="13">
        <f t="shared" si="3"/>
        <v>-227.99967495125</v>
      </c>
      <c r="H23" s="13">
        <f t="shared" si="3"/>
        <v>-227.99967495125</v>
      </c>
      <c r="I23" s="13">
        <f t="shared" si="3"/>
        <v>-227.99967495125</v>
      </c>
      <c r="J23" s="13">
        <f t="shared" si="3"/>
        <v>-227.99967495125</v>
      </c>
      <c r="K23" s="13">
        <f t="shared" si="3"/>
        <v>-227.99967495125</v>
      </c>
      <c r="L23" s="13">
        <f t="shared" si="3"/>
        <v>-227.99967495125</v>
      </c>
      <c r="M23" s="13">
        <f t="shared" si="3"/>
        <v>-227.99967495125</v>
      </c>
      <c r="N23" s="13">
        <f t="shared" si="3"/>
        <v>-227.99967495125</v>
      </c>
      <c r="O23" s="13">
        <f t="shared" si="3"/>
        <v>-227.99967495125</v>
      </c>
      <c r="P23" s="13">
        <f t="shared" si="3"/>
        <v>-227.99967495125</v>
      </c>
      <c r="Q23" s="13">
        <f t="shared" si="3"/>
        <v>-227.99967495125</v>
      </c>
      <c r="R23" s="13">
        <f t="shared" si="3"/>
        <v>-227.99967495125</v>
      </c>
      <c r="S23" s="13">
        <f t="shared" si="3"/>
        <v>-227.99967495125</v>
      </c>
      <c r="T23" s="13">
        <f t="shared" si="3"/>
        <v>-227.99967495125</v>
      </c>
      <c r="U23" s="13">
        <f t="shared" si="3"/>
        <v>-227.99967495125</v>
      </c>
      <c r="V23" s="13">
        <f t="shared" si="3"/>
        <v>-227.99967495125</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str">
        <f t="shared" si="4"/>
        <v>DECREASE</v>
      </c>
      <c r="V24" s="19" t="str">
        <f t="shared" si="4"/>
        <v>DECREASE</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2.6</v>
      </c>
      <c r="C28" s="12">
        <v>1.24</v>
      </c>
      <c r="D28" s="12">
        <v>0.17299999999999999</v>
      </c>
      <c r="E28" s="12">
        <v>4.1500000000000002E-2</v>
      </c>
      <c r="F28" s="12">
        <v>725</v>
      </c>
      <c r="G28" s="12">
        <v>45.5</v>
      </c>
      <c r="H28" s="12">
        <v>30.9</v>
      </c>
      <c r="I28" s="12">
        <v>6.2</v>
      </c>
      <c r="J28" s="12">
        <v>0.5</v>
      </c>
      <c r="K28" s="16">
        <v>1.34</v>
      </c>
      <c r="L28" s="12">
        <v>7.7</v>
      </c>
      <c r="M28" s="12">
        <v>4.3</v>
      </c>
      <c r="N28" s="12">
        <v>220000</v>
      </c>
      <c r="O28" s="12">
        <v>7040</v>
      </c>
      <c r="P28" s="12"/>
      <c r="Q28" s="12">
        <v>8300</v>
      </c>
      <c r="R28" s="12"/>
      <c r="S28" s="12">
        <v>12.2</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250</v>
      </c>
      <c r="C31" s="68">
        <f>IF(C$27="%w/w SAR",((C$28*10)*$B31),IF(C$27="%w/w DM",(((C$28*10)*($B$28/100))*$B31),IF(C$27="kg/t SAR",(C$28*$B31),IF(C$27="kg/t DM",((C$28*($B$28/100))*$B31),IF(C$27="mg/kg SAR",((C$28*0.001)*$B31),IF(C$27="mg/kg DM",(((C$28*0.001)*($B$28/100))*$B31),0))))))</f>
        <v>80.600000000000009</v>
      </c>
      <c r="D31" s="68">
        <f>(IF(D$27="%w/w SAR",((D$28*10)*$B31),IF(D$27="%w/w DM",(((D$28*10)*($B$28/100))*$B31),IF(D$27="kg/t SAR",(D$28*$B31),IF(D$27="kg/t DM",((D$28*($B$28/100))*$B31),IF(D$27="mg/kg SAR",((D$28*0.001)*$B31),IF(D$27="mg/kg DM",(((D$28*0.001)*($B$28/100))*$B31),"0")))))))*2.291</f>
        <v>25.762295000000002</v>
      </c>
      <c r="E31" s="68">
        <f>(IF(E$27="%w/w SAR",((E$28*10)*$B31),IF(E$27="%w/w DM",(((E$28*10)*($B$28/100))*$B31),IF(E$27="kg/t SAR",(E$28*$B31),IF(E$27="kg/t DM",((E$28*($B$28/100))*$B31),IF(E$27="mg/kg SAR",((E$28*0.001)*$B31),IF(E$27="mg/kg DM",(((E$28*0.001)*($B$28/100))*$B31),"0")))))))*1.205</f>
        <v>3.2504875000000008E-4</v>
      </c>
      <c r="F31" s="68">
        <f>(IF(F$27="%w/w SAR",((F$28*10)*$B31),IF(F$27="%w/w DM",(((F$28*10)*($B$28/100))*$B31),IF(F$27="kg/t SAR",(F$28*$B31),IF(F$27="kg/t DM",((F$28*($B$28/100))*$B31),IF(F$27="mg/kg SAR",((F$28*0.001)*$B31),IF(F$27="mg/kg DM",(((F$28*0.001)*($B$28/100))*$B31),"0")))))))*1.658</f>
        <v>7.8133249999999999</v>
      </c>
      <c r="G31" s="68">
        <f t="shared" ref="G31:P46" si="5">IF(G$27="%w/w SAR",((G$28*10)*$B31),IF(G$27="%w/w DM",(((G$28*10)*($B$28/100))*$B31),IF(G$27="kg/t SAR",(G$28*$B31),IF(G$27="kg/t DM",((G$28*($B$28/100))*$B31),IF(G$27="mg/kg SAR",((G$28*0.001)*$B31),IF(G$27="mg/kg DM",(((G$28*0.001)*($B$28/100))*$B31),0))))))</f>
        <v>0.29575000000000001</v>
      </c>
      <c r="H31" s="68">
        <f t="shared" si="5"/>
        <v>0.20085000000000003</v>
      </c>
      <c r="I31" s="68">
        <f t="shared" si="5"/>
        <v>4.0300000000000009E-2</v>
      </c>
      <c r="J31" s="68">
        <f t="shared" si="5"/>
        <v>3.2500000000000003E-3</v>
      </c>
      <c r="K31" s="68">
        <f t="shared" si="5"/>
        <v>8.7100000000000007E-3</v>
      </c>
      <c r="L31" s="68">
        <f t="shared" si="5"/>
        <v>5.0050000000000004E-2</v>
      </c>
      <c r="M31" s="68">
        <f t="shared" si="5"/>
        <v>2.7950000000000003E-2</v>
      </c>
      <c r="N31" s="68">
        <f t="shared" si="5"/>
        <v>1430.0000000000002</v>
      </c>
      <c r="O31" s="68">
        <f t="shared" si="5"/>
        <v>45.760000000000005</v>
      </c>
      <c r="P31" s="68">
        <f t="shared" si="5"/>
        <v>0</v>
      </c>
      <c r="Q31" s="68">
        <f>(IF(Q$27="%w/w SAR",((Q$28*10)*$B31),IF(Q$27="%w/w DM",(((Q$28*10)*($B$28/100))*$B31),IF(Q$27="kg/t SAR",(Q$28*$B31),IF(Q$27="kg/t DM",((Q$28*($B$28/100))*$B31),IF(Q$27="mg/kg SAR",((Q$28*0.001)*$B31),IF(Q$27="mg/kg DM",(((Q$28*0.001)*($B$28/100))*$B31),0)))))))*2.5</f>
        <v>134.87500000000003</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7.9300000000000009E-2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250</v>
      </c>
      <c r="C32" s="68">
        <f t="shared" ref="C32:C50" si="6">IF(C$27="%w/w SAR",((C$28*10)*$B32),IF(C$27="%w/w DM",(((C$28*10)*($B$28/100))*$B32),IF(C$27="kg/t SAR",(C$28*$B32),IF(C$27="kg/t DM",((C$28*($B$28/100))*$B32),IF(C$27="mg/kg SAR",((C$28*0.001)*$B32),IF(C$27="mg/kg DM",(((C$28*0.001)*($B$28/100))*$B32),0))))))</f>
        <v>80.600000000000009</v>
      </c>
      <c r="D32" s="68">
        <f t="shared" ref="D32:D50" si="7">(IF(D$27="%w/w SAR",((D$28*10)*$B32),IF(D$27="%w/w DM",(((D$28*10)*($B$28/100))*$B32),IF(D$27="kg/t SAR",(D$28*$B32),IF(D$27="kg/t DM",((D$28*($B$28/100))*$B32),IF(D$27="mg/kg SAR",((D$28*0.001)*$B32),IF(D$27="mg/kg DM",(((D$28*0.001)*($B$28/100))*$B32),"0")))))))*2.291</f>
        <v>25.762295000000002</v>
      </c>
      <c r="E32" s="68">
        <f t="shared" ref="E32:E50" si="8">(IF(E$27="%w/w SAR",((E$28*10)*$B32),IF(E$27="%w/w DM",(((E$28*10)*($B$28/100))*$B32),IF(E$27="kg/t SAR",(E$28*$B32),IF(E$27="kg/t DM",((E$28*($B$28/100))*$B32),IF(E$27="mg/kg SAR",((E$28*0.001)*$B32),IF(E$27="mg/kg DM",(((E$28*0.001)*($B$28/100))*$B32),"0")))))))*1.205</f>
        <v>3.2504875000000008E-4</v>
      </c>
      <c r="F32" s="68">
        <f t="shared" ref="F32:F50" si="9">(IF(F$27="%w/w SAR",((F$28*10)*$B32),IF(F$27="%w/w DM",(((F$28*10)*($B$28/100))*$B32),IF(F$27="kg/t SAR",(F$28*$B32),IF(F$27="kg/t DM",((F$28*($B$28/100))*$B32),IF(F$27="mg/kg SAR",((F$28*0.001)*$B32),IF(F$27="mg/kg DM",(((F$28*0.001)*($B$28/100))*$B32),"0")))))))*1.658</f>
        <v>7.8133249999999999</v>
      </c>
      <c r="G32" s="68">
        <f t="shared" si="5"/>
        <v>0.29575000000000001</v>
      </c>
      <c r="H32" s="68">
        <f t="shared" si="5"/>
        <v>0.20085000000000003</v>
      </c>
      <c r="I32" s="68">
        <f t="shared" si="5"/>
        <v>4.0300000000000009E-2</v>
      </c>
      <c r="J32" s="68">
        <f t="shared" si="5"/>
        <v>3.2500000000000003E-3</v>
      </c>
      <c r="K32" s="68">
        <f t="shared" si="5"/>
        <v>8.7100000000000007E-3</v>
      </c>
      <c r="L32" s="68">
        <f t="shared" si="5"/>
        <v>5.0050000000000004E-2</v>
      </c>
      <c r="M32" s="68">
        <f t="shared" si="5"/>
        <v>2.7950000000000003E-2</v>
      </c>
      <c r="N32" s="68">
        <f t="shared" si="5"/>
        <v>1430.0000000000002</v>
      </c>
      <c r="O32" s="68">
        <f t="shared" si="5"/>
        <v>45.760000000000005</v>
      </c>
      <c r="P32" s="68">
        <f t="shared" si="5"/>
        <v>0</v>
      </c>
      <c r="Q32" s="68">
        <f t="shared" ref="Q32:Q50" si="10">(IF(Q$27="%w/w SAR",((Q$28*10)*$B32),IF(Q$27="%w/w DM",(((Q$28*10)*($B$28/100))*$B32),IF(Q$27="kg/t SAR",(Q$28*$B32),IF(Q$27="kg/t DM",((Q$28*($B$28/100))*$B32),IF(Q$27="mg/kg SAR",((Q$28*0.001)*$B32),IF(Q$27="mg/kg DM",(((Q$28*0.001)*($B$28/100))*$B32),0)))))))*2.5</f>
        <v>134.87500000000003</v>
      </c>
      <c r="R32" s="68">
        <f t="shared" ref="R32:U50" si="11">IF(R$27="%w/w SAR",((R$28*10)*$B32),IF(R$27="%w/w DM",(((R$28*10)*($B$28/100))*$B32),IF(R$27="kg/t SAR",(R$28*$B32),IF(R$27="kg/t DM",((R$28*($B$28/100))*$B32),IF(R$27="mg/kg SAR",((R$28*0.001)*$B32),IF(R$27="mg/kg DM",(((R$28*0.001)*($B$28/100))*$B32),0))))))</f>
        <v>0</v>
      </c>
      <c r="S32" s="68">
        <f t="shared" si="11"/>
        <v>7.9300000000000009E-2</v>
      </c>
      <c r="T32" s="68">
        <f t="shared" si="11"/>
        <v>0</v>
      </c>
      <c r="U32" s="68">
        <f t="shared" si="11"/>
        <v>0</v>
      </c>
    </row>
    <row r="33" spans="1:21" s="51" customFormat="1" ht="13" x14ac:dyDescent="0.35">
      <c r="A33" s="10">
        <f>E8</f>
        <v>3</v>
      </c>
      <c r="B33" s="12">
        <v>250</v>
      </c>
      <c r="C33" s="68">
        <f t="shared" si="6"/>
        <v>80.600000000000009</v>
      </c>
      <c r="D33" s="68">
        <f t="shared" si="7"/>
        <v>25.762295000000002</v>
      </c>
      <c r="E33" s="68">
        <f t="shared" si="8"/>
        <v>3.2504875000000008E-4</v>
      </c>
      <c r="F33" s="68">
        <f t="shared" si="9"/>
        <v>7.8133249999999999</v>
      </c>
      <c r="G33" s="68">
        <f t="shared" si="5"/>
        <v>0.29575000000000001</v>
      </c>
      <c r="H33" s="68">
        <f t="shared" si="5"/>
        <v>0.20085000000000003</v>
      </c>
      <c r="I33" s="68">
        <f t="shared" si="5"/>
        <v>4.0300000000000009E-2</v>
      </c>
      <c r="J33" s="68">
        <f t="shared" si="5"/>
        <v>3.2500000000000003E-3</v>
      </c>
      <c r="K33" s="68">
        <f t="shared" si="5"/>
        <v>8.7100000000000007E-3</v>
      </c>
      <c r="L33" s="68">
        <f t="shared" si="5"/>
        <v>5.0050000000000004E-2</v>
      </c>
      <c r="M33" s="68">
        <f t="shared" si="5"/>
        <v>2.7950000000000003E-2</v>
      </c>
      <c r="N33" s="68">
        <f t="shared" si="5"/>
        <v>1430.0000000000002</v>
      </c>
      <c r="O33" s="68">
        <f t="shared" si="5"/>
        <v>45.760000000000005</v>
      </c>
      <c r="P33" s="68">
        <f t="shared" si="5"/>
        <v>0</v>
      </c>
      <c r="Q33" s="68">
        <f t="shared" si="10"/>
        <v>134.87500000000003</v>
      </c>
      <c r="R33" s="68">
        <f t="shared" si="11"/>
        <v>0</v>
      </c>
      <c r="S33" s="68">
        <f t="shared" si="11"/>
        <v>7.9300000000000009E-2</v>
      </c>
      <c r="T33" s="68">
        <f t="shared" si="11"/>
        <v>0</v>
      </c>
      <c r="U33" s="68">
        <f t="shared" si="11"/>
        <v>0</v>
      </c>
    </row>
    <row r="34" spans="1:21" s="51" customFormat="1" ht="13" x14ac:dyDescent="0.35">
      <c r="A34" s="10">
        <f>F8</f>
        <v>4</v>
      </c>
      <c r="B34" s="12">
        <v>250</v>
      </c>
      <c r="C34" s="68">
        <f t="shared" si="6"/>
        <v>80.600000000000009</v>
      </c>
      <c r="D34" s="68">
        <f t="shared" si="7"/>
        <v>25.762295000000002</v>
      </c>
      <c r="E34" s="68">
        <f t="shared" si="8"/>
        <v>3.2504875000000008E-4</v>
      </c>
      <c r="F34" s="68">
        <f t="shared" si="9"/>
        <v>7.8133249999999999</v>
      </c>
      <c r="G34" s="68">
        <f t="shared" si="5"/>
        <v>0.29575000000000001</v>
      </c>
      <c r="H34" s="68">
        <f t="shared" si="5"/>
        <v>0.20085000000000003</v>
      </c>
      <c r="I34" s="68">
        <f t="shared" si="5"/>
        <v>4.0300000000000009E-2</v>
      </c>
      <c r="J34" s="68">
        <f t="shared" si="5"/>
        <v>3.2500000000000003E-3</v>
      </c>
      <c r="K34" s="68">
        <f t="shared" si="5"/>
        <v>8.7100000000000007E-3</v>
      </c>
      <c r="L34" s="68">
        <f t="shared" si="5"/>
        <v>5.0050000000000004E-2</v>
      </c>
      <c r="M34" s="68">
        <f t="shared" si="5"/>
        <v>2.7950000000000003E-2</v>
      </c>
      <c r="N34" s="68">
        <f t="shared" si="5"/>
        <v>1430.0000000000002</v>
      </c>
      <c r="O34" s="68">
        <f t="shared" si="5"/>
        <v>45.760000000000005</v>
      </c>
      <c r="P34" s="68">
        <f t="shared" si="5"/>
        <v>0</v>
      </c>
      <c r="Q34" s="68">
        <f t="shared" si="10"/>
        <v>134.87500000000003</v>
      </c>
      <c r="R34" s="68">
        <f t="shared" si="11"/>
        <v>0</v>
      </c>
      <c r="S34" s="68">
        <f t="shared" si="11"/>
        <v>7.9300000000000009E-2</v>
      </c>
      <c r="T34" s="68">
        <f t="shared" si="11"/>
        <v>0</v>
      </c>
      <c r="U34" s="68">
        <f t="shared" si="11"/>
        <v>0</v>
      </c>
    </row>
    <row r="35" spans="1:21" s="51" customFormat="1" ht="13" x14ac:dyDescent="0.35">
      <c r="A35" s="10">
        <f>G8</f>
        <v>5</v>
      </c>
      <c r="B35" s="12">
        <v>250</v>
      </c>
      <c r="C35" s="68">
        <f t="shared" si="6"/>
        <v>80.600000000000009</v>
      </c>
      <c r="D35" s="68">
        <f t="shared" si="7"/>
        <v>25.762295000000002</v>
      </c>
      <c r="E35" s="68">
        <f t="shared" si="8"/>
        <v>3.2504875000000008E-4</v>
      </c>
      <c r="F35" s="68">
        <f t="shared" si="9"/>
        <v>7.8133249999999999</v>
      </c>
      <c r="G35" s="68">
        <f t="shared" si="5"/>
        <v>0.29575000000000001</v>
      </c>
      <c r="H35" s="68">
        <f t="shared" si="5"/>
        <v>0.20085000000000003</v>
      </c>
      <c r="I35" s="68">
        <f t="shared" si="5"/>
        <v>4.0300000000000009E-2</v>
      </c>
      <c r="J35" s="68">
        <f t="shared" si="5"/>
        <v>3.2500000000000003E-3</v>
      </c>
      <c r="K35" s="68">
        <f t="shared" si="5"/>
        <v>8.7100000000000007E-3</v>
      </c>
      <c r="L35" s="68">
        <f t="shared" si="5"/>
        <v>5.0050000000000004E-2</v>
      </c>
      <c r="M35" s="68">
        <f t="shared" si="5"/>
        <v>2.7950000000000003E-2</v>
      </c>
      <c r="N35" s="68">
        <f t="shared" si="5"/>
        <v>1430.0000000000002</v>
      </c>
      <c r="O35" s="68">
        <f t="shared" si="5"/>
        <v>45.760000000000005</v>
      </c>
      <c r="P35" s="68">
        <f t="shared" si="5"/>
        <v>0</v>
      </c>
      <c r="Q35" s="68">
        <f t="shared" si="10"/>
        <v>134.87500000000003</v>
      </c>
      <c r="R35" s="68">
        <f t="shared" si="11"/>
        <v>0</v>
      </c>
      <c r="S35" s="68">
        <f t="shared" si="11"/>
        <v>7.9300000000000009E-2</v>
      </c>
      <c r="T35" s="68">
        <f t="shared" si="11"/>
        <v>0</v>
      </c>
      <c r="U35" s="68">
        <f t="shared" si="11"/>
        <v>0</v>
      </c>
    </row>
    <row r="36" spans="1:21" s="51" customFormat="1" ht="13" x14ac:dyDescent="0.35">
      <c r="A36" s="10">
        <f>H8</f>
        <v>6</v>
      </c>
      <c r="B36" s="12">
        <v>250</v>
      </c>
      <c r="C36" s="68">
        <f t="shared" si="6"/>
        <v>80.600000000000009</v>
      </c>
      <c r="D36" s="68">
        <f t="shared" si="7"/>
        <v>25.762295000000002</v>
      </c>
      <c r="E36" s="68">
        <f t="shared" si="8"/>
        <v>3.2504875000000008E-4</v>
      </c>
      <c r="F36" s="68">
        <f t="shared" si="9"/>
        <v>7.8133249999999999</v>
      </c>
      <c r="G36" s="68">
        <f t="shared" si="5"/>
        <v>0.29575000000000001</v>
      </c>
      <c r="H36" s="68">
        <f t="shared" si="5"/>
        <v>0.20085000000000003</v>
      </c>
      <c r="I36" s="68">
        <f t="shared" si="5"/>
        <v>4.0300000000000009E-2</v>
      </c>
      <c r="J36" s="68">
        <f t="shared" si="5"/>
        <v>3.2500000000000003E-3</v>
      </c>
      <c r="K36" s="68">
        <f t="shared" si="5"/>
        <v>8.7100000000000007E-3</v>
      </c>
      <c r="L36" s="68">
        <f t="shared" si="5"/>
        <v>5.0050000000000004E-2</v>
      </c>
      <c r="M36" s="68">
        <f t="shared" si="5"/>
        <v>2.7950000000000003E-2</v>
      </c>
      <c r="N36" s="68">
        <f t="shared" si="5"/>
        <v>1430.0000000000002</v>
      </c>
      <c r="O36" s="68">
        <f t="shared" si="5"/>
        <v>45.760000000000005</v>
      </c>
      <c r="P36" s="68">
        <f t="shared" si="5"/>
        <v>0</v>
      </c>
      <c r="Q36" s="68">
        <f t="shared" si="10"/>
        <v>134.87500000000003</v>
      </c>
      <c r="R36" s="68">
        <f t="shared" si="11"/>
        <v>0</v>
      </c>
      <c r="S36" s="68">
        <f t="shared" si="11"/>
        <v>7.9300000000000009E-2</v>
      </c>
      <c r="T36" s="68">
        <f t="shared" si="11"/>
        <v>0</v>
      </c>
      <c r="U36" s="68">
        <f t="shared" si="11"/>
        <v>0</v>
      </c>
    </row>
    <row r="37" spans="1:21" s="51" customFormat="1" ht="13" x14ac:dyDescent="0.35">
      <c r="A37" s="10">
        <f>I8</f>
        <v>7</v>
      </c>
      <c r="B37" s="12">
        <v>250</v>
      </c>
      <c r="C37" s="68">
        <f t="shared" si="6"/>
        <v>80.600000000000009</v>
      </c>
      <c r="D37" s="68">
        <f t="shared" si="7"/>
        <v>25.762295000000002</v>
      </c>
      <c r="E37" s="68">
        <f t="shared" si="8"/>
        <v>3.2504875000000008E-4</v>
      </c>
      <c r="F37" s="68">
        <f t="shared" si="9"/>
        <v>7.8133249999999999</v>
      </c>
      <c r="G37" s="68">
        <f t="shared" si="5"/>
        <v>0.29575000000000001</v>
      </c>
      <c r="H37" s="68">
        <f t="shared" si="5"/>
        <v>0.20085000000000003</v>
      </c>
      <c r="I37" s="68">
        <f t="shared" si="5"/>
        <v>4.0300000000000009E-2</v>
      </c>
      <c r="J37" s="68">
        <f t="shared" si="5"/>
        <v>3.2500000000000003E-3</v>
      </c>
      <c r="K37" s="68">
        <f t="shared" si="5"/>
        <v>8.7100000000000007E-3</v>
      </c>
      <c r="L37" s="68">
        <f t="shared" si="5"/>
        <v>5.0050000000000004E-2</v>
      </c>
      <c r="M37" s="68">
        <f t="shared" si="5"/>
        <v>2.7950000000000003E-2</v>
      </c>
      <c r="N37" s="68">
        <f t="shared" si="5"/>
        <v>1430.0000000000002</v>
      </c>
      <c r="O37" s="68">
        <f t="shared" si="5"/>
        <v>45.760000000000005</v>
      </c>
      <c r="P37" s="68">
        <f t="shared" si="5"/>
        <v>0</v>
      </c>
      <c r="Q37" s="68">
        <f t="shared" si="10"/>
        <v>134.87500000000003</v>
      </c>
      <c r="R37" s="68">
        <f t="shared" si="11"/>
        <v>0</v>
      </c>
      <c r="S37" s="68">
        <f t="shared" si="11"/>
        <v>7.9300000000000009E-2</v>
      </c>
      <c r="T37" s="68">
        <f t="shared" si="11"/>
        <v>0</v>
      </c>
      <c r="U37" s="68">
        <f t="shared" si="11"/>
        <v>0</v>
      </c>
    </row>
    <row r="38" spans="1:21" s="51" customFormat="1" ht="13" x14ac:dyDescent="0.35">
      <c r="A38" s="10">
        <f>J8</f>
        <v>8</v>
      </c>
      <c r="B38" s="12">
        <v>250</v>
      </c>
      <c r="C38" s="68">
        <f t="shared" si="6"/>
        <v>80.600000000000009</v>
      </c>
      <c r="D38" s="68">
        <f t="shared" si="7"/>
        <v>25.762295000000002</v>
      </c>
      <c r="E38" s="68">
        <f t="shared" si="8"/>
        <v>3.2504875000000008E-4</v>
      </c>
      <c r="F38" s="68">
        <f t="shared" si="9"/>
        <v>7.8133249999999999</v>
      </c>
      <c r="G38" s="68">
        <f t="shared" si="5"/>
        <v>0.29575000000000001</v>
      </c>
      <c r="H38" s="68">
        <f t="shared" si="5"/>
        <v>0.20085000000000003</v>
      </c>
      <c r="I38" s="68">
        <f t="shared" si="5"/>
        <v>4.0300000000000009E-2</v>
      </c>
      <c r="J38" s="68">
        <f t="shared" si="5"/>
        <v>3.2500000000000003E-3</v>
      </c>
      <c r="K38" s="68">
        <f t="shared" si="5"/>
        <v>8.7100000000000007E-3</v>
      </c>
      <c r="L38" s="68">
        <f t="shared" si="5"/>
        <v>5.0050000000000004E-2</v>
      </c>
      <c r="M38" s="68">
        <f t="shared" si="5"/>
        <v>2.7950000000000003E-2</v>
      </c>
      <c r="N38" s="68">
        <f t="shared" si="5"/>
        <v>1430.0000000000002</v>
      </c>
      <c r="O38" s="68">
        <f t="shared" si="5"/>
        <v>45.760000000000005</v>
      </c>
      <c r="P38" s="68">
        <f t="shared" si="5"/>
        <v>0</v>
      </c>
      <c r="Q38" s="68">
        <f t="shared" si="10"/>
        <v>134.87500000000003</v>
      </c>
      <c r="R38" s="68">
        <f t="shared" si="11"/>
        <v>0</v>
      </c>
      <c r="S38" s="68">
        <f t="shared" si="11"/>
        <v>7.9300000000000009E-2</v>
      </c>
      <c r="T38" s="68">
        <f t="shared" si="11"/>
        <v>0</v>
      </c>
      <c r="U38" s="68">
        <f t="shared" si="11"/>
        <v>0</v>
      </c>
    </row>
    <row r="39" spans="1:21" s="51" customFormat="1" ht="13" x14ac:dyDescent="0.35">
      <c r="A39" s="10">
        <f>K8</f>
        <v>9</v>
      </c>
      <c r="B39" s="12">
        <v>250</v>
      </c>
      <c r="C39" s="68">
        <f t="shared" si="6"/>
        <v>80.600000000000009</v>
      </c>
      <c r="D39" s="68">
        <f t="shared" si="7"/>
        <v>25.762295000000002</v>
      </c>
      <c r="E39" s="68">
        <f t="shared" si="8"/>
        <v>3.2504875000000008E-4</v>
      </c>
      <c r="F39" s="68">
        <f t="shared" si="9"/>
        <v>7.8133249999999999</v>
      </c>
      <c r="G39" s="68">
        <f t="shared" si="5"/>
        <v>0.29575000000000001</v>
      </c>
      <c r="H39" s="68">
        <f t="shared" si="5"/>
        <v>0.20085000000000003</v>
      </c>
      <c r="I39" s="68">
        <f t="shared" si="5"/>
        <v>4.0300000000000009E-2</v>
      </c>
      <c r="J39" s="68">
        <f t="shared" si="5"/>
        <v>3.2500000000000003E-3</v>
      </c>
      <c r="K39" s="68">
        <f t="shared" si="5"/>
        <v>8.7100000000000007E-3</v>
      </c>
      <c r="L39" s="68">
        <f t="shared" si="5"/>
        <v>5.0050000000000004E-2</v>
      </c>
      <c r="M39" s="68">
        <f t="shared" si="5"/>
        <v>2.7950000000000003E-2</v>
      </c>
      <c r="N39" s="68">
        <f t="shared" si="5"/>
        <v>1430.0000000000002</v>
      </c>
      <c r="O39" s="68">
        <f t="shared" si="5"/>
        <v>45.760000000000005</v>
      </c>
      <c r="P39" s="68">
        <f t="shared" si="5"/>
        <v>0</v>
      </c>
      <c r="Q39" s="68">
        <f t="shared" si="10"/>
        <v>134.87500000000003</v>
      </c>
      <c r="R39" s="68">
        <f t="shared" si="11"/>
        <v>0</v>
      </c>
      <c r="S39" s="68">
        <f t="shared" si="11"/>
        <v>7.9300000000000009E-2</v>
      </c>
      <c r="T39" s="68">
        <f t="shared" si="11"/>
        <v>0</v>
      </c>
      <c r="U39" s="68">
        <f t="shared" si="11"/>
        <v>0</v>
      </c>
    </row>
    <row r="40" spans="1:21" s="51" customFormat="1" ht="13" x14ac:dyDescent="0.35">
      <c r="A40" s="10">
        <f>L8</f>
        <v>10</v>
      </c>
      <c r="B40" s="12">
        <v>250</v>
      </c>
      <c r="C40" s="68">
        <f t="shared" si="6"/>
        <v>80.600000000000009</v>
      </c>
      <c r="D40" s="68">
        <f t="shared" si="7"/>
        <v>25.762295000000002</v>
      </c>
      <c r="E40" s="68">
        <f t="shared" si="8"/>
        <v>3.2504875000000008E-4</v>
      </c>
      <c r="F40" s="68">
        <f t="shared" si="9"/>
        <v>7.8133249999999999</v>
      </c>
      <c r="G40" s="68">
        <f t="shared" si="5"/>
        <v>0.29575000000000001</v>
      </c>
      <c r="H40" s="68">
        <f t="shared" si="5"/>
        <v>0.20085000000000003</v>
      </c>
      <c r="I40" s="68">
        <f t="shared" si="5"/>
        <v>4.0300000000000009E-2</v>
      </c>
      <c r="J40" s="68">
        <f t="shared" si="5"/>
        <v>3.2500000000000003E-3</v>
      </c>
      <c r="K40" s="68">
        <f t="shared" si="5"/>
        <v>8.7100000000000007E-3</v>
      </c>
      <c r="L40" s="68">
        <f t="shared" si="5"/>
        <v>5.0050000000000004E-2</v>
      </c>
      <c r="M40" s="68">
        <f t="shared" si="5"/>
        <v>2.7950000000000003E-2</v>
      </c>
      <c r="N40" s="68">
        <f t="shared" si="5"/>
        <v>1430.0000000000002</v>
      </c>
      <c r="O40" s="68">
        <f t="shared" si="5"/>
        <v>45.760000000000005</v>
      </c>
      <c r="P40" s="68">
        <f t="shared" si="5"/>
        <v>0</v>
      </c>
      <c r="Q40" s="68">
        <f t="shared" si="10"/>
        <v>134.87500000000003</v>
      </c>
      <c r="R40" s="68">
        <f t="shared" si="11"/>
        <v>0</v>
      </c>
      <c r="S40" s="68">
        <f t="shared" si="11"/>
        <v>7.9300000000000009E-2</v>
      </c>
      <c r="T40" s="68">
        <f t="shared" si="11"/>
        <v>0</v>
      </c>
      <c r="U40" s="68">
        <f t="shared" si="11"/>
        <v>0</v>
      </c>
    </row>
    <row r="41" spans="1:21" s="51" customFormat="1" ht="13" x14ac:dyDescent="0.35">
      <c r="A41" s="10">
        <f>M8</f>
        <v>11</v>
      </c>
      <c r="B41" s="12">
        <v>250</v>
      </c>
      <c r="C41" s="68">
        <f t="shared" si="6"/>
        <v>80.600000000000009</v>
      </c>
      <c r="D41" s="68">
        <f t="shared" si="7"/>
        <v>25.762295000000002</v>
      </c>
      <c r="E41" s="68">
        <f t="shared" si="8"/>
        <v>3.2504875000000008E-4</v>
      </c>
      <c r="F41" s="68">
        <f t="shared" si="9"/>
        <v>7.8133249999999999</v>
      </c>
      <c r="G41" s="68">
        <f t="shared" si="5"/>
        <v>0.29575000000000001</v>
      </c>
      <c r="H41" s="68">
        <f t="shared" si="5"/>
        <v>0.20085000000000003</v>
      </c>
      <c r="I41" s="68">
        <f t="shared" si="5"/>
        <v>4.0300000000000009E-2</v>
      </c>
      <c r="J41" s="68">
        <f t="shared" si="5"/>
        <v>3.2500000000000003E-3</v>
      </c>
      <c r="K41" s="68">
        <f t="shared" si="5"/>
        <v>8.7100000000000007E-3</v>
      </c>
      <c r="L41" s="68">
        <f t="shared" si="5"/>
        <v>5.0050000000000004E-2</v>
      </c>
      <c r="M41" s="68">
        <f t="shared" si="5"/>
        <v>2.7950000000000003E-2</v>
      </c>
      <c r="N41" s="68">
        <f t="shared" si="5"/>
        <v>1430.0000000000002</v>
      </c>
      <c r="O41" s="68">
        <f t="shared" si="5"/>
        <v>45.760000000000005</v>
      </c>
      <c r="P41" s="68">
        <f t="shared" si="5"/>
        <v>0</v>
      </c>
      <c r="Q41" s="68">
        <f t="shared" si="10"/>
        <v>134.87500000000003</v>
      </c>
      <c r="R41" s="68">
        <f t="shared" si="11"/>
        <v>0</v>
      </c>
      <c r="S41" s="68">
        <f t="shared" si="11"/>
        <v>7.9300000000000009E-2</v>
      </c>
      <c r="T41" s="68">
        <f t="shared" si="11"/>
        <v>0</v>
      </c>
      <c r="U41" s="68">
        <f t="shared" si="11"/>
        <v>0</v>
      </c>
    </row>
    <row r="42" spans="1:21" s="51" customFormat="1" ht="13" x14ac:dyDescent="0.35">
      <c r="A42" s="10">
        <f>N8</f>
        <v>12</v>
      </c>
      <c r="B42" s="12">
        <v>250</v>
      </c>
      <c r="C42" s="68">
        <f t="shared" si="6"/>
        <v>80.600000000000009</v>
      </c>
      <c r="D42" s="68">
        <f t="shared" si="7"/>
        <v>25.762295000000002</v>
      </c>
      <c r="E42" s="68">
        <f t="shared" si="8"/>
        <v>3.2504875000000008E-4</v>
      </c>
      <c r="F42" s="68">
        <f t="shared" si="9"/>
        <v>7.8133249999999999</v>
      </c>
      <c r="G42" s="68">
        <f t="shared" si="5"/>
        <v>0.29575000000000001</v>
      </c>
      <c r="H42" s="68">
        <f t="shared" si="5"/>
        <v>0.20085000000000003</v>
      </c>
      <c r="I42" s="68">
        <f t="shared" si="5"/>
        <v>4.0300000000000009E-2</v>
      </c>
      <c r="J42" s="68">
        <f t="shared" si="5"/>
        <v>3.2500000000000003E-3</v>
      </c>
      <c r="K42" s="68">
        <f t="shared" si="5"/>
        <v>8.7100000000000007E-3</v>
      </c>
      <c r="L42" s="68">
        <f t="shared" si="5"/>
        <v>5.0050000000000004E-2</v>
      </c>
      <c r="M42" s="68">
        <f t="shared" si="5"/>
        <v>2.7950000000000003E-2</v>
      </c>
      <c r="N42" s="68">
        <f t="shared" si="5"/>
        <v>1430.0000000000002</v>
      </c>
      <c r="O42" s="68">
        <f t="shared" si="5"/>
        <v>45.760000000000005</v>
      </c>
      <c r="P42" s="68">
        <f t="shared" si="5"/>
        <v>0</v>
      </c>
      <c r="Q42" s="68">
        <f t="shared" si="10"/>
        <v>134.87500000000003</v>
      </c>
      <c r="R42" s="68">
        <f t="shared" si="11"/>
        <v>0</v>
      </c>
      <c r="S42" s="68">
        <f t="shared" si="11"/>
        <v>7.9300000000000009E-2</v>
      </c>
      <c r="T42" s="68">
        <f t="shared" si="11"/>
        <v>0</v>
      </c>
      <c r="U42" s="68">
        <f t="shared" si="11"/>
        <v>0</v>
      </c>
    </row>
    <row r="43" spans="1:21" s="51" customFormat="1" ht="13" x14ac:dyDescent="0.35">
      <c r="A43" s="10">
        <f>O8</f>
        <v>13</v>
      </c>
      <c r="B43" s="12">
        <v>250</v>
      </c>
      <c r="C43" s="68">
        <f t="shared" si="6"/>
        <v>80.600000000000009</v>
      </c>
      <c r="D43" s="68">
        <f t="shared" si="7"/>
        <v>25.762295000000002</v>
      </c>
      <c r="E43" s="68">
        <f t="shared" si="8"/>
        <v>3.2504875000000008E-4</v>
      </c>
      <c r="F43" s="68">
        <f t="shared" si="9"/>
        <v>7.8133249999999999</v>
      </c>
      <c r="G43" s="68">
        <f t="shared" si="5"/>
        <v>0.29575000000000001</v>
      </c>
      <c r="H43" s="68">
        <f t="shared" si="5"/>
        <v>0.20085000000000003</v>
      </c>
      <c r="I43" s="68">
        <f t="shared" si="5"/>
        <v>4.0300000000000009E-2</v>
      </c>
      <c r="J43" s="68">
        <f t="shared" si="5"/>
        <v>3.2500000000000003E-3</v>
      </c>
      <c r="K43" s="68">
        <f t="shared" si="5"/>
        <v>8.7100000000000007E-3</v>
      </c>
      <c r="L43" s="68">
        <f t="shared" si="5"/>
        <v>5.0050000000000004E-2</v>
      </c>
      <c r="M43" s="68">
        <f t="shared" si="5"/>
        <v>2.7950000000000003E-2</v>
      </c>
      <c r="N43" s="68">
        <f t="shared" si="5"/>
        <v>1430.0000000000002</v>
      </c>
      <c r="O43" s="68">
        <f t="shared" si="5"/>
        <v>45.760000000000005</v>
      </c>
      <c r="P43" s="68">
        <f t="shared" si="5"/>
        <v>0</v>
      </c>
      <c r="Q43" s="68">
        <f t="shared" si="10"/>
        <v>134.87500000000003</v>
      </c>
      <c r="R43" s="68">
        <f t="shared" si="11"/>
        <v>0</v>
      </c>
      <c r="S43" s="68">
        <f t="shared" si="11"/>
        <v>7.9300000000000009E-2</v>
      </c>
      <c r="T43" s="68">
        <f t="shared" si="11"/>
        <v>0</v>
      </c>
      <c r="U43" s="68">
        <f t="shared" si="11"/>
        <v>0</v>
      </c>
    </row>
    <row r="44" spans="1:21" s="51" customFormat="1" ht="13" x14ac:dyDescent="0.35">
      <c r="A44" s="10">
        <f>P8</f>
        <v>15</v>
      </c>
      <c r="B44" s="12">
        <v>250</v>
      </c>
      <c r="C44" s="68">
        <f t="shared" si="6"/>
        <v>80.600000000000009</v>
      </c>
      <c r="D44" s="68">
        <f t="shared" si="7"/>
        <v>25.762295000000002</v>
      </c>
      <c r="E44" s="68">
        <f t="shared" si="8"/>
        <v>3.2504875000000008E-4</v>
      </c>
      <c r="F44" s="68">
        <f t="shared" si="9"/>
        <v>7.8133249999999999</v>
      </c>
      <c r="G44" s="68">
        <f t="shared" si="5"/>
        <v>0.29575000000000001</v>
      </c>
      <c r="H44" s="68">
        <f t="shared" si="5"/>
        <v>0.20085000000000003</v>
      </c>
      <c r="I44" s="68">
        <f t="shared" si="5"/>
        <v>4.0300000000000009E-2</v>
      </c>
      <c r="J44" s="68">
        <f t="shared" si="5"/>
        <v>3.2500000000000003E-3</v>
      </c>
      <c r="K44" s="68">
        <f t="shared" si="5"/>
        <v>8.7100000000000007E-3</v>
      </c>
      <c r="L44" s="68">
        <f t="shared" si="5"/>
        <v>5.0050000000000004E-2</v>
      </c>
      <c r="M44" s="68">
        <f t="shared" si="5"/>
        <v>2.7950000000000003E-2</v>
      </c>
      <c r="N44" s="68">
        <f t="shared" si="5"/>
        <v>1430.0000000000002</v>
      </c>
      <c r="O44" s="68">
        <f t="shared" si="5"/>
        <v>45.760000000000005</v>
      </c>
      <c r="P44" s="68">
        <f t="shared" si="5"/>
        <v>0</v>
      </c>
      <c r="Q44" s="68">
        <f t="shared" si="10"/>
        <v>134.87500000000003</v>
      </c>
      <c r="R44" s="68">
        <f t="shared" si="11"/>
        <v>0</v>
      </c>
      <c r="S44" s="68">
        <f t="shared" si="11"/>
        <v>7.9300000000000009E-2</v>
      </c>
      <c r="T44" s="68">
        <f t="shared" si="11"/>
        <v>0</v>
      </c>
      <c r="U44" s="68">
        <f t="shared" si="11"/>
        <v>0</v>
      </c>
    </row>
    <row r="45" spans="1:21" s="51" customFormat="1" ht="13" x14ac:dyDescent="0.35">
      <c r="A45" s="10">
        <f>Q8</f>
        <v>16</v>
      </c>
      <c r="B45" s="12">
        <v>250</v>
      </c>
      <c r="C45" s="68">
        <f t="shared" si="6"/>
        <v>80.600000000000009</v>
      </c>
      <c r="D45" s="68">
        <f t="shared" si="7"/>
        <v>25.762295000000002</v>
      </c>
      <c r="E45" s="68">
        <f t="shared" si="8"/>
        <v>3.2504875000000008E-4</v>
      </c>
      <c r="F45" s="68">
        <f t="shared" si="9"/>
        <v>7.8133249999999999</v>
      </c>
      <c r="G45" s="68">
        <f t="shared" si="5"/>
        <v>0.29575000000000001</v>
      </c>
      <c r="H45" s="68">
        <f t="shared" si="5"/>
        <v>0.20085000000000003</v>
      </c>
      <c r="I45" s="68">
        <f t="shared" si="5"/>
        <v>4.0300000000000009E-2</v>
      </c>
      <c r="J45" s="68">
        <f t="shared" si="5"/>
        <v>3.2500000000000003E-3</v>
      </c>
      <c r="K45" s="68">
        <f t="shared" si="5"/>
        <v>8.7100000000000007E-3</v>
      </c>
      <c r="L45" s="68">
        <f t="shared" si="5"/>
        <v>5.0050000000000004E-2</v>
      </c>
      <c r="M45" s="68">
        <f t="shared" si="5"/>
        <v>2.7950000000000003E-2</v>
      </c>
      <c r="N45" s="68">
        <f t="shared" si="5"/>
        <v>1430.0000000000002</v>
      </c>
      <c r="O45" s="68">
        <f t="shared" si="5"/>
        <v>45.760000000000005</v>
      </c>
      <c r="P45" s="68">
        <f t="shared" si="5"/>
        <v>0</v>
      </c>
      <c r="Q45" s="68">
        <f t="shared" si="10"/>
        <v>134.87500000000003</v>
      </c>
      <c r="R45" s="68">
        <f t="shared" si="11"/>
        <v>0</v>
      </c>
      <c r="S45" s="68">
        <f t="shared" si="11"/>
        <v>7.9300000000000009E-2</v>
      </c>
      <c r="T45" s="68">
        <f t="shared" si="11"/>
        <v>0</v>
      </c>
      <c r="U45" s="68">
        <f t="shared" si="11"/>
        <v>0</v>
      </c>
    </row>
    <row r="46" spans="1:21" s="51" customFormat="1" ht="13" x14ac:dyDescent="0.35">
      <c r="A46" s="10">
        <f>R8</f>
        <v>21</v>
      </c>
      <c r="B46" s="12">
        <v>250</v>
      </c>
      <c r="C46" s="68">
        <f t="shared" si="6"/>
        <v>80.600000000000009</v>
      </c>
      <c r="D46" s="68">
        <f t="shared" si="7"/>
        <v>25.762295000000002</v>
      </c>
      <c r="E46" s="68">
        <f t="shared" si="8"/>
        <v>3.2504875000000008E-4</v>
      </c>
      <c r="F46" s="68">
        <f t="shared" si="9"/>
        <v>7.8133249999999999</v>
      </c>
      <c r="G46" s="68">
        <f t="shared" si="5"/>
        <v>0.29575000000000001</v>
      </c>
      <c r="H46" s="68">
        <f t="shared" si="5"/>
        <v>0.20085000000000003</v>
      </c>
      <c r="I46" s="68">
        <f t="shared" si="5"/>
        <v>4.0300000000000009E-2</v>
      </c>
      <c r="J46" s="68">
        <f t="shared" si="5"/>
        <v>3.2500000000000003E-3</v>
      </c>
      <c r="K46" s="68">
        <f t="shared" si="5"/>
        <v>8.7100000000000007E-3</v>
      </c>
      <c r="L46" s="68">
        <f t="shared" si="5"/>
        <v>5.0050000000000004E-2</v>
      </c>
      <c r="M46" s="68">
        <f t="shared" si="5"/>
        <v>2.7950000000000003E-2</v>
      </c>
      <c r="N46" s="68">
        <f t="shared" si="5"/>
        <v>1430.0000000000002</v>
      </c>
      <c r="O46" s="68">
        <f t="shared" si="5"/>
        <v>45.760000000000005</v>
      </c>
      <c r="P46" s="68">
        <f t="shared" si="5"/>
        <v>0</v>
      </c>
      <c r="Q46" s="68">
        <f t="shared" si="10"/>
        <v>134.87500000000003</v>
      </c>
      <c r="R46" s="68">
        <f t="shared" si="11"/>
        <v>0</v>
      </c>
      <c r="S46" s="68">
        <f t="shared" si="11"/>
        <v>7.9300000000000009E-2</v>
      </c>
      <c r="T46" s="68">
        <f t="shared" si="11"/>
        <v>0</v>
      </c>
      <c r="U46" s="68">
        <f t="shared" si="11"/>
        <v>0</v>
      </c>
    </row>
    <row r="47" spans="1:21" s="51" customFormat="1" ht="13" x14ac:dyDescent="0.35">
      <c r="A47" s="10">
        <f>S8</f>
        <v>22</v>
      </c>
      <c r="B47" s="12">
        <v>250</v>
      </c>
      <c r="C47" s="68">
        <f t="shared" si="6"/>
        <v>80.600000000000009</v>
      </c>
      <c r="D47" s="68">
        <f t="shared" si="7"/>
        <v>25.762295000000002</v>
      </c>
      <c r="E47" s="68">
        <f t="shared" si="8"/>
        <v>3.2504875000000008E-4</v>
      </c>
      <c r="F47" s="68">
        <f t="shared" si="9"/>
        <v>7.8133249999999999</v>
      </c>
      <c r="G47" s="68">
        <f t="shared" ref="G47:P50" si="12">IF(G$27="%w/w SAR",((G$28*10)*$B47),IF(G$27="%w/w DM",(((G$28*10)*($B$28/100))*$B47),IF(G$27="kg/t SAR",(G$28*$B47),IF(G$27="kg/t DM",((G$28*($B$28/100))*$B47),IF(G$27="mg/kg SAR",((G$28*0.001)*$B47),IF(G$27="mg/kg DM",(((G$28*0.001)*($B$28/100))*$B47),0))))))</f>
        <v>0.29575000000000001</v>
      </c>
      <c r="H47" s="68">
        <f t="shared" si="12"/>
        <v>0.20085000000000003</v>
      </c>
      <c r="I47" s="68">
        <f t="shared" si="12"/>
        <v>4.0300000000000009E-2</v>
      </c>
      <c r="J47" s="68">
        <f t="shared" si="12"/>
        <v>3.2500000000000003E-3</v>
      </c>
      <c r="K47" s="68">
        <f t="shared" si="12"/>
        <v>8.7100000000000007E-3</v>
      </c>
      <c r="L47" s="68">
        <f t="shared" si="12"/>
        <v>5.0050000000000004E-2</v>
      </c>
      <c r="M47" s="68">
        <f t="shared" si="12"/>
        <v>2.7950000000000003E-2</v>
      </c>
      <c r="N47" s="68">
        <f t="shared" si="12"/>
        <v>1430.0000000000002</v>
      </c>
      <c r="O47" s="68">
        <f t="shared" si="12"/>
        <v>45.760000000000005</v>
      </c>
      <c r="P47" s="68">
        <f t="shared" si="12"/>
        <v>0</v>
      </c>
      <c r="Q47" s="68">
        <f t="shared" si="10"/>
        <v>134.87500000000003</v>
      </c>
      <c r="R47" s="68">
        <f t="shared" si="11"/>
        <v>0</v>
      </c>
      <c r="S47" s="68">
        <f t="shared" si="11"/>
        <v>7.9300000000000009E-2</v>
      </c>
      <c r="T47" s="68">
        <f t="shared" si="11"/>
        <v>0</v>
      </c>
      <c r="U47" s="68">
        <f t="shared" si="11"/>
        <v>0</v>
      </c>
    </row>
    <row r="48" spans="1:21" s="51" customFormat="1" ht="13" x14ac:dyDescent="0.35">
      <c r="A48" s="10">
        <f>T8</f>
        <v>23</v>
      </c>
      <c r="B48" s="12">
        <v>250</v>
      </c>
      <c r="C48" s="68">
        <f t="shared" si="6"/>
        <v>80.600000000000009</v>
      </c>
      <c r="D48" s="68">
        <f t="shared" si="7"/>
        <v>25.762295000000002</v>
      </c>
      <c r="E48" s="68">
        <f t="shared" si="8"/>
        <v>3.2504875000000008E-4</v>
      </c>
      <c r="F48" s="68">
        <f t="shared" si="9"/>
        <v>7.8133249999999999</v>
      </c>
      <c r="G48" s="68">
        <f t="shared" si="12"/>
        <v>0.29575000000000001</v>
      </c>
      <c r="H48" s="68">
        <f t="shared" si="12"/>
        <v>0.20085000000000003</v>
      </c>
      <c r="I48" s="68">
        <f t="shared" si="12"/>
        <v>4.0300000000000009E-2</v>
      </c>
      <c r="J48" s="68">
        <f t="shared" si="12"/>
        <v>3.2500000000000003E-3</v>
      </c>
      <c r="K48" s="68">
        <f t="shared" si="12"/>
        <v>8.7100000000000007E-3</v>
      </c>
      <c r="L48" s="68">
        <f t="shared" si="12"/>
        <v>5.0050000000000004E-2</v>
      </c>
      <c r="M48" s="68">
        <f t="shared" si="12"/>
        <v>2.7950000000000003E-2</v>
      </c>
      <c r="N48" s="68">
        <f t="shared" si="12"/>
        <v>1430.0000000000002</v>
      </c>
      <c r="O48" s="68">
        <f t="shared" si="12"/>
        <v>45.760000000000005</v>
      </c>
      <c r="P48" s="68">
        <f t="shared" si="12"/>
        <v>0</v>
      </c>
      <c r="Q48" s="68">
        <f t="shared" si="10"/>
        <v>134.87500000000003</v>
      </c>
      <c r="R48" s="68">
        <f t="shared" si="11"/>
        <v>0</v>
      </c>
      <c r="S48" s="68">
        <f t="shared" si="11"/>
        <v>7.9300000000000009E-2</v>
      </c>
      <c r="T48" s="68">
        <f t="shared" si="11"/>
        <v>0</v>
      </c>
      <c r="U48" s="68">
        <f t="shared" si="11"/>
        <v>0</v>
      </c>
    </row>
    <row r="49" spans="1:21" s="51" customFormat="1" ht="13" x14ac:dyDescent="0.35">
      <c r="A49" s="10">
        <f>U8</f>
        <v>7078</v>
      </c>
      <c r="B49" s="12">
        <v>250</v>
      </c>
      <c r="C49" s="68">
        <f t="shared" si="6"/>
        <v>80.600000000000009</v>
      </c>
      <c r="D49" s="68">
        <f t="shared" si="7"/>
        <v>25.762295000000002</v>
      </c>
      <c r="E49" s="68">
        <f t="shared" si="8"/>
        <v>3.2504875000000008E-4</v>
      </c>
      <c r="F49" s="68">
        <f t="shared" si="9"/>
        <v>7.8133249999999999</v>
      </c>
      <c r="G49" s="68">
        <f t="shared" si="12"/>
        <v>0.29575000000000001</v>
      </c>
      <c r="H49" s="68">
        <f t="shared" si="12"/>
        <v>0.20085000000000003</v>
      </c>
      <c r="I49" s="68">
        <f t="shared" si="12"/>
        <v>4.0300000000000009E-2</v>
      </c>
      <c r="J49" s="68">
        <f t="shared" si="12"/>
        <v>3.2500000000000003E-3</v>
      </c>
      <c r="K49" s="68">
        <f t="shared" si="12"/>
        <v>8.7100000000000007E-3</v>
      </c>
      <c r="L49" s="68">
        <f t="shared" si="12"/>
        <v>5.0050000000000004E-2</v>
      </c>
      <c r="M49" s="68">
        <f t="shared" si="12"/>
        <v>2.7950000000000003E-2</v>
      </c>
      <c r="N49" s="68">
        <f t="shared" si="12"/>
        <v>1430.0000000000002</v>
      </c>
      <c r="O49" s="68">
        <f t="shared" si="12"/>
        <v>45.760000000000005</v>
      </c>
      <c r="P49" s="68">
        <f t="shared" si="12"/>
        <v>0</v>
      </c>
      <c r="Q49" s="68">
        <f t="shared" si="10"/>
        <v>134.87500000000003</v>
      </c>
      <c r="R49" s="68">
        <f t="shared" si="11"/>
        <v>0</v>
      </c>
      <c r="S49" s="68">
        <f t="shared" si="11"/>
        <v>7.9300000000000009E-2</v>
      </c>
      <c r="T49" s="68">
        <f t="shared" si="11"/>
        <v>0</v>
      </c>
      <c r="U49" s="68">
        <f t="shared" si="11"/>
        <v>0</v>
      </c>
    </row>
    <row r="50" spans="1:21" s="51" customFormat="1" ht="13.5" thickBot="1" x14ac:dyDescent="0.4">
      <c r="A50" s="11">
        <f>V8</f>
        <v>7058</v>
      </c>
      <c r="B50" s="12">
        <v>250</v>
      </c>
      <c r="C50" s="87">
        <f t="shared" si="6"/>
        <v>80.600000000000009</v>
      </c>
      <c r="D50" s="87">
        <f t="shared" si="7"/>
        <v>25.762295000000002</v>
      </c>
      <c r="E50" s="87">
        <f t="shared" si="8"/>
        <v>3.2504875000000008E-4</v>
      </c>
      <c r="F50" s="87">
        <f t="shared" si="9"/>
        <v>7.8133249999999999</v>
      </c>
      <c r="G50" s="87">
        <f t="shared" si="12"/>
        <v>0.29575000000000001</v>
      </c>
      <c r="H50" s="87">
        <f t="shared" si="12"/>
        <v>0.20085000000000003</v>
      </c>
      <c r="I50" s="87">
        <f t="shared" si="12"/>
        <v>4.0300000000000009E-2</v>
      </c>
      <c r="J50" s="87">
        <f t="shared" si="12"/>
        <v>3.2500000000000003E-3</v>
      </c>
      <c r="K50" s="87">
        <f t="shared" si="12"/>
        <v>8.7100000000000007E-3</v>
      </c>
      <c r="L50" s="87">
        <f t="shared" si="12"/>
        <v>5.0050000000000004E-2</v>
      </c>
      <c r="M50" s="87">
        <f t="shared" si="12"/>
        <v>2.7950000000000003E-2</v>
      </c>
      <c r="N50" s="87">
        <f t="shared" si="12"/>
        <v>1430.0000000000002</v>
      </c>
      <c r="O50" s="87">
        <f t="shared" si="12"/>
        <v>45.760000000000005</v>
      </c>
      <c r="P50" s="87">
        <f t="shared" si="12"/>
        <v>0</v>
      </c>
      <c r="Q50" s="87">
        <f t="shared" si="10"/>
        <v>134.87500000000003</v>
      </c>
      <c r="R50" s="87">
        <f t="shared" si="11"/>
        <v>0</v>
      </c>
      <c r="S50" s="87">
        <f t="shared" si="11"/>
        <v>7.9300000000000009E-2</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21" ht="13" x14ac:dyDescent="0.3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str">
        <f>R16&amp;" I "&amp;(VLOOKUP(R14,Table245[],6,FALSE))</f>
        <v>Medium/Clay I Grass</v>
      </c>
      <c r="R58" s="10" t="str">
        <f>S16&amp;" I "&amp;(VLOOKUP(S14,Table245[],6,FALSE))</f>
        <v>Medium/Clay I Grass</v>
      </c>
      <c r="S58" s="10" t="str">
        <f>T16&amp;" I "&amp;(VLOOKUP(T14,Table245[],6,FALSE))</f>
        <v>Medium/Clay I Grass</v>
      </c>
      <c r="T58" s="10" t="str">
        <f>U16&amp;" I "&amp;(VLOOKUP(U14,Table245[],6,FALSE))</f>
        <v>Medium/Clay I Grass</v>
      </c>
      <c r="U58" s="10" t="str">
        <f>V16&amp;" I "&amp;(VLOOKUP(V14,Table245[],6,FALSE))</f>
        <v>Medium/Clay I Grass</v>
      </c>
    </row>
    <row r="59" spans="1:21" ht="13" x14ac:dyDescent="0.3">
      <c r="A59" s="100" t="s">
        <v>132</v>
      </c>
      <c r="B59" s="67">
        <f>VLOOKUP(C$14,Table245[],5,FALSE)</f>
        <v>6.2</v>
      </c>
      <c r="C59" s="67">
        <f>VLOOKUP(D$14,Table245[],5,FALSE)</f>
        <v>6.2</v>
      </c>
      <c r="D59" s="67">
        <f>VLOOKUP(E$14,Table245[],5,FALSE)</f>
        <v>6.2</v>
      </c>
      <c r="E59" s="67">
        <f>VLOOKUP(F$14,Table245[],5,FALSE)</f>
        <v>6.2</v>
      </c>
      <c r="F59" s="67">
        <f>VLOOKUP(G$14,Table245[],5,FALSE)</f>
        <v>6.2</v>
      </c>
      <c r="G59" s="67">
        <f>VLOOKUP(H$14,Table245[],5,FALSE)</f>
        <v>6.2</v>
      </c>
      <c r="H59" s="67">
        <f>VLOOKUP(I$14,Table245[],5,FALSE)</f>
        <v>6.2</v>
      </c>
      <c r="I59" s="67">
        <f>VLOOKUP(J$14,Table245[],5,FALSE)</f>
        <v>6.2</v>
      </c>
      <c r="J59" s="67">
        <f>VLOOKUP(K$14,Table245[],5,FALSE)</f>
        <v>6.2</v>
      </c>
      <c r="K59" s="67">
        <f>VLOOKUP(L$14,Table245[],5,FALSE)</f>
        <v>6.2</v>
      </c>
      <c r="L59" s="67">
        <f>VLOOKUP(M$14,Table245[],5,FALSE)</f>
        <v>6.2</v>
      </c>
      <c r="M59" s="67">
        <f>VLOOKUP(N$14,Table245[],5,FALSE)</f>
        <v>6.2</v>
      </c>
      <c r="N59" s="67">
        <f>VLOOKUP(O$14,Table245[],5,FALSE)</f>
        <v>6.2</v>
      </c>
      <c r="O59" s="67">
        <f>VLOOKUP(P$14,Table245[],5,FALSE)</f>
        <v>6.2</v>
      </c>
      <c r="P59" s="67">
        <f>VLOOKUP(Q$14,Table245[],5,FALSE)</f>
        <v>6.2</v>
      </c>
      <c r="Q59" s="67">
        <f>VLOOKUP(R$14,Table245[],5,FALSE)</f>
        <v>6.2</v>
      </c>
      <c r="R59" s="67">
        <f>VLOOKUP(S$14,Table245[],5,FALSE)</f>
        <v>6.2</v>
      </c>
      <c r="S59" s="67">
        <f>VLOOKUP(T$14,Table245[],5,FALSE)</f>
        <v>6.2</v>
      </c>
      <c r="T59" s="67">
        <f>VLOOKUP(U$14,Table245[],5,FALSE)</f>
        <v>6.2</v>
      </c>
      <c r="U59" s="67">
        <f>VLOOKUP(V$14,Table245[],5,FALSE)</f>
        <v>6.2</v>
      </c>
    </row>
    <row r="60" spans="1:21" ht="13" x14ac:dyDescent="0.3">
      <c r="A60" s="100" t="s">
        <v>4</v>
      </c>
      <c r="B60" s="67">
        <f>C10</f>
        <v>7.1</v>
      </c>
      <c r="C60" s="67">
        <f t="shared" ref="C60:U60" si="14">D10</f>
        <v>6.9</v>
      </c>
      <c r="D60" s="67">
        <f t="shared" si="14"/>
        <v>7.7</v>
      </c>
      <c r="E60" s="67">
        <f t="shared" si="14"/>
        <v>6.9</v>
      </c>
      <c r="F60" s="67">
        <f t="shared" si="14"/>
        <v>6.9</v>
      </c>
      <c r="G60" s="67">
        <f t="shared" si="14"/>
        <v>6.3</v>
      </c>
      <c r="H60" s="67">
        <f t="shared" si="14"/>
        <v>7.9</v>
      </c>
      <c r="I60" s="67">
        <f t="shared" si="14"/>
        <v>6.8</v>
      </c>
      <c r="J60" s="67">
        <f t="shared" si="14"/>
        <v>6.7</v>
      </c>
      <c r="K60" s="67">
        <f t="shared" si="14"/>
        <v>6.8</v>
      </c>
      <c r="L60" s="67">
        <f t="shared" si="14"/>
        <v>6.9</v>
      </c>
      <c r="M60" s="67">
        <f t="shared" si="14"/>
        <v>7</v>
      </c>
      <c r="N60" s="67">
        <f t="shared" si="14"/>
        <v>7</v>
      </c>
      <c r="O60" s="67">
        <f t="shared" si="14"/>
        <v>6.8</v>
      </c>
      <c r="P60" s="67">
        <f t="shared" si="14"/>
        <v>6.9</v>
      </c>
      <c r="Q60" s="67">
        <f t="shared" si="14"/>
        <v>6.7</v>
      </c>
      <c r="R60" s="67">
        <f t="shared" si="14"/>
        <v>6.3</v>
      </c>
      <c r="S60" s="67">
        <f t="shared" si="14"/>
        <v>6</v>
      </c>
      <c r="T60" s="67">
        <f t="shared" si="14"/>
        <v>6.8</v>
      </c>
      <c r="U60" s="67">
        <f t="shared" si="14"/>
        <v>6.9</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f t="shared" si="15"/>
        <v>6</v>
      </c>
      <c r="U61" s="67">
        <f t="shared" si="15"/>
        <v>6</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250</v>
      </c>
      <c r="O62" s="68">
        <f>B44</f>
        <v>250</v>
      </c>
      <c r="P62" s="68">
        <f>B45</f>
        <v>250</v>
      </c>
      <c r="Q62" s="68">
        <f>B46</f>
        <v>250</v>
      </c>
      <c r="R62" s="68">
        <f>B47</f>
        <v>250</v>
      </c>
      <c r="S62" s="68">
        <f>B48</f>
        <v>250</v>
      </c>
      <c r="T62" s="68">
        <f>B49</f>
        <v>250</v>
      </c>
      <c r="U62" s="68">
        <f>B50</f>
        <v>250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-5.3999999999999968</v>
      </c>
      <c r="C64" s="68">
        <f t="shared" ref="C64:U64" si="17">(C59-C60)*C61</f>
        <v>-4.2000000000000011</v>
      </c>
      <c r="D64" s="68">
        <f t="shared" si="17"/>
        <v>-9</v>
      </c>
      <c r="E64" s="68">
        <f t="shared" si="17"/>
        <v>-4.2000000000000011</v>
      </c>
      <c r="F64" s="68">
        <f t="shared" si="17"/>
        <v>-4.2000000000000011</v>
      </c>
      <c r="G64" s="68">
        <f t="shared" si="17"/>
        <v>-0.59999999999999787</v>
      </c>
      <c r="H64" s="68">
        <f t="shared" si="17"/>
        <v>-10.200000000000001</v>
      </c>
      <c r="I64" s="68">
        <f t="shared" si="17"/>
        <v>-3.5999999999999979</v>
      </c>
      <c r="J64" s="68">
        <f t="shared" si="17"/>
        <v>-3</v>
      </c>
      <c r="K64" s="68">
        <f t="shared" si="17"/>
        <v>-3.5999999999999979</v>
      </c>
      <c r="L64" s="68">
        <f t="shared" si="17"/>
        <v>-4.2000000000000011</v>
      </c>
      <c r="M64" s="68">
        <f t="shared" si="17"/>
        <v>-4.7999999999999989</v>
      </c>
      <c r="N64" s="68">
        <f t="shared" si="17"/>
        <v>-4.7999999999999989</v>
      </c>
      <c r="O64" s="68">
        <f t="shared" si="17"/>
        <v>-3.5999999999999979</v>
      </c>
      <c r="P64" s="68">
        <f t="shared" si="17"/>
        <v>-4.2000000000000011</v>
      </c>
      <c r="Q64" s="68">
        <f t="shared" si="17"/>
        <v>-3</v>
      </c>
      <c r="R64" s="68">
        <f t="shared" si="17"/>
        <v>-0.59999999999999787</v>
      </c>
      <c r="S64" s="68">
        <f t="shared" si="17"/>
        <v>1.2000000000000011</v>
      </c>
      <c r="T64" s="68">
        <f t="shared" si="17"/>
        <v>-3.5999999999999979</v>
      </c>
      <c r="U64" s="68">
        <f t="shared" si="17"/>
        <v>-4.2000000000000011</v>
      </c>
    </row>
    <row r="65" spans="1:21" ht="52" x14ac:dyDescent="0.3">
      <c r="A65" s="101" t="s">
        <v>157</v>
      </c>
      <c r="B65" s="68">
        <f>B63-B64</f>
        <v>5.3999999999999968</v>
      </c>
      <c r="C65" s="68">
        <f t="shared" ref="C65:U65" si="18">C63-C64</f>
        <v>4.2000000000000011</v>
      </c>
      <c r="D65" s="68">
        <f t="shared" si="18"/>
        <v>9</v>
      </c>
      <c r="E65" s="68">
        <f t="shared" si="18"/>
        <v>4.2000000000000011</v>
      </c>
      <c r="F65" s="68">
        <f t="shared" si="18"/>
        <v>4.2000000000000011</v>
      </c>
      <c r="G65" s="68">
        <f t="shared" si="18"/>
        <v>0.59999999999999787</v>
      </c>
      <c r="H65" s="68">
        <f t="shared" si="18"/>
        <v>10.200000000000001</v>
      </c>
      <c r="I65" s="68">
        <f t="shared" si="18"/>
        <v>3.5999999999999979</v>
      </c>
      <c r="J65" s="68">
        <f t="shared" si="18"/>
        <v>3</v>
      </c>
      <c r="K65" s="68">
        <f t="shared" si="18"/>
        <v>3.5999999999999979</v>
      </c>
      <c r="L65" s="68">
        <f t="shared" si="18"/>
        <v>4.2000000000000011</v>
      </c>
      <c r="M65" s="68">
        <f t="shared" si="18"/>
        <v>4.7999999999999989</v>
      </c>
      <c r="N65" s="68">
        <f t="shared" si="18"/>
        <v>4.7999999999999989</v>
      </c>
      <c r="O65" s="68">
        <f t="shared" si="18"/>
        <v>3.5999999999999979</v>
      </c>
      <c r="P65" s="68">
        <f t="shared" si="18"/>
        <v>4.2000000000000011</v>
      </c>
      <c r="Q65" s="68">
        <f t="shared" si="18"/>
        <v>3</v>
      </c>
      <c r="R65" s="68">
        <f t="shared" si="18"/>
        <v>0.59999999999999787</v>
      </c>
      <c r="S65" s="68">
        <f t="shared" si="18"/>
        <v>-1.2000000000000011</v>
      </c>
      <c r="T65" s="68">
        <f t="shared" si="18"/>
        <v>3.5999999999999979</v>
      </c>
      <c r="U65" s="68">
        <f t="shared" si="18"/>
        <v>4.2000000000000011</v>
      </c>
    </row>
    <row r="66" spans="1:21" ht="26"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str">
        <f t="shared" si="19"/>
        <v>OVER</v>
      </c>
      <c r="N66" s="69" t="str">
        <f t="shared" si="19"/>
        <v>OVER</v>
      </c>
      <c r="O66" s="69" t="str">
        <f t="shared" si="19"/>
        <v>OVER</v>
      </c>
      <c r="P66" s="69" t="str">
        <f t="shared" si="19"/>
        <v>OVER</v>
      </c>
      <c r="Q66" s="69" t="str">
        <f t="shared" si="19"/>
        <v>OVER</v>
      </c>
      <c r="R66" s="69" t="str">
        <f t="shared" si="19"/>
        <v>OVER</v>
      </c>
      <c r="S66" s="69" t="str">
        <f t="shared" si="19"/>
        <v>UNDER</v>
      </c>
      <c r="T66" s="69" t="str">
        <f t="shared" si="19"/>
        <v>OVER</v>
      </c>
      <c r="U66" s="69" t="str">
        <f t="shared" si="19"/>
        <v>OVER</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67" priority="36" operator="greaterThan">
      <formula>$B$51</formula>
    </cfRule>
  </conditionalFormatting>
  <conditionalFormatting sqref="B66:U66">
    <cfRule type="cellIs" dxfId="166" priority="11" operator="equal">
      <formula>"UNDER"</formula>
    </cfRule>
    <cfRule type="cellIs" dxfId="165" priority="12" operator="equal">
      <formula>"OVER"</formula>
    </cfRule>
  </conditionalFormatting>
  <conditionalFormatting sqref="C31:C50">
    <cfRule type="cellIs" dxfId="164" priority="35" operator="greaterThan">
      <formula>$C$51</formula>
    </cfRule>
  </conditionalFormatting>
  <conditionalFormatting sqref="C17:V19">
    <cfRule type="cellIs" dxfId="163" priority="32" operator="equal">
      <formula>0</formula>
    </cfRule>
  </conditionalFormatting>
  <conditionalFormatting sqref="C20:V21">
    <cfRule type="cellIs" dxfId="162" priority="37" operator="equal">
      <formula>"DECREASE"</formula>
    </cfRule>
    <cfRule type="cellIs" dxfId="161" priority="38" operator="equal">
      <formula>"INCREASE"</formula>
    </cfRule>
  </conditionalFormatting>
  <conditionalFormatting sqref="C21:V21">
    <cfRule type="cellIs" dxfId="160" priority="13" operator="equal">
      <formula>0</formula>
    </cfRule>
  </conditionalFormatting>
  <conditionalFormatting sqref="C22:V23">
    <cfRule type="cellIs" dxfId="159" priority="17" operator="equal">
      <formula>0</formula>
    </cfRule>
  </conditionalFormatting>
  <conditionalFormatting sqref="C24:V24">
    <cfRule type="cellIs" dxfId="158" priority="18" operator="equal">
      <formula>"DECREASE"</formula>
    </cfRule>
    <cfRule type="cellIs" dxfId="157" priority="19" operator="equal">
      <formula>"INCREASE"</formula>
    </cfRule>
  </conditionalFormatting>
  <conditionalFormatting sqref="G31:G50">
    <cfRule type="cellIs" dxfId="156" priority="31" operator="greaterThan">
      <formula>$G$51</formula>
    </cfRule>
  </conditionalFormatting>
  <conditionalFormatting sqref="H31:H50">
    <cfRule type="cellIs" dxfId="155" priority="30" operator="greaterThan">
      <formula>$H$51</formula>
    </cfRule>
  </conditionalFormatting>
  <conditionalFormatting sqref="I1">
    <cfRule type="cellIs" dxfId="154" priority="3" operator="between">
      <formula>0.1</formula>
      <formula>5</formula>
    </cfRule>
  </conditionalFormatting>
  <conditionalFormatting sqref="I2">
    <cfRule type="cellIs" dxfId="153" priority="2" operator="greaterThan">
      <formula>5000.1</formula>
    </cfRule>
  </conditionalFormatting>
  <conditionalFormatting sqref="I3">
    <cfRule type="cellIs" dxfId="152" priority="1" operator="greaterThan">
      <formula>40000.01</formula>
    </cfRule>
  </conditionalFormatting>
  <conditionalFormatting sqref="I31:I50">
    <cfRule type="cellIs" dxfId="151" priority="29" operator="greaterThan">
      <formula>$I$51</formula>
    </cfRule>
  </conditionalFormatting>
  <conditionalFormatting sqref="J31:J50">
    <cfRule type="cellIs" dxfId="150" priority="8" operator="greaterThan">
      <formula>$J$51</formula>
    </cfRule>
  </conditionalFormatting>
  <conditionalFormatting sqref="K31:K50">
    <cfRule type="cellIs" dxfId="149" priority="28" operator="greaterThan">
      <formula>$K$51</formula>
    </cfRule>
  </conditionalFormatting>
  <conditionalFormatting sqref="L3">
    <cfRule type="cellIs" dxfId="148" priority="4" operator="lessThan">
      <formula>30</formula>
    </cfRule>
    <cfRule type="cellIs" dxfId="147" priority="5" operator="greaterThanOrEqual">
      <formula>30</formula>
    </cfRule>
  </conditionalFormatting>
  <conditionalFormatting sqref="L31:L50">
    <cfRule type="cellIs" dxfId="146" priority="27" operator="greaterThan">
      <formula>$L$51</formula>
    </cfRule>
  </conditionalFormatting>
  <conditionalFormatting sqref="M31:M50">
    <cfRule type="cellIs" dxfId="145" priority="26" operator="greaterThan">
      <formula>$M$51</formula>
    </cfRule>
  </conditionalFormatting>
  <conditionalFormatting sqref="P31:P50">
    <cfRule type="cellIs" dxfId="144" priority="25" operator="greaterThan">
      <formula>$P$51</formula>
    </cfRule>
  </conditionalFormatting>
  <conditionalFormatting sqref="R31:R50">
    <cfRule type="cellIs" dxfId="143" priority="24" operator="greaterThan">
      <formula>$R$51</formula>
    </cfRule>
  </conditionalFormatting>
  <conditionalFormatting sqref="S31:S50">
    <cfRule type="cellIs" dxfId="142" priority="23" operator="greaterThan">
      <formula>$S$51</formula>
    </cfRule>
  </conditionalFormatting>
  <conditionalFormatting sqref="T31:T50">
    <cfRule type="cellIs" dxfId="141" priority="22" operator="greaterThan">
      <formula>$T$51</formula>
    </cfRule>
  </conditionalFormatting>
  <conditionalFormatting sqref="U31:U50">
    <cfRule type="cellIs" dxfId="140"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E1" zoomScale="90" zoomScaleNormal="90" workbookViewId="0">
      <selection activeCell="V28" sqref="V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'Bryn Cowlyd'!C1:D1</f>
        <v>PAN-026782</v>
      </c>
      <c r="D1" s="128"/>
      <c r="E1" s="83" t="s">
        <v>45</v>
      </c>
      <c r="F1" s="32">
        <f>'Bryn Cowlyd'!F1</f>
        <v>49.3</v>
      </c>
      <c r="G1" s="107" t="s">
        <v>43</v>
      </c>
      <c r="H1" s="108"/>
      <c r="I1" s="86">
        <v>6.8</v>
      </c>
      <c r="J1" s="106" t="s">
        <v>153</v>
      </c>
      <c r="K1" s="106"/>
      <c r="L1" s="86">
        <v>266</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'Bryn Cowlyd'!C2:D2</f>
        <v>EPR/GP3792SK</v>
      </c>
      <c r="D2" s="130"/>
      <c r="E2" s="83" t="s">
        <v>109</v>
      </c>
      <c r="F2" s="86" t="s">
        <v>167</v>
      </c>
      <c r="G2" s="125" t="s">
        <v>110</v>
      </c>
      <c r="H2" s="126"/>
      <c r="I2" s="86"/>
      <c r="J2" s="106" t="s">
        <v>158</v>
      </c>
      <c r="K2" s="106"/>
      <c r="L2" s="86">
        <v>1.44</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'Bryn Cowlyd'!C3:D3</f>
        <v xml:space="preserve">Byproduct recovery LTD </v>
      </c>
      <c r="D3" s="130"/>
      <c r="E3" s="83" t="s">
        <v>108</v>
      </c>
      <c r="F3" s="24" t="s">
        <v>78</v>
      </c>
      <c r="G3" s="106" t="s">
        <v>159</v>
      </c>
      <c r="H3" s="106"/>
      <c r="I3" s="86"/>
      <c r="J3" s="107" t="s">
        <v>154</v>
      </c>
      <c r="K3" s="108"/>
      <c r="L3" s="86">
        <f>(L1/(L2*10000))*100</f>
        <v>1.8472222222222223</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'Bryn Cowlyd'!C4:D4</f>
        <v xml:space="preserve">Farchwel, Talybont, Conwy, LL32 8UY </v>
      </c>
      <c r="D4" s="128"/>
      <c r="E4" s="84" t="s">
        <v>1</v>
      </c>
      <c r="F4" s="86" t="s">
        <v>169</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'Bryn Cowlyd'!C5:D5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f>'Bryn Cowlyd'!C8</f>
        <v>1</v>
      </c>
      <c r="D8" s="52">
        <f>'Bryn Cowlyd'!D8</f>
        <v>2</v>
      </c>
      <c r="E8" s="52">
        <f>'Bryn Cowlyd'!E8</f>
        <v>3</v>
      </c>
      <c r="F8" s="52">
        <f>'Bryn Cowlyd'!F8</f>
        <v>4</v>
      </c>
      <c r="G8" s="52">
        <f>'Bryn Cowlyd'!G8</f>
        <v>5</v>
      </c>
      <c r="H8" s="52">
        <f>'Bryn Cowlyd'!H8</f>
        <v>6</v>
      </c>
      <c r="I8" s="52">
        <f>'Bryn Cowlyd'!I8</f>
        <v>7</v>
      </c>
      <c r="J8" s="52">
        <f>'Bryn Cowlyd'!J8</f>
        <v>8</v>
      </c>
      <c r="K8" s="52">
        <f>'Bryn Cowlyd'!K8</f>
        <v>9</v>
      </c>
      <c r="L8" s="52">
        <f>'Bryn Cowlyd'!L8</f>
        <v>10</v>
      </c>
      <c r="M8" s="52">
        <f>'Bryn Cowlyd'!M8</f>
        <v>11</v>
      </c>
      <c r="N8" s="52">
        <f>'Bryn Cowlyd'!N8</f>
        <v>12</v>
      </c>
      <c r="O8" s="52">
        <f>'Bryn Cowlyd'!O8</f>
        <v>13</v>
      </c>
      <c r="P8" s="52">
        <f>'Bryn Cowlyd'!P8</f>
        <v>15</v>
      </c>
      <c r="Q8" s="52">
        <f>'Bryn Cowlyd'!Q8</f>
        <v>16</v>
      </c>
      <c r="R8" s="52">
        <f>'Bryn Cowlyd'!R8</f>
        <v>21</v>
      </c>
      <c r="S8" s="52">
        <f>'Bryn Cowlyd'!S8</f>
        <v>22</v>
      </c>
      <c r="T8" s="52">
        <f>'Bryn Cowlyd'!T8</f>
        <v>23</v>
      </c>
      <c r="U8" s="52">
        <f>'Bryn Cowlyd'!U8</f>
        <v>7078</v>
      </c>
      <c r="V8" s="52">
        <f>'Bryn Cowlyd'!V8</f>
        <v>7058</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'Bryn Cowlyd'!C9</f>
        <v>M</v>
      </c>
      <c r="D9" s="52" t="str">
        <f>'Bryn Cowlyd'!D9</f>
        <v>M</v>
      </c>
      <c r="E9" s="52" t="str">
        <f>'Bryn Cowlyd'!E9</f>
        <v>M</v>
      </c>
      <c r="F9" s="52" t="str">
        <f>'Bryn Cowlyd'!F9</f>
        <v>M</v>
      </c>
      <c r="G9" s="52" t="str">
        <f>'Bryn Cowlyd'!G9</f>
        <v>M</v>
      </c>
      <c r="H9" s="52" t="str">
        <f>'Bryn Cowlyd'!H9</f>
        <v>M</v>
      </c>
      <c r="I9" s="52" t="str">
        <f>'Bryn Cowlyd'!I9</f>
        <v>M</v>
      </c>
      <c r="J9" s="52" t="str">
        <f>'Bryn Cowlyd'!J9</f>
        <v>M</v>
      </c>
      <c r="K9" s="52" t="str">
        <f>'Bryn Cowlyd'!K9</f>
        <v>M</v>
      </c>
      <c r="L9" s="52" t="str">
        <f>'Bryn Cowlyd'!L9</f>
        <v>M</v>
      </c>
      <c r="M9" s="52" t="str">
        <f>'Bryn Cowlyd'!M9</f>
        <v>M</v>
      </c>
      <c r="N9" s="52" t="str">
        <f>'Bryn Cowlyd'!N9</f>
        <v>M</v>
      </c>
      <c r="O9" s="52" t="str">
        <f>'Bryn Cowlyd'!O9</f>
        <v>M</v>
      </c>
      <c r="P9" s="52" t="str">
        <f>'Bryn Cowlyd'!P9</f>
        <v>M</v>
      </c>
      <c r="Q9" s="52" t="str">
        <f>'Bryn Cowlyd'!Q9</f>
        <v>M</v>
      </c>
      <c r="R9" s="52" t="str">
        <f>'Bryn Cowlyd'!R9</f>
        <v>M</v>
      </c>
      <c r="S9" s="52" t="str">
        <f>'Bryn Cowlyd'!S9</f>
        <v>M</v>
      </c>
      <c r="T9" s="52" t="str">
        <f>'Bryn Cowlyd'!T9</f>
        <v>M</v>
      </c>
      <c r="U9" s="52" t="str">
        <f>'Bryn Cowlyd'!U9</f>
        <v>M</v>
      </c>
      <c r="V9" s="52" t="str">
        <f>'Bryn Cowlyd'!V9</f>
        <v>M</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'Bryn Cowlyd'!C10</f>
        <v>7.1</v>
      </c>
      <c r="D10" s="52">
        <f>'Bryn Cowlyd'!D10</f>
        <v>6.9</v>
      </c>
      <c r="E10" s="52">
        <f>'Bryn Cowlyd'!E10</f>
        <v>7.7</v>
      </c>
      <c r="F10" s="52">
        <f>'Bryn Cowlyd'!F10</f>
        <v>6.9</v>
      </c>
      <c r="G10" s="52">
        <f>'Bryn Cowlyd'!G10</f>
        <v>6.9</v>
      </c>
      <c r="H10" s="52">
        <f>'Bryn Cowlyd'!H10</f>
        <v>6.3</v>
      </c>
      <c r="I10" s="52">
        <f>'Bryn Cowlyd'!I10</f>
        <v>7.9</v>
      </c>
      <c r="J10" s="52">
        <f>'Bryn Cowlyd'!J10</f>
        <v>6.8</v>
      </c>
      <c r="K10" s="52">
        <f>'Bryn Cowlyd'!K10</f>
        <v>6.7</v>
      </c>
      <c r="L10" s="52">
        <f>'Bryn Cowlyd'!L10</f>
        <v>6.8</v>
      </c>
      <c r="M10" s="52">
        <f>'Bryn Cowlyd'!M10</f>
        <v>6.9</v>
      </c>
      <c r="N10" s="52">
        <f>'Bryn Cowlyd'!N10</f>
        <v>7</v>
      </c>
      <c r="O10" s="52">
        <f>'Bryn Cowlyd'!O10</f>
        <v>7</v>
      </c>
      <c r="P10" s="52">
        <f>'Bryn Cowlyd'!P10</f>
        <v>6.8</v>
      </c>
      <c r="Q10" s="52">
        <f>'Bryn Cowlyd'!Q10</f>
        <v>6.9</v>
      </c>
      <c r="R10" s="52">
        <f>'Bryn Cowlyd'!R10</f>
        <v>6.7</v>
      </c>
      <c r="S10" s="52">
        <f>'Bryn Cowlyd'!S10</f>
        <v>6.3</v>
      </c>
      <c r="T10" s="52">
        <f>'Bryn Cowlyd'!T10</f>
        <v>6</v>
      </c>
      <c r="U10" s="52">
        <f>'Bryn Cowlyd'!U10</f>
        <v>6.8</v>
      </c>
      <c r="V10" s="52">
        <f>'Bryn Cowlyd'!V10</f>
        <v>6.9</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'Bryn Cowlyd'!C11</f>
        <v>2</v>
      </c>
      <c r="D11" s="52">
        <f>'Bryn Cowlyd'!D11</f>
        <v>2</v>
      </c>
      <c r="E11" s="52">
        <f>'Bryn Cowlyd'!E11</f>
        <v>2</v>
      </c>
      <c r="F11" s="52">
        <f>'Bryn Cowlyd'!F11</f>
        <v>1</v>
      </c>
      <c r="G11" s="52">
        <f>'Bryn Cowlyd'!G11</f>
        <v>1</v>
      </c>
      <c r="H11" s="52">
        <f>'Bryn Cowlyd'!H11</f>
        <v>1</v>
      </c>
      <c r="I11" s="52">
        <f>'Bryn Cowlyd'!I11</f>
        <v>2</v>
      </c>
      <c r="J11" s="52">
        <f>'Bryn Cowlyd'!J11</f>
        <v>1</v>
      </c>
      <c r="K11" s="52">
        <f>'Bryn Cowlyd'!K11</f>
        <v>1</v>
      </c>
      <c r="L11" s="52">
        <f>'Bryn Cowlyd'!L11</f>
        <v>1</v>
      </c>
      <c r="M11" s="52">
        <f>'Bryn Cowlyd'!M11</f>
        <v>1</v>
      </c>
      <c r="N11" s="52">
        <f>'Bryn Cowlyd'!N11</f>
        <v>2</v>
      </c>
      <c r="O11" s="52">
        <f>'Bryn Cowlyd'!O11</f>
        <v>3</v>
      </c>
      <c r="P11" s="52">
        <f>'Bryn Cowlyd'!P11</f>
        <v>3</v>
      </c>
      <c r="Q11" s="52">
        <f>'Bryn Cowlyd'!Q11</f>
        <v>2</v>
      </c>
      <c r="R11" s="52">
        <f>'Bryn Cowlyd'!R11</f>
        <v>2</v>
      </c>
      <c r="S11" s="52">
        <f>'Bryn Cowlyd'!S11</f>
        <v>2</v>
      </c>
      <c r="T11" s="52">
        <f>'Bryn Cowlyd'!T11</f>
        <v>2</v>
      </c>
      <c r="U11" s="52">
        <f>'Bryn Cowlyd'!U11</f>
        <v>1</v>
      </c>
      <c r="V11" s="52">
        <f>'Bryn Cowlyd'!V11</f>
        <v>1</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'Bryn Cowlyd'!C12</f>
        <v>1</v>
      </c>
      <c r="D12" s="52">
        <f>'Bryn Cowlyd'!D12</f>
        <v>2</v>
      </c>
      <c r="E12" s="52">
        <f>'Bryn Cowlyd'!E12</f>
        <v>1</v>
      </c>
      <c r="F12" s="52">
        <f>'Bryn Cowlyd'!F12</f>
        <v>1</v>
      </c>
      <c r="G12" s="52">
        <f>'Bryn Cowlyd'!G12</f>
        <v>0</v>
      </c>
      <c r="H12" s="52">
        <f>'Bryn Cowlyd'!H12</f>
        <v>1</v>
      </c>
      <c r="I12" s="52">
        <f>'Bryn Cowlyd'!I12</f>
        <v>1</v>
      </c>
      <c r="J12" s="52">
        <f>'Bryn Cowlyd'!J12</f>
        <v>1</v>
      </c>
      <c r="K12" s="52">
        <f>'Bryn Cowlyd'!K12</f>
        <v>1</v>
      </c>
      <c r="L12" s="52">
        <f>'Bryn Cowlyd'!L12</f>
        <v>1</v>
      </c>
      <c r="M12" s="52">
        <f>'Bryn Cowlyd'!M12</f>
        <v>1</v>
      </c>
      <c r="N12" s="52">
        <f>'Bryn Cowlyd'!N12</f>
        <v>0</v>
      </c>
      <c r="O12" s="52">
        <f>'Bryn Cowlyd'!O12</f>
        <v>2</v>
      </c>
      <c r="P12" s="52">
        <f>'Bryn Cowlyd'!P12</f>
        <v>2</v>
      </c>
      <c r="Q12" s="52">
        <f>'Bryn Cowlyd'!Q12</f>
        <v>1</v>
      </c>
      <c r="R12" s="52">
        <f>'Bryn Cowlyd'!R12</f>
        <v>2</v>
      </c>
      <c r="S12" s="52">
        <f>'Bryn Cowlyd'!S12</f>
        <v>2</v>
      </c>
      <c r="T12" s="52">
        <f>'Bryn Cowlyd'!T12</f>
        <v>2</v>
      </c>
      <c r="U12" s="52">
        <f>'Bryn Cowlyd'!U12</f>
        <v>1</v>
      </c>
      <c r="V12" s="52">
        <f>'Bryn Cowlyd'!V12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'Bryn Cowlyd'!C13</f>
        <v>2</v>
      </c>
      <c r="D13" s="52">
        <f>'Bryn Cowlyd'!D13</f>
        <v>2</v>
      </c>
      <c r="E13" s="52">
        <f>'Bryn Cowlyd'!E13</f>
        <v>2</v>
      </c>
      <c r="F13" s="52">
        <f>'Bryn Cowlyd'!F13</f>
        <v>2</v>
      </c>
      <c r="G13" s="52">
        <f>'Bryn Cowlyd'!G13</f>
        <v>2</v>
      </c>
      <c r="H13" s="52">
        <f>'Bryn Cowlyd'!H13</f>
        <v>2</v>
      </c>
      <c r="I13" s="52">
        <f>'Bryn Cowlyd'!I13</f>
        <v>1</v>
      </c>
      <c r="J13" s="52">
        <f>'Bryn Cowlyd'!J13</f>
        <v>2</v>
      </c>
      <c r="K13" s="52">
        <f>'Bryn Cowlyd'!K13</f>
        <v>2</v>
      </c>
      <c r="L13" s="52">
        <f>'Bryn Cowlyd'!L13</f>
        <v>2</v>
      </c>
      <c r="M13" s="52">
        <f>'Bryn Cowlyd'!M13</f>
        <v>2</v>
      </c>
      <c r="N13" s="52">
        <f>'Bryn Cowlyd'!N13</f>
        <v>1</v>
      </c>
      <c r="O13" s="52">
        <f>'Bryn Cowlyd'!O13</f>
        <v>3</v>
      </c>
      <c r="P13" s="52">
        <f>'Bryn Cowlyd'!P13</f>
        <v>3</v>
      </c>
      <c r="Q13" s="52">
        <f>'Bryn Cowlyd'!Q13</f>
        <v>2</v>
      </c>
      <c r="R13" s="52">
        <f>'Bryn Cowlyd'!R13</f>
        <v>3</v>
      </c>
      <c r="S13" s="52">
        <f>'Bryn Cowlyd'!S13</f>
        <v>3</v>
      </c>
      <c r="T13" s="52">
        <f>'Bryn Cowlyd'!T13</f>
        <v>3</v>
      </c>
      <c r="U13" s="52">
        <f>'Bryn Cowlyd'!U13</f>
        <v>2</v>
      </c>
      <c r="V13" s="52">
        <f>'Bryn Cowlyd'!V13</f>
        <v>2</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'Bryn Cowlyd'!C14</f>
        <v xml:space="preserve">Grass Silage (25% DM) </v>
      </c>
      <c r="D14" s="91" t="str">
        <f>'Bryn Cowlyd'!D14</f>
        <v xml:space="preserve">Grass Silage (25% DM) </v>
      </c>
      <c r="E14" s="91" t="str">
        <f>'Bryn Cowlyd'!E14</f>
        <v xml:space="preserve">Grass Silage (25% DM) </v>
      </c>
      <c r="F14" s="91" t="str">
        <f>'Bryn Cowlyd'!F14</f>
        <v xml:space="preserve">Grass Silage (25% DM) </v>
      </c>
      <c r="G14" s="91" t="str">
        <f>'Bryn Cowlyd'!G14</f>
        <v xml:space="preserve">Grass Silage (25% DM) </v>
      </c>
      <c r="H14" s="91" t="str">
        <f>'Bryn Cowlyd'!H14</f>
        <v xml:space="preserve">Grass Silage (25% DM) </v>
      </c>
      <c r="I14" s="91" t="str">
        <f>'Bryn Cowlyd'!I14</f>
        <v xml:space="preserve">Grass Silage (25% DM) </v>
      </c>
      <c r="J14" s="91" t="str">
        <f>'Bryn Cowlyd'!J14</f>
        <v xml:space="preserve">Grass Silage (25% DM) </v>
      </c>
      <c r="K14" s="91" t="str">
        <f>'Bryn Cowlyd'!K14</f>
        <v xml:space="preserve">Grass Silage (25% DM) </v>
      </c>
      <c r="L14" s="91" t="str">
        <f>'Bryn Cowlyd'!L14</f>
        <v xml:space="preserve">Grass Silage (25% DM) </v>
      </c>
      <c r="M14" s="91" t="str">
        <f>'Bryn Cowlyd'!M14</f>
        <v xml:space="preserve">Grass Silage (25% DM) </v>
      </c>
      <c r="N14" s="91" t="str">
        <f>'Bryn Cowlyd'!N14</f>
        <v xml:space="preserve">Grass Silage (25% DM) </v>
      </c>
      <c r="O14" s="91" t="str">
        <f>'Bryn Cowlyd'!O14</f>
        <v xml:space="preserve">Grass Silage (25% DM) </v>
      </c>
      <c r="P14" s="91" t="str">
        <f>'Bryn Cowlyd'!P14</f>
        <v xml:space="preserve">Grass Silage (25% DM) </v>
      </c>
      <c r="Q14" s="91" t="str">
        <f>'Bryn Cowlyd'!Q14</f>
        <v xml:space="preserve">Grass Silage (25% DM) </v>
      </c>
      <c r="R14" s="91" t="str">
        <f>'Bryn Cowlyd'!R14</f>
        <v xml:space="preserve">Grass Silage (25% DM) </v>
      </c>
      <c r="S14" s="91" t="str">
        <f>'Bryn Cowlyd'!S14</f>
        <v xml:space="preserve">Grass Silage (25% DM) </v>
      </c>
      <c r="T14" s="91" t="str">
        <f>'Bryn Cowlyd'!T14</f>
        <v xml:space="preserve">Grass Silage (25% DM) </v>
      </c>
      <c r="U14" s="91" t="str">
        <f>'Bryn Cowlyd'!U14</f>
        <v xml:space="preserve">Grass Silage (25% DM) </v>
      </c>
      <c r="V14" s="91" t="str">
        <f>'Bryn Cowlyd'!V14</f>
        <v xml:space="preserve">Grass Silage (25% DM) </v>
      </c>
      <c r="AD14" s="23" t="s">
        <v>138</v>
      </c>
      <c r="AE14" s="23">
        <v>6</v>
      </c>
      <c r="AI14" s="46" t="s">
        <v>119</v>
      </c>
      <c r="AJ14" s="47">
        <v>0.8</v>
      </c>
      <c r="AK14" s="48">
        <v>1.7</v>
      </c>
      <c r="AL14" s="9">
        <v>12</v>
      </c>
      <c r="AM14" s="9">
        <v>6.7</v>
      </c>
      <c r="AN14" s="9" t="s">
        <v>135</v>
      </c>
    </row>
    <row r="15" spans="1:41" ht="13" x14ac:dyDescent="0.25">
      <c r="A15" s="117" t="s">
        <v>9</v>
      </c>
      <c r="B15" s="117"/>
      <c r="C15" s="52">
        <f>'Bryn Cowlyd'!C15</f>
        <v>38</v>
      </c>
      <c r="D15" s="52">
        <f>'Bryn Cowlyd'!D15</f>
        <v>38</v>
      </c>
      <c r="E15" s="52">
        <f>'Bryn Cowlyd'!E15</f>
        <v>38</v>
      </c>
      <c r="F15" s="52">
        <f>'Bryn Cowlyd'!F15</f>
        <v>38</v>
      </c>
      <c r="G15" s="52">
        <f>'Bryn Cowlyd'!G15</f>
        <v>38</v>
      </c>
      <c r="H15" s="52">
        <f>'Bryn Cowlyd'!H15</f>
        <v>38</v>
      </c>
      <c r="I15" s="52">
        <f>'Bryn Cowlyd'!I15</f>
        <v>38</v>
      </c>
      <c r="J15" s="52">
        <f>'Bryn Cowlyd'!J15</f>
        <v>38</v>
      </c>
      <c r="K15" s="52">
        <f>'Bryn Cowlyd'!K15</f>
        <v>38</v>
      </c>
      <c r="L15" s="52">
        <f>'Bryn Cowlyd'!L15</f>
        <v>38</v>
      </c>
      <c r="M15" s="52">
        <f>'Bryn Cowlyd'!M15</f>
        <v>38</v>
      </c>
      <c r="N15" s="52">
        <f>'Bryn Cowlyd'!N15</f>
        <v>38</v>
      </c>
      <c r="O15" s="52">
        <f>'Bryn Cowlyd'!O15</f>
        <v>38</v>
      </c>
      <c r="P15" s="52">
        <f>'Bryn Cowlyd'!P15</f>
        <v>38</v>
      </c>
      <c r="Q15" s="52">
        <f>'Bryn Cowlyd'!Q15</f>
        <v>38</v>
      </c>
      <c r="R15" s="52">
        <f>'Bryn Cowlyd'!R15</f>
        <v>38</v>
      </c>
      <c r="S15" s="52">
        <f>'Bryn Cowlyd'!S15</f>
        <v>38</v>
      </c>
      <c r="T15" s="52">
        <f>'Bryn Cowlyd'!T15</f>
        <v>38</v>
      </c>
      <c r="U15" s="52">
        <f>'Bryn Cowlyd'!U15</f>
        <v>38</v>
      </c>
      <c r="V15" s="52">
        <f>'Bryn Cowlyd'!V15</f>
        <v>38</v>
      </c>
      <c r="AD15" s="23" t="s">
        <v>144</v>
      </c>
      <c r="AE15" s="23">
        <v>7</v>
      </c>
      <c r="AI15" s="46" t="s">
        <v>101</v>
      </c>
      <c r="AJ15" s="54">
        <v>1.8</v>
      </c>
      <c r="AK15" s="48">
        <v>5.4</v>
      </c>
      <c r="AL15" s="9">
        <v>13</v>
      </c>
      <c r="AM15" s="9">
        <v>6.7</v>
      </c>
      <c r="AN15" s="9" t="s">
        <v>135</v>
      </c>
    </row>
    <row r="16" spans="1:41" ht="13.5" thickBot="1" x14ac:dyDescent="0.3">
      <c r="A16" s="119" t="s">
        <v>44</v>
      </c>
      <c r="B16" s="119"/>
      <c r="C16" s="92" t="str">
        <f>'Bryn Cowlyd'!C16</f>
        <v>Medium/Clay</v>
      </c>
      <c r="D16" s="92" t="str">
        <f>'Bryn Cowlyd'!D16</f>
        <v>Medium/Clay</v>
      </c>
      <c r="E16" s="92" t="str">
        <f>'Bryn Cowlyd'!E16</f>
        <v>Medium/Clay</v>
      </c>
      <c r="F16" s="92" t="str">
        <f>'Bryn Cowlyd'!F16</f>
        <v>Medium/Clay</v>
      </c>
      <c r="G16" s="92" t="str">
        <f>'Bryn Cowlyd'!G16</f>
        <v>Medium/Clay</v>
      </c>
      <c r="H16" s="92" t="str">
        <f>'Bryn Cowlyd'!H16</f>
        <v>Medium/Clay</v>
      </c>
      <c r="I16" s="92" t="str">
        <f>'Bryn Cowlyd'!I16</f>
        <v>Medium/Clay</v>
      </c>
      <c r="J16" s="92" t="str">
        <f>'Bryn Cowlyd'!J16</f>
        <v>Medium/Clay</v>
      </c>
      <c r="K16" s="92" t="str">
        <f>'Bryn Cowlyd'!K16</f>
        <v>Medium/Clay</v>
      </c>
      <c r="L16" s="92" t="str">
        <f>'Bryn Cowlyd'!L16</f>
        <v>Medium/Clay</v>
      </c>
      <c r="M16" s="92" t="str">
        <f>'Bryn Cowlyd'!M16</f>
        <v>Medium/Clay</v>
      </c>
      <c r="N16" s="92" t="str">
        <f>'Bryn Cowlyd'!N16</f>
        <v>Medium/Clay</v>
      </c>
      <c r="O16" s="92" t="str">
        <f>'Bryn Cowlyd'!O16</f>
        <v>Medium/Clay</v>
      </c>
      <c r="P16" s="92" t="str">
        <f>'Bryn Cowlyd'!P16</f>
        <v>Medium/Clay</v>
      </c>
      <c r="Q16" s="92" t="str">
        <f>'Bryn Cowlyd'!Q16</f>
        <v>Medium/Clay</v>
      </c>
      <c r="R16" s="92" t="str">
        <f>'Bryn Cowlyd'!R16</f>
        <v>Medium/Clay</v>
      </c>
      <c r="S16" s="92" t="str">
        <f>'Bryn Cowlyd'!S16</f>
        <v>Medium/Clay</v>
      </c>
      <c r="T16" s="92" t="str">
        <f>'Bryn Cowlyd'!T16</f>
        <v>Medium/Clay</v>
      </c>
      <c r="U16" s="92" t="str">
        <f>'Bryn Cowlyd'!U16</f>
        <v>Medium/Clay</v>
      </c>
      <c r="V16" s="92" t="str">
        <f>'Bryn Cowlyd'!V16</f>
        <v>Medium/Clay</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f t="shared" si="0"/>
        <v>64.599999999999994</v>
      </c>
      <c r="N17" s="21">
        <f t="shared" si="0"/>
        <v>64.599999999999994</v>
      </c>
      <c r="O17" s="21">
        <f t="shared" si="0"/>
        <v>64.599999999999994</v>
      </c>
      <c r="P17" s="21">
        <f t="shared" si="0"/>
        <v>64.599999999999994</v>
      </c>
      <c r="Q17" s="21">
        <f t="shared" si="0"/>
        <v>64.599999999999994</v>
      </c>
      <c r="R17" s="21">
        <f t="shared" si="0"/>
        <v>64.599999999999994</v>
      </c>
      <c r="S17" s="21">
        <f t="shared" si="0"/>
        <v>64.599999999999994</v>
      </c>
      <c r="T17" s="21">
        <f t="shared" si="0"/>
        <v>64.599999999999994</v>
      </c>
      <c r="U17" s="21">
        <f t="shared" si="0"/>
        <v>64.599999999999994</v>
      </c>
      <c r="V17" s="21">
        <f t="shared" si="0"/>
        <v>64.599999999999994</v>
      </c>
      <c r="AD17" s="45" t="s">
        <v>146</v>
      </c>
      <c r="AE17" s="23">
        <v>10</v>
      </c>
      <c r="AI17" s="41" t="s">
        <v>115</v>
      </c>
      <c r="AJ17" s="42">
        <v>1.4</v>
      </c>
      <c r="AK17" s="43">
        <v>4.8</v>
      </c>
      <c r="AL17" s="44">
        <v>15</v>
      </c>
      <c r="AM17" s="9">
        <v>6.2</v>
      </c>
      <c r="AN17" s="9" t="s">
        <v>112</v>
      </c>
    </row>
    <row r="18" spans="1:40" ht="13" x14ac:dyDescent="0.25">
      <c r="A18" s="111" t="s">
        <v>23</v>
      </c>
      <c r="B18" s="112"/>
      <c r="C18" s="13">
        <f>$D31</f>
        <v>53.517759999999996</v>
      </c>
      <c r="D18" s="13">
        <f>$D32</f>
        <v>53.517759999999996</v>
      </c>
      <c r="E18" s="13">
        <f>$D33</f>
        <v>53.517759999999996</v>
      </c>
      <c r="F18" s="13">
        <f>$D34</f>
        <v>53.517759999999996</v>
      </c>
      <c r="G18" s="13">
        <f>$D35</f>
        <v>53.517759999999996</v>
      </c>
      <c r="H18" s="13">
        <f>$D36</f>
        <v>53.517759999999996</v>
      </c>
      <c r="I18" s="13">
        <f>$D37</f>
        <v>53.517759999999996</v>
      </c>
      <c r="J18" s="13">
        <f>$D38</f>
        <v>53.517759999999996</v>
      </c>
      <c r="K18" s="13">
        <f>$D39</f>
        <v>53.517759999999996</v>
      </c>
      <c r="L18" s="13">
        <f>$D40</f>
        <v>53.517759999999996</v>
      </c>
      <c r="M18" s="13">
        <f>$D41</f>
        <v>53.517759999999996</v>
      </c>
      <c r="N18" s="13">
        <f>$D42</f>
        <v>53.517759999999996</v>
      </c>
      <c r="O18" s="13">
        <f>$D43</f>
        <v>37.462432</v>
      </c>
      <c r="P18" s="13">
        <f>$D44</f>
        <v>37.462432</v>
      </c>
      <c r="Q18" s="13">
        <f>$D45</f>
        <v>53.517759999999996</v>
      </c>
      <c r="R18" s="13">
        <f>$D46</f>
        <v>53.517759999999996</v>
      </c>
      <c r="S18" s="13">
        <f>$D47</f>
        <v>53.517759999999996</v>
      </c>
      <c r="T18" s="13">
        <f>$D48</f>
        <v>53.517759999999996</v>
      </c>
      <c r="U18" s="13">
        <f>$D49</f>
        <v>53.517759999999996</v>
      </c>
      <c r="V18" s="18">
        <f>$D50</f>
        <v>53.517759999999996</v>
      </c>
      <c r="AD18" s="45" t="s">
        <v>147</v>
      </c>
      <c r="AE18" s="23">
        <v>16</v>
      </c>
      <c r="AI18" s="41" t="s">
        <v>106</v>
      </c>
      <c r="AJ18" s="42">
        <v>5.9</v>
      </c>
      <c r="AK18" s="43">
        <v>18</v>
      </c>
      <c r="AL18" s="44">
        <v>16</v>
      </c>
      <c r="AM18" s="9">
        <v>6.2</v>
      </c>
      <c r="AN18" s="9" t="s">
        <v>112</v>
      </c>
    </row>
    <row r="19" spans="1:40" ht="13" x14ac:dyDescent="0.25">
      <c r="A19" s="111" t="s">
        <v>90</v>
      </c>
      <c r="B19" s="112"/>
      <c r="C19" s="13">
        <f>C18-C17</f>
        <v>-11.082239999999999</v>
      </c>
      <c r="D19" s="13">
        <f t="shared" ref="D19:V19" si="1">D18-D17</f>
        <v>-11.082239999999999</v>
      </c>
      <c r="E19" s="13">
        <f t="shared" si="1"/>
        <v>-11.082239999999999</v>
      </c>
      <c r="F19" s="13">
        <f t="shared" si="1"/>
        <v>-11.082239999999999</v>
      </c>
      <c r="G19" s="13">
        <f t="shared" si="1"/>
        <v>-11.082239999999999</v>
      </c>
      <c r="H19" s="13">
        <f t="shared" si="1"/>
        <v>-11.082239999999999</v>
      </c>
      <c r="I19" s="13">
        <f t="shared" si="1"/>
        <v>-11.082239999999999</v>
      </c>
      <c r="J19" s="13">
        <f t="shared" si="1"/>
        <v>-11.082239999999999</v>
      </c>
      <c r="K19" s="13">
        <f t="shared" si="1"/>
        <v>-11.082239999999999</v>
      </c>
      <c r="L19" s="13">
        <f t="shared" si="1"/>
        <v>-11.082239999999999</v>
      </c>
      <c r="M19" s="13">
        <f t="shared" si="1"/>
        <v>-11.082239999999999</v>
      </c>
      <c r="N19" s="13">
        <f t="shared" si="1"/>
        <v>-11.082239999999999</v>
      </c>
      <c r="O19" s="13">
        <f t="shared" si="1"/>
        <v>-27.137567999999995</v>
      </c>
      <c r="P19" s="13">
        <f t="shared" si="1"/>
        <v>-27.137567999999995</v>
      </c>
      <c r="Q19" s="13">
        <f t="shared" si="1"/>
        <v>-11.082239999999999</v>
      </c>
      <c r="R19" s="13">
        <f t="shared" si="1"/>
        <v>-11.082239999999999</v>
      </c>
      <c r="S19" s="13">
        <f t="shared" si="1"/>
        <v>-11.082239999999999</v>
      </c>
      <c r="T19" s="13">
        <f t="shared" si="1"/>
        <v>-11.082239999999999</v>
      </c>
      <c r="U19" s="13">
        <f t="shared" si="1"/>
        <v>-11.082239999999999</v>
      </c>
      <c r="V19" s="18">
        <f t="shared" si="1"/>
        <v>-11.082239999999999</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DECREASE</v>
      </c>
      <c r="V20" s="20" t="str">
        <f>IF($B50="","",IF(V$19&gt;=0,"INCREASE","DECREASE"))</f>
        <v>DECREASE</v>
      </c>
      <c r="AI20" s="41" t="s">
        <v>114</v>
      </c>
      <c r="AJ20" s="42">
        <v>2.1</v>
      </c>
      <c r="AK20" s="43">
        <v>7.2</v>
      </c>
      <c r="AL20" s="44">
        <v>18</v>
      </c>
      <c r="AM20" s="9">
        <v>6.2</v>
      </c>
      <c r="AN20" s="9" t="s">
        <v>112</v>
      </c>
    </row>
    <row r="21" spans="1:40" ht="13" x14ac:dyDescent="0.25">
      <c r="A21" s="109" t="s">
        <v>88</v>
      </c>
      <c r="B21" s="110"/>
      <c r="C21" s="21">
        <f>(VLOOKUP(C$14,$AI2:$AK26,3,FALSE))*C$15</f>
        <v>228</v>
      </c>
      <c r="D21" s="21">
        <f t="shared" ref="D21:V21" si="2">(VLOOKUP(D$14,$AI2:$AK24,3,FALSE))*D$15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f t="shared" si="2"/>
        <v>228</v>
      </c>
      <c r="N21" s="21">
        <f t="shared" si="2"/>
        <v>228</v>
      </c>
      <c r="O21" s="21">
        <f t="shared" si="2"/>
        <v>228</v>
      </c>
      <c r="P21" s="21">
        <f t="shared" si="2"/>
        <v>228</v>
      </c>
      <c r="Q21" s="21">
        <f t="shared" si="2"/>
        <v>228</v>
      </c>
      <c r="R21" s="21">
        <f t="shared" si="2"/>
        <v>228</v>
      </c>
      <c r="S21" s="21">
        <f t="shared" si="2"/>
        <v>228</v>
      </c>
      <c r="T21" s="21">
        <f t="shared" si="2"/>
        <v>228</v>
      </c>
      <c r="U21" s="21">
        <f t="shared" si="2"/>
        <v>228</v>
      </c>
      <c r="V21" s="21">
        <f t="shared" si="2"/>
        <v>228</v>
      </c>
      <c r="AI21" s="55" t="s">
        <v>100</v>
      </c>
      <c r="AJ21" s="58">
        <v>11</v>
      </c>
      <c r="AK21" s="57">
        <v>12</v>
      </c>
      <c r="AL21" s="22">
        <v>19</v>
      </c>
      <c r="AM21" s="9">
        <v>6.7</v>
      </c>
      <c r="AN21" s="9" t="s">
        <v>135</v>
      </c>
    </row>
    <row r="22" spans="1:40" ht="13" x14ac:dyDescent="0.25">
      <c r="A22" s="111" t="s">
        <v>89</v>
      </c>
      <c r="B22" s="112"/>
      <c r="C22" s="13">
        <f>$E31</f>
        <v>3.2294000000000002E-4</v>
      </c>
      <c r="D22" s="13">
        <f>$E32</f>
        <v>3.2294000000000002E-4</v>
      </c>
      <c r="E22" s="13">
        <f>$E33</f>
        <v>3.2294000000000002E-4</v>
      </c>
      <c r="F22" s="13">
        <f>$E34</f>
        <v>3.2294000000000002E-4</v>
      </c>
      <c r="G22" s="13">
        <f>$E35</f>
        <v>3.2294000000000002E-4</v>
      </c>
      <c r="H22" s="13">
        <f>$E36</f>
        <v>3.2294000000000002E-4</v>
      </c>
      <c r="I22" s="13">
        <f>$E37</f>
        <v>3.2294000000000002E-4</v>
      </c>
      <c r="J22" s="13">
        <f>$E38</f>
        <v>3.2294000000000002E-4</v>
      </c>
      <c r="K22" s="13">
        <f>$E39</f>
        <v>3.2294000000000002E-4</v>
      </c>
      <c r="L22" s="13">
        <f>$E40</f>
        <v>3.2294000000000002E-4</v>
      </c>
      <c r="M22" s="13">
        <f>$E41</f>
        <v>3.2294000000000002E-4</v>
      </c>
      <c r="N22" s="13">
        <f>$E42</f>
        <v>3.2294000000000002E-4</v>
      </c>
      <c r="O22" s="13">
        <f>$E43</f>
        <v>2.2605800000000001E-4</v>
      </c>
      <c r="P22" s="13">
        <f>$E44</f>
        <v>2.2605800000000001E-4</v>
      </c>
      <c r="Q22" s="13">
        <f>$E45</f>
        <v>3.2294000000000002E-4</v>
      </c>
      <c r="R22" s="13">
        <f>$E46</f>
        <v>3.2294000000000002E-4</v>
      </c>
      <c r="S22" s="13">
        <f>$E47</f>
        <v>3.2294000000000002E-4</v>
      </c>
      <c r="T22" s="13">
        <f>$E48</f>
        <v>3.2294000000000002E-4</v>
      </c>
      <c r="U22" s="13">
        <f>$E49</f>
        <v>3.2294000000000002E-4</v>
      </c>
      <c r="V22" s="13">
        <f>$E50</f>
        <v>3.2294000000000002E-4</v>
      </c>
      <c r="AI22" s="55" t="s">
        <v>102</v>
      </c>
      <c r="AJ22" s="56">
        <v>1.2</v>
      </c>
      <c r="AK22" s="57">
        <v>5</v>
      </c>
      <c r="AL22" s="22">
        <v>20</v>
      </c>
      <c r="AM22" s="9">
        <v>6.7</v>
      </c>
      <c r="AN22" s="9" t="s">
        <v>135</v>
      </c>
    </row>
    <row r="23" spans="1:40" ht="13" x14ac:dyDescent="0.25">
      <c r="A23" s="111" t="s">
        <v>92</v>
      </c>
      <c r="B23" s="112"/>
      <c r="C23" s="13">
        <f>C22-C21</f>
        <v>-227.99967706000001</v>
      </c>
      <c r="D23" s="13">
        <f t="shared" ref="D23:V23" si="3">D22-D21</f>
        <v>-227.99967706000001</v>
      </c>
      <c r="E23" s="13">
        <f t="shared" si="3"/>
        <v>-227.99967706000001</v>
      </c>
      <c r="F23" s="13">
        <f t="shared" si="3"/>
        <v>-227.99967706000001</v>
      </c>
      <c r="G23" s="13">
        <f t="shared" si="3"/>
        <v>-227.99967706000001</v>
      </c>
      <c r="H23" s="13">
        <f t="shared" si="3"/>
        <v>-227.99967706000001</v>
      </c>
      <c r="I23" s="13">
        <f t="shared" si="3"/>
        <v>-227.99967706000001</v>
      </c>
      <c r="J23" s="13">
        <f t="shared" si="3"/>
        <v>-227.99967706000001</v>
      </c>
      <c r="K23" s="13">
        <f t="shared" si="3"/>
        <v>-227.99967706000001</v>
      </c>
      <c r="L23" s="13">
        <f t="shared" si="3"/>
        <v>-227.99967706000001</v>
      </c>
      <c r="M23" s="13">
        <f t="shared" si="3"/>
        <v>-227.99967706000001</v>
      </c>
      <c r="N23" s="13">
        <f t="shared" si="3"/>
        <v>-227.99967706000001</v>
      </c>
      <c r="O23" s="13">
        <f t="shared" si="3"/>
        <v>-227.99977394199999</v>
      </c>
      <c r="P23" s="13">
        <f t="shared" si="3"/>
        <v>-227.99977394199999</v>
      </c>
      <c r="Q23" s="13">
        <f t="shared" si="3"/>
        <v>-227.99967706000001</v>
      </c>
      <c r="R23" s="13">
        <f t="shared" si="3"/>
        <v>-227.99967706000001</v>
      </c>
      <c r="S23" s="13">
        <f t="shared" si="3"/>
        <v>-227.99967706000001</v>
      </c>
      <c r="T23" s="13">
        <f t="shared" si="3"/>
        <v>-227.99967706000001</v>
      </c>
      <c r="U23" s="13">
        <f t="shared" si="3"/>
        <v>-227.99967706000001</v>
      </c>
      <c r="V23" s="13">
        <f t="shared" si="3"/>
        <v>-227.99967706000001</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str">
        <f t="shared" si="4"/>
        <v>DECREASE</v>
      </c>
      <c r="V24" s="19" t="str">
        <f t="shared" si="4"/>
        <v>DECREASE</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3.2</v>
      </c>
      <c r="C28" s="12">
        <v>1.44</v>
      </c>
      <c r="D28" s="12">
        <v>0.29199999999999998</v>
      </c>
      <c r="E28" s="12">
        <v>3.3500000000000002E-2</v>
      </c>
      <c r="F28" s="12">
        <v>510</v>
      </c>
      <c r="G28" s="12">
        <v>74.099999999999994</v>
      </c>
      <c r="H28" s="12">
        <v>244</v>
      </c>
      <c r="I28" s="12">
        <v>6.2</v>
      </c>
      <c r="J28" s="12">
        <v>0.6</v>
      </c>
      <c r="K28" s="16">
        <v>1.0900000000000001</v>
      </c>
      <c r="L28" s="12">
        <v>14.6</v>
      </c>
      <c r="M28" s="12">
        <v>5</v>
      </c>
      <c r="N28" s="12">
        <v>176000</v>
      </c>
      <c r="O28" s="12">
        <v>6950</v>
      </c>
      <c r="P28" s="12"/>
      <c r="Q28" s="12">
        <v>6190</v>
      </c>
      <c r="R28" s="12"/>
      <c r="S28" s="12">
        <v>23.1</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250</v>
      </c>
      <c r="C31" s="68">
        <f>IF(C$27="%w/w SAR",((C$28*10)*$B31),IF(C$27="%w/w DM",(((C$28*10)*($B$28/100))*$B31),IF(C$27="kg/t SAR",(C$28*$B31),IF(C$27="kg/t DM",((C$28*($B$28/100))*$B31),IF(C$27="mg/kg SAR",((C$28*0.001)*$B31),IF(C$27="mg/kg DM",(((C$28*0.001)*($B$28/100))*$B31),0))))))</f>
        <v>115.2</v>
      </c>
      <c r="D31" s="68">
        <f>(IF(D$27="%w/w SAR",((D$28*10)*$B31),IF(D$27="%w/w DM",(((D$28*10)*($B$28/100))*$B31),IF(D$27="kg/t SAR",(D$28*$B31),IF(D$27="kg/t DM",((D$28*($B$28/100))*$B31),IF(D$27="mg/kg SAR",((D$28*0.001)*$B31),IF(D$27="mg/kg DM",(((D$28*0.001)*($B$28/100))*$B31),"0")))))))*2.291</f>
        <v>53.517759999999996</v>
      </c>
      <c r="E31" s="68">
        <f>(IF(E$27="%w/w SAR",((E$28*10)*$B31),IF(E$27="%w/w DM",(((E$28*10)*($B$28/100))*$B31),IF(E$27="kg/t SAR",(E$28*$B31),IF(E$27="kg/t DM",((E$28*($B$28/100))*$B31),IF(E$27="mg/kg SAR",((E$28*0.001)*$B31),IF(E$27="mg/kg DM",(((E$28*0.001)*($B$28/100))*$B31),"0")))))))*1.205</f>
        <v>3.2294000000000002E-4</v>
      </c>
      <c r="F31" s="68">
        <f>(IF(F$27="%w/w SAR",((F$28*10)*$B31),IF(F$27="%w/w DM",(((F$28*10)*($B$28/100))*$B31),IF(F$27="kg/t SAR",(F$28*$B31),IF(F$27="kg/t DM",((F$28*($B$28/100))*$B31),IF(F$27="mg/kg SAR",((F$28*0.001)*$B31),IF(F$27="mg/kg DM",(((F$28*0.001)*($B$28/100))*$B31),"0")))))))*1.658</f>
        <v>6.76464</v>
      </c>
      <c r="G31" s="68">
        <f t="shared" ref="G31:P46" si="5">IF(G$27="%w/w SAR",((G$28*10)*$B31),IF(G$27="%w/w DM",(((G$28*10)*($B$28/100))*$B31),IF(G$27="kg/t SAR",(G$28*$B31),IF(G$27="kg/t DM",((G$28*($B$28/100))*$B31),IF(G$27="mg/kg SAR",((G$28*0.001)*$B31),IF(G$27="mg/kg DM",(((G$28*0.001)*($B$28/100))*$B31),0))))))</f>
        <v>0.59279999999999999</v>
      </c>
      <c r="H31" s="68">
        <f t="shared" si="5"/>
        <v>1.952</v>
      </c>
      <c r="I31" s="68">
        <f t="shared" si="5"/>
        <v>4.9600000000000005E-2</v>
      </c>
      <c r="J31" s="68">
        <f t="shared" si="5"/>
        <v>4.7999999999999996E-3</v>
      </c>
      <c r="K31" s="68">
        <f t="shared" si="5"/>
        <v>8.7200000000000021E-3</v>
      </c>
      <c r="L31" s="68">
        <f t="shared" si="5"/>
        <v>0.1168</v>
      </c>
      <c r="M31" s="68">
        <f t="shared" si="5"/>
        <v>0.04</v>
      </c>
      <c r="N31" s="68">
        <f t="shared" si="5"/>
        <v>1408</v>
      </c>
      <c r="O31" s="68">
        <f t="shared" si="5"/>
        <v>55.6</v>
      </c>
      <c r="P31" s="68">
        <f t="shared" si="5"/>
        <v>0</v>
      </c>
      <c r="Q31" s="68">
        <f>(IF(Q$27="%w/w SAR",((Q$28*10)*$B31),IF(Q$27="%w/w DM",(((Q$28*10)*($B$28/100))*$B31),IF(Q$27="kg/t SAR",(Q$28*$B31),IF(Q$27="kg/t DM",((Q$28*($B$28/100))*$B31),IF(Q$27="mg/kg SAR",((Q$28*0.001)*$B31),IF(Q$27="mg/kg DM",(((Q$28*0.001)*($B$28/100))*$B31),0)))))))*2.5</f>
        <v>123.80000000000001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0.18480000000000002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250</v>
      </c>
      <c r="C32" s="68">
        <f t="shared" ref="C32:C50" si="6">IF(C$27="%w/w SAR",((C$28*10)*$B32),IF(C$27="%w/w DM",(((C$28*10)*($B$28/100))*$B32),IF(C$27="kg/t SAR",(C$28*$B32),IF(C$27="kg/t DM",((C$28*($B$28/100))*$B32),IF(C$27="mg/kg SAR",((C$28*0.001)*$B32),IF(C$27="mg/kg DM",(((C$28*0.001)*($B$28/100))*$B32),0))))))</f>
        <v>115.2</v>
      </c>
      <c r="D32" s="68">
        <f t="shared" ref="D32:D50" si="7">(IF(D$27="%w/w SAR",((D$28*10)*$B32),IF(D$27="%w/w DM",(((D$28*10)*($B$28/100))*$B32),IF(D$27="kg/t SAR",(D$28*$B32),IF(D$27="kg/t DM",((D$28*($B$28/100))*$B32),IF(D$27="mg/kg SAR",((D$28*0.001)*$B32),IF(D$27="mg/kg DM",(((D$28*0.001)*($B$28/100))*$B32),"0")))))))*2.291</f>
        <v>53.517759999999996</v>
      </c>
      <c r="E32" s="68">
        <f t="shared" ref="E32:E50" si="8">(IF(E$27="%w/w SAR",((E$28*10)*$B32),IF(E$27="%w/w DM",(((E$28*10)*($B$28/100))*$B32),IF(E$27="kg/t SAR",(E$28*$B32),IF(E$27="kg/t DM",((E$28*($B$28/100))*$B32),IF(E$27="mg/kg SAR",((E$28*0.001)*$B32),IF(E$27="mg/kg DM",(((E$28*0.001)*($B$28/100))*$B32),"0")))))))*1.205</f>
        <v>3.2294000000000002E-4</v>
      </c>
      <c r="F32" s="68">
        <f t="shared" ref="F32:F50" si="9">(IF(F$27="%w/w SAR",((F$28*10)*$B32),IF(F$27="%w/w DM",(((F$28*10)*($B$28/100))*$B32),IF(F$27="kg/t SAR",(F$28*$B32),IF(F$27="kg/t DM",((F$28*($B$28/100))*$B32),IF(F$27="mg/kg SAR",((F$28*0.001)*$B32),IF(F$27="mg/kg DM",(((F$28*0.001)*($B$28/100))*$B32),"0")))))))*1.658</f>
        <v>6.76464</v>
      </c>
      <c r="G32" s="68">
        <f t="shared" si="5"/>
        <v>0.59279999999999999</v>
      </c>
      <c r="H32" s="68">
        <f t="shared" si="5"/>
        <v>1.952</v>
      </c>
      <c r="I32" s="68">
        <f t="shared" si="5"/>
        <v>4.9600000000000005E-2</v>
      </c>
      <c r="J32" s="68">
        <f t="shared" si="5"/>
        <v>4.7999999999999996E-3</v>
      </c>
      <c r="K32" s="68">
        <f t="shared" si="5"/>
        <v>8.7200000000000021E-3</v>
      </c>
      <c r="L32" s="68">
        <f t="shared" si="5"/>
        <v>0.1168</v>
      </c>
      <c r="M32" s="68">
        <f t="shared" si="5"/>
        <v>0.04</v>
      </c>
      <c r="N32" s="68">
        <f t="shared" si="5"/>
        <v>1408</v>
      </c>
      <c r="O32" s="68">
        <f t="shared" si="5"/>
        <v>55.6</v>
      </c>
      <c r="P32" s="68">
        <f t="shared" si="5"/>
        <v>0</v>
      </c>
      <c r="Q32" s="68">
        <f t="shared" ref="Q32:Q50" si="10">(IF(Q$27="%w/w SAR",((Q$28*10)*$B32),IF(Q$27="%w/w DM",(((Q$28*10)*($B$28/100))*$B32),IF(Q$27="kg/t SAR",(Q$28*$B32),IF(Q$27="kg/t DM",((Q$28*($B$28/100))*$B32),IF(Q$27="mg/kg SAR",((Q$28*0.001)*$B32),IF(Q$27="mg/kg DM",(((Q$28*0.001)*($B$28/100))*$B32),0)))))))*2.5</f>
        <v>123.80000000000001</v>
      </c>
      <c r="R32" s="68">
        <f t="shared" ref="R32:U50" si="11">IF(R$27="%w/w SAR",((R$28*10)*$B32),IF(R$27="%w/w DM",(((R$28*10)*($B$28/100))*$B32),IF(R$27="kg/t SAR",(R$28*$B32),IF(R$27="kg/t DM",((R$28*($B$28/100))*$B32),IF(R$27="mg/kg SAR",((R$28*0.001)*$B32),IF(R$27="mg/kg DM",(((R$28*0.001)*($B$28/100))*$B32),0))))))</f>
        <v>0</v>
      </c>
      <c r="S32" s="68">
        <f t="shared" si="11"/>
        <v>0.18480000000000002</v>
      </c>
      <c r="T32" s="68">
        <f t="shared" si="11"/>
        <v>0</v>
      </c>
      <c r="U32" s="68">
        <f t="shared" si="11"/>
        <v>0</v>
      </c>
    </row>
    <row r="33" spans="1:21" s="51" customFormat="1" ht="13" x14ac:dyDescent="0.35">
      <c r="A33" s="10">
        <f>E8</f>
        <v>3</v>
      </c>
      <c r="B33" s="12">
        <v>250</v>
      </c>
      <c r="C33" s="68">
        <f t="shared" si="6"/>
        <v>115.2</v>
      </c>
      <c r="D33" s="68">
        <f t="shared" si="7"/>
        <v>53.517759999999996</v>
      </c>
      <c r="E33" s="68">
        <f t="shared" si="8"/>
        <v>3.2294000000000002E-4</v>
      </c>
      <c r="F33" s="68">
        <f t="shared" si="9"/>
        <v>6.76464</v>
      </c>
      <c r="G33" s="68">
        <f t="shared" si="5"/>
        <v>0.59279999999999999</v>
      </c>
      <c r="H33" s="68">
        <f t="shared" si="5"/>
        <v>1.952</v>
      </c>
      <c r="I33" s="68">
        <f t="shared" si="5"/>
        <v>4.9600000000000005E-2</v>
      </c>
      <c r="J33" s="68">
        <f t="shared" si="5"/>
        <v>4.7999999999999996E-3</v>
      </c>
      <c r="K33" s="68">
        <f t="shared" si="5"/>
        <v>8.7200000000000021E-3</v>
      </c>
      <c r="L33" s="68">
        <f t="shared" si="5"/>
        <v>0.1168</v>
      </c>
      <c r="M33" s="68">
        <f t="shared" si="5"/>
        <v>0.04</v>
      </c>
      <c r="N33" s="68">
        <f t="shared" si="5"/>
        <v>1408</v>
      </c>
      <c r="O33" s="68">
        <f t="shared" si="5"/>
        <v>55.6</v>
      </c>
      <c r="P33" s="68">
        <f t="shared" si="5"/>
        <v>0</v>
      </c>
      <c r="Q33" s="68">
        <f t="shared" si="10"/>
        <v>123.80000000000001</v>
      </c>
      <c r="R33" s="68">
        <f t="shared" si="11"/>
        <v>0</v>
      </c>
      <c r="S33" s="68">
        <f t="shared" si="11"/>
        <v>0.18480000000000002</v>
      </c>
      <c r="T33" s="68">
        <f t="shared" si="11"/>
        <v>0</v>
      </c>
      <c r="U33" s="68">
        <f t="shared" si="11"/>
        <v>0</v>
      </c>
    </row>
    <row r="34" spans="1:21" s="51" customFormat="1" ht="13" x14ac:dyDescent="0.35">
      <c r="A34" s="10">
        <f>F8</f>
        <v>4</v>
      </c>
      <c r="B34" s="12">
        <v>250</v>
      </c>
      <c r="C34" s="68">
        <f t="shared" si="6"/>
        <v>115.2</v>
      </c>
      <c r="D34" s="68">
        <f t="shared" si="7"/>
        <v>53.517759999999996</v>
      </c>
      <c r="E34" s="68">
        <f t="shared" si="8"/>
        <v>3.2294000000000002E-4</v>
      </c>
      <c r="F34" s="68">
        <f t="shared" si="9"/>
        <v>6.76464</v>
      </c>
      <c r="G34" s="68">
        <f t="shared" si="5"/>
        <v>0.59279999999999999</v>
      </c>
      <c r="H34" s="68">
        <f t="shared" si="5"/>
        <v>1.952</v>
      </c>
      <c r="I34" s="68">
        <f t="shared" si="5"/>
        <v>4.9600000000000005E-2</v>
      </c>
      <c r="J34" s="68">
        <f t="shared" si="5"/>
        <v>4.7999999999999996E-3</v>
      </c>
      <c r="K34" s="68">
        <f t="shared" si="5"/>
        <v>8.7200000000000021E-3</v>
      </c>
      <c r="L34" s="68">
        <f t="shared" si="5"/>
        <v>0.1168</v>
      </c>
      <c r="M34" s="68">
        <f t="shared" si="5"/>
        <v>0.04</v>
      </c>
      <c r="N34" s="68">
        <f t="shared" si="5"/>
        <v>1408</v>
      </c>
      <c r="O34" s="68">
        <f t="shared" si="5"/>
        <v>55.6</v>
      </c>
      <c r="P34" s="68">
        <f t="shared" si="5"/>
        <v>0</v>
      </c>
      <c r="Q34" s="68">
        <f t="shared" si="10"/>
        <v>123.80000000000001</v>
      </c>
      <c r="R34" s="68">
        <f t="shared" si="11"/>
        <v>0</v>
      </c>
      <c r="S34" s="68">
        <f t="shared" si="11"/>
        <v>0.18480000000000002</v>
      </c>
      <c r="T34" s="68">
        <f t="shared" si="11"/>
        <v>0</v>
      </c>
      <c r="U34" s="68">
        <f t="shared" si="11"/>
        <v>0</v>
      </c>
    </row>
    <row r="35" spans="1:21" s="51" customFormat="1" ht="13" x14ac:dyDescent="0.35">
      <c r="A35" s="10">
        <f>G8</f>
        <v>5</v>
      </c>
      <c r="B35" s="12">
        <v>250</v>
      </c>
      <c r="C35" s="68">
        <f t="shared" si="6"/>
        <v>115.2</v>
      </c>
      <c r="D35" s="68">
        <f t="shared" si="7"/>
        <v>53.517759999999996</v>
      </c>
      <c r="E35" s="68">
        <f t="shared" si="8"/>
        <v>3.2294000000000002E-4</v>
      </c>
      <c r="F35" s="68">
        <f t="shared" si="9"/>
        <v>6.76464</v>
      </c>
      <c r="G35" s="68">
        <f t="shared" si="5"/>
        <v>0.59279999999999999</v>
      </c>
      <c r="H35" s="68">
        <f t="shared" si="5"/>
        <v>1.952</v>
      </c>
      <c r="I35" s="68">
        <f t="shared" si="5"/>
        <v>4.9600000000000005E-2</v>
      </c>
      <c r="J35" s="68">
        <f t="shared" si="5"/>
        <v>4.7999999999999996E-3</v>
      </c>
      <c r="K35" s="68">
        <f t="shared" si="5"/>
        <v>8.7200000000000021E-3</v>
      </c>
      <c r="L35" s="68">
        <f t="shared" si="5"/>
        <v>0.1168</v>
      </c>
      <c r="M35" s="68">
        <f t="shared" si="5"/>
        <v>0.04</v>
      </c>
      <c r="N35" s="68">
        <f t="shared" si="5"/>
        <v>1408</v>
      </c>
      <c r="O35" s="68">
        <f t="shared" si="5"/>
        <v>55.6</v>
      </c>
      <c r="P35" s="68">
        <f t="shared" si="5"/>
        <v>0</v>
      </c>
      <c r="Q35" s="68">
        <f t="shared" si="10"/>
        <v>123.80000000000001</v>
      </c>
      <c r="R35" s="68">
        <f t="shared" si="11"/>
        <v>0</v>
      </c>
      <c r="S35" s="68">
        <f t="shared" si="11"/>
        <v>0.18480000000000002</v>
      </c>
      <c r="T35" s="68">
        <f t="shared" si="11"/>
        <v>0</v>
      </c>
      <c r="U35" s="68">
        <f t="shared" si="11"/>
        <v>0</v>
      </c>
    </row>
    <row r="36" spans="1:21" s="51" customFormat="1" ht="13" x14ac:dyDescent="0.35">
      <c r="A36" s="10">
        <f>H8</f>
        <v>6</v>
      </c>
      <c r="B36" s="12">
        <v>250</v>
      </c>
      <c r="C36" s="68">
        <f t="shared" si="6"/>
        <v>115.2</v>
      </c>
      <c r="D36" s="68">
        <f t="shared" si="7"/>
        <v>53.517759999999996</v>
      </c>
      <c r="E36" s="68">
        <f t="shared" si="8"/>
        <v>3.2294000000000002E-4</v>
      </c>
      <c r="F36" s="68">
        <f t="shared" si="9"/>
        <v>6.76464</v>
      </c>
      <c r="G36" s="68">
        <f t="shared" si="5"/>
        <v>0.59279999999999999</v>
      </c>
      <c r="H36" s="68">
        <f t="shared" si="5"/>
        <v>1.952</v>
      </c>
      <c r="I36" s="68">
        <f t="shared" si="5"/>
        <v>4.9600000000000005E-2</v>
      </c>
      <c r="J36" s="68">
        <f t="shared" si="5"/>
        <v>4.7999999999999996E-3</v>
      </c>
      <c r="K36" s="68">
        <f t="shared" si="5"/>
        <v>8.7200000000000021E-3</v>
      </c>
      <c r="L36" s="68">
        <f t="shared" si="5"/>
        <v>0.1168</v>
      </c>
      <c r="M36" s="68">
        <f t="shared" si="5"/>
        <v>0.04</v>
      </c>
      <c r="N36" s="68">
        <f t="shared" si="5"/>
        <v>1408</v>
      </c>
      <c r="O36" s="68">
        <f t="shared" si="5"/>
        <v>55.6</v>
      </c>
      <c r="P36" s="68">
        <f t="shared" si="5"/>
        <v>0</v>
      </c>
      <c r="Q36" s="68">
        <f t="shared" si="10"/>
        <v>123.80000000000001</v>
      </c>
      <c r="R36" s="68">
        <f t="shared" si="11"/>
        <v>0</v>
      </c>
      <c r="S36" s="68">
        <f t="shared" si="11"/>
        <v>0.18480000000000002</v>
      </c>
      <c r="T36" s="68">
        <f t="shared" si="11"/>
        <v>0</v>
      </c>
      <c r="U36" s="68">
        <f t="shared" si="11"/>
        <v>0</v>
      </c>
    </row>
    <row r="37" spans="1:21" s="51" customFormat="1" ht="13" x14ac:dyDescent="0.35">
      <c r="A37" s="10">
        <f>I8</f>
        <v>7</v>
      </c>
      <c r="B37" s="12">
        <v>250</v>
      </c>
      <c r="C37" s="68">
        <f t="shared" si="6"/>
        <v>115.2</v>
      </c>
      <c r="D37" s="68">
        <f t="shared" si="7"/>
        <v>53.517759999999996</v>
      </c>
      <c r="E37" s="68">
        <f t="shared" si="8"/>
        <v>3.2294000000000002E-4</v>
      </c>
      <c r="F37" s="68">
        <f t="shared" si="9"/>
        <v>6.76464</v>
      </c>
      <c r="G37" s="68">
        <f t="shared" si="5"/>
        <v>0.59279999999999999</v>
      </c>
      <c r="H37" s="68">
        <f t="shared" si="5"/>
        <v>1.952</v>
      </c>
      <c r="I37" s="68">
        <f t="shared" si="5"/>
        <v>4.9600000000000005E-2</v>
      </c>
      <c r="J37" s="68">
        <f t="shared" si="5"/>
        <v>4.7999999999999996E-3</v>
      </c>
      <c r="K37" s="68">
        <f t="shared" si="5"/>
        <v>8.7200000000000021E-3</v>
      </c>
      <c r="L37" s="68">
        <f t="shared" si="5"/>
        <v>0.1168</v>
      </c>
      <c r="M37" s="68">
        <f t="shared" si="5"/>
        <v>0.04</v>
      </c>
      <c r="N37" s="68">
        <f t="shared" si="5"/>
        <v>1408</v>
      </c>
      <c r="O37" s="68">
        <f t="shared" si="5"/>
        <v>55.6</v>
      </c>
      <c r="P37" s="68">
        <f t="shared" si="5"/>
        <v>0</v>
      </c>
      <c r="Q37" s="68">
        <f t="shared" si="10"/>
        <v>123.80000000000001</v>
      </c>
      <c r="R37" s="68">
        <f t="shared" si="11"/>
        <v>0</v>
      </c>
      <c r="S37" s="68">
        <f t="shared" si="11"/>
        <v>0.18480000000000002</v>
      </c>
      <c r="T37" s="68">
        <f t="shared" si="11"/>
        <v>0</v>
      </c>
      <c r="U37" s="68">
        <f t="shared" si="11"/>
        <v>0</v>
      </c>
    </row>
    <row r="38" spans="1:21" s="51" customFormat="1" ht="13" x14ac:dyDescent="0.35">
      <c r="A38" s="10">
        <f>J8</f>
        <v>8</v>
      </c>
      <c r="B38" s="12">
        <v>250</v>
      </c>
      <c r="C38" s="68">
        <f t="shared" si="6"/>
        <v>115.2</v>
      </c>
      <c r="D38" s="68">
        <f t="shared" si="7"/>
        <v>53.517759999999996</v>
      </c>
      <c r="E38" s="68">
        <f t="shared" si="8"/>
        <v>3.2294000000000002E-4</v>
      </c>
      <c r="F38" s="68">
        <f t="shared" si="9"/>
        <v>6.76464</v>
      </c>
      <c r="G38" s="68">
        <f t="shared" si="5"/>
        <v>0.59279999999999999</v>
      </c>
      <c r="H38" s="68">
        <f t="shared" si="5"/>
        <v>1.952</v>
      </c>
      <c r="I38" s="68">
        <f t="shared" si="5"/>
        <v>4.9600000000000005E-2</v>
      </c>
      <c r="J38" s="68">
        <f t="shared" si="5"/>
        <v>4.7999999999999996E-3</v>
      </c>
      <c r="K38" s="68">
        <f t="shared" si="5"/>
        <v>8.7200000000000021E-3</v>
      </c>
      <c r="L38" s="68">
        <f t="shared" si="5"/>
        <v>0.1168</v>
      </c>
      <c r="M38" s="68">
        <f t="shared" si="5"/>
        <v>0.04</v>
      </c>
      <c r="N38" s="68">
        <f t="shared" si="5"/>
        <v>1408</v>
      </c>
      <c r="O38" s="68">
        <f t="shared" si="5"/>
        <v>55.6</v>
      </c>
      <c r="P38" s="68">
        <f t="shared" si="5"/>
        <v>0</v>
      </c>
      <c r="Q38" s="68">
        <f t="shared" si="10"/>
        <v>123.80000000000001</v>
      </c>
      <c r="R38" s="68">
        <f t="shared" si="11"/>
        <v>0</v>
      </c>
      <c r="S38" s="68">
        <f t="shared" si="11"/>
        <v>0.18480000000000002</v>
      </c>
      <c r="T38" s="68">
        <f t="shared" si="11"/>
        <v>0</v>
      </c>
      <c r="U38" s="68">
        <f t="shared" si="11"/>
        <v>0</v>
      </c>
    </row>
    <row r="39" spans="1:21" s="51" customFormat="1" ht="13" x14ac:dyDescent="0.35">
      <c r="A39" s="10">
        <f>K8</f>
        <v>9</v>
      </c>
      <c r="B39" s="12">
        <v>250</v>
      </c>
      <c r="C39" s="68">
        <f t="shared" si="6"/>
        <v>115.2</v>
      </c>
      <c r="D39" s="68">
        <f t="shared" si="7"/>
        <v>53.517759999999996</v>
      </c>
      <c r="E39" s="68">
        <f t="shared" si="8"/>
        <v>3.2294000000000002E-4</v>
      </c>
      <c r="F39" s="68">
        <f t="shared" si="9"/>
        <v>6.76464</v>
      </c>
      <c r="G39" s="68">
        <f t="shared" si="5"/>
        <v>0.59279999999999999</v>
      </c>
      <c r="H39" s="68">
        <f t="shared" si="5"/>
        <v>1.952</v>
      </c>
      <c r="I39" s="68">
        <f t="shared" si="5"/>
        <v>4.9600000000000005E-2</v>
      </c>
      <c r="J39" s="68">
        <f t="shared" si="5"/>
        <v>4.7999999999999996E-3</v>
      </c>
      <c r="K39" s="68">
        <f t="shared" si="5"/>
        <v>8.7200000000000021E-3</v>
      </c>
      <c r="L39" s="68">
        <f t="shared" si="5"/>
        <v>0.1168</v>
      </c>
      <c r="M39" s="68">
        <f t="shared" si="5"/>
        <v>0.04</v>
      </c>
      <c r="N39" s="68">
        <f t="shared" si="5"/>
        <v>1408</v>
      </c>
      <c r="O39" s="68">
        <f t="shared" si="5"/>
        <v>55.6</v>
      </c>
      <c r="P39" s="68">
        <f t="shared" si="5"/>
        <v>0</v>
      </c>
      <c r="Q39" s="68">
        <f t="shared" si="10"/>
        <v>123.80000000000001</v>
      </c>
      <c r="R39" s="68">
        <f t="shared" si="11"/>
        <v>0</v>
      </c>
      <c r="S39" s="68">
        <f t="shared" si="11"/>
        <v>0.18480000000000002</v>
      </c>
      <c r="T39" s="68">
        <f t="shared" si="11"/>
        <v>0</v>
      </c>
      <c r="U39" s="68">
        <f t="shared" si="11"/>
        <v>0</v>
      </c>
    </row>
    <row r="40" spans="1:21" s="51" customFormat="1" ht="13" x14ac:dyDescent="0.35">
      <c r="A40" s="10">
        <f>L8</f>
        <v>10</v>
      </c>
      <c r="B40" s="12">
        <v>250</v>
      </c>
      <c r="C40" s="68">
        <f t="shared" si="6"/>
        <v>115.2</v>
      </c>
      <c r="D40" s="68">
        <f t="shared" si="7"/>
        <v>53.517759999999996</v>
      </c>
      <c r="E40" s="68">
        <f t="shared" si="8"/>
        <v>3.2294000000000002E-4</v>
      </c>
      <c r="F40" s="68">
        <f t="shared" si="9"/>
        <v>6.76464</v>
      </c>
      <c r="G40" s="68">
        <f t="shared" si="5"/>
        <v>0.59279999999999999</v>
      </c>
      <c r="H40" s="68">
        <f t="shared" si="5"/>
        <v>1.952</v>
      </c>
      <c r="I40" s="68">
        <f t="shared" si="5"/>
        <v>4.9600000000000005E-2</v>
      </c>
      <c r="J40" s="68">
        <f t="shared" si="5"/>
        <v>4.7999999999999996E-3</v>
      </c>
      <c r="K40" s="68">
        <f t="shared" si="5"/>
        <v>8.7200000000000021E-3</v>
      </c>
      <c r="L40" s="68">
        <f t="shared" si="5"/>
        <v>0.1168</v>
      </c>
      <c r="M40" s="68">
        <f t="shared" si="5"/>
        <v>0.04</v>
      </c>
      <c r="N40" s="68">
        <f t="shared" si="5"/>
        <v>1408</v>
      </c>
      <c r="O40" s="68">
        <f t="shared" si="5"/>
        <v>55.6</v>
      </c>
      <c r="P40" s="68">
        <f t="shared" si="5"/>
        <v>0</v>
      </c>
      <c r="Q40" s="68">
        <f t="shared" si="10"/>
        <v>123.80000000000001</v>
      </c>
      <c r="R40" s="68">
        <f t="shared" si="11"/>
        <v>0</v>
      </c>
      <c r="S40" s="68">
        <f t="shared" si="11"/>
        <v>0.18480000000000002</v>
      </c>
      <c r="T40" s="68">
        <f t="shared" si="11"/>
        <v>0</v>
      </c>
      <c r="U40" s="68">
        <f t="shared" si="11"/>
        <v>0</v>
      </c>
    </row>
    <row r="41" spans="1:21" s="51" customFormat="1" ht="13" x14ac:dyDescent="0.35">
      <c r="A41" s="10">
        <f>M8</f>
        <v>11</v>
      </c>
      <c r="B41" s="12">
        <v>250</v>
      </c>
      <c r="C41" s="68">
        <f t="shared" si="6"/>
        <v>115.2</v>
      </c>
      <c r="D41" s="68">
        <f t="shared" si="7"/>
        <v>53.517759999999996</v>
      </c>
      <c r="E41" s="68">
        <f t="shared" si="8"/>
        <v>3.2294000000000002E-4</v>
      </c>
      <c r="F41" s="68">
        <f t="shared" si="9"/>
        <v>6.76464</v>
      </c>
      <c r="G41" s="68">
        <f t="shared" si="5"/>
        <v>0.59279999999999999</v>
      </c>
      <c r="H41" s="68">
        <f t="shared" si="5"/>
        <v>1.952</v>
      </c>
      <c r="I41" s="68">
        <f t="shared" si="5"/>
        <v>4.9600000000000005E-2</v>
      </c>
      <c r="J41" s="68">
        <f t="shared" si="5"/>
        <v>4.7999999999999996E-3</v>
      </c>
      <c r="K41" s="68">
        <f t="shared" si="5"/>
        <v>8.7200000000000021E-3</v>
      </c>
      <c r="L41" s="68">
        <f t="shared" si="5"/>
        <v>0.1168</v>
      </c>
      <c r="M41" s="68">
        <f t="shared" si="5"/>
        <v>0.04</v>
      </c>
      <c r="N41" s="68">
        <f t="shared" si="5"/>
        <v>1408</v>
      </c>
      <c r="O41" s="68">
        <f t="shared" si="5"/>
        <v>55.6</v>
      </c>
      <c r="P41" s="68">
        <f t="shared" si="5"/>
        <v>0</v>
      </c>
      <c r="Q41" s="68">
        <f t="shared" si="10"/>
        <v>123.80000000000001</v>
      </c>
      <c r="R41" s="68">
        <f t="shared" si="11"/>
        <v>0</v>
      </c>
      <c r="S41" s="68">
        <f t="shared" si="11"/>
        <v>0.18480000000000002</v>
      </c>
      <c r="T41" s="68">
        <f t="shared" si="11"/>
        <v>0</v>
      </c>
      <c r="U41" s="68">
        <f t="shared" si="11"/>
        <v>0</v>
      </c>
    </row>
    <row r="42" spans="1:21" s="51" customFormat="1" ht="13" x14ac:dyDescent="0.35">
      <c r="A42" s="10">
        <f>N8</f>
        <v>12</v>
      </c>
      <c r="B42" s="12">
        <v>250</v>
      </c>
      <c r="C42" s="68">
        <f t="shared" si="6"/>
        <v>115.2</v>
      </c>
      <c r="D42" s="68">
        <f t="shared" si="7"/>
        <v>53.517759999999996</v>
      </c>
      <c r="E42" s="68">
        <f t="shared" si="8"/>
        <v>3.2294000000000002E-4</v>
      </c>
      <c r="F42" s="68">
        <f t="shared" si="9"/>
        <v>6.76464</v>
      </c>
      <c r="G42" s="68">
        <f t="shared" si="5"/>
        <v>0.59279999999999999</v>
      </c>
      <c r="H42" s="68">
        <f t="shared" si="5"/>
        <v>1.952</v>
      </c>
      <c r="I42" s="68">
        <f t="shared" si="5"/>
        <v>4.9600000000000005E-2</v>
      </c>
      <c r="J42" s="68">
        <f t="shared" si="5"/>
        <v>4.7999999999999996E-3</v>
      </c>
      <c r="K42" s="68">
        <f t="shared" si="5"/>
        <v>8.7200000000000021E-3</v>
      </c>
      <c r="L42" s="68">
        <f t="shared" si="5"/>
        <v>0.1168</v>
      </c>
      <c r="M42" s="68">
        <f t="shared" si="5"/>
        <v>0.04</v>
      </c>
      <c r="N42" s="68">
        <f t="shared" si="5"/>
        <v>1408</v>
      </c>
      <c r="O42" s="68">
        <f t="shared" si="5"/>
        <v>55.6</v>
      </c>
      <c r="P42" s="68">
        <f t="shared" si="5"/>
        <v>0</v>
      </c>
      <c r="Q42" s="68">
        <f t="shared" si="10"/>
        <v>123.80000000000001</v>
      </c>
      <c r="R42" s="68">
        <f t="shared" si="11"/>
        <v>0</v>
      </c>
      <c r="S42" s="68">
        <f t="shared" si="11"/>
        <v>0.18480000000000002</v>
      </c>
      <c r="T42" s="68">
        <f t="shared" si="11"/>
        <v>0</v>
      </c>
      <c r="U42" s="68">
        <f t="shared" si="11"/>
        <v>0</v>
      </c>
    </row>
    <row r="43" spans="1:21" s="51" customFormat="1" ht="13" x14ac:dyDescent="0.35">
      <c r="A43" s="10">
        <f>O8</f>
        <v>13</v>
      </c>
      <c r="B43" s="12">
        <v>175</v>
      </c>
      <c r="C43" s="68">
        <f t="shared" si="6"/>
        <v>80.64</v>
      </c>
      <c r="D43" s="68">
        <f t="shared" si="7"/>
        <v>37.462432</v>
      </c>
      <c r="E43" s="68">
        <f t="shared" si="8"/>
        <v>2.2605800000000001E-4</v>
      </c>
      <c r="F43" s="68">
        <f t="shared" si="9"/>
        <v>4.7352480000000003</v>
      </c>
      <c r="G43" s="68">
        <f t="shared" si="5"/>
        <v>0.41496</v>
      </c>
      <c r="H43" s="68">
        <f t="shared" si="5"/>
        <v>1.3664000000000001</v>
      </c>
      <c r="I43" s="68">
        <f t="shared" si="5"/>
        <v>3.4720000000000008E-2</v>
      </c>
      <c r="J43" s="68">
        <f t="shared" si="5"/>
        <v>3.3599999999999997E-3</v>
      </c>
      <c r="K43" s="68">
        <f t="shared" si="5"/>
        <v>6.1040000000000009E-3</v>
      </c>
      <c r="L43" s="68">
        <f t="shared" si="5"/>
        <v>8.1759999999999999E-2</v>
      </c>
      <c r="M43" s="68">
        <f t="shared" si="5"/>
        <v>2.8000000000000001E-2</v>
      </c>
      <c r="N43" s="68">
        <f t="shared" si="5"/>
        <v>985.59999999999991</v>
      </c>
      <c r="O43" s="68">
        <f t="shared" si="5"/>
        <v>38.92</v>
      </c>
      <c r="P43" s="68">
        <f t="shared" si="5"/>
        <v>0</v>
      </c>
      <c r="Q43" s="68">
        <f t="shared" si="10"/>
        <v>86.66</v>
      </c>
      <c r="R43" s="68">
        <f t="shared" si="11"/>
        <v>0</v>
      </c>
      <c r="S43" s="68">
        <f t="shared" si="11"/>
        <v>0.12936</v>
      </c>
      <c r="T43" s="68">
        <f t="shared" si="11"/>
        <v>0</v>
      </c>
      <c r="U43" s="68">
        <f t="shared" si="11"/>
        <v>0</v>
      </c>
    </row>
    <row r="44" spans="1:21" s="51" customFormat="1" ht="13" x14ac:dyDescent="0.35">
      <c r="A44" s="10">
        <f>P8</f>
        <v>15</v>
      </c>
      <c r="B44" s="12">
        <v>175</v>
      </c>
      <c r="C44" s="68">
        <f t="shared" si="6"/>
        <v>80.64</v>
      </c>
      <c r="D44" s="68">
        <f t="shared" si="7"/>
        <v>37.462432</v>
      </c>
      <c r="E44" s="68">
        <f t="shared" si="8"/>
        <v>2.2605800000000001E-4</v>
      </c>
      <c r="F44" s="68">
        <f t="shared" si="9"/>
        <v>4.7352480000000003</v>
      </c>
      <c r="G44" s="68">
        <f t="shared" si="5"/>
        <v>0.41496</v>
      </c>
      <c r="H44" s="68">
        <f t="shared" si="5"/>
        <v>1.3664000000000001</v>
      </c>
      <c r="I44" s="68">
        <f t="shared" si="5"/>
        <v>3.4720000000000008E-2</v>
      </c>
      <c r="J44" s="68">
        <f t="shared" si="5"/>
        <v>3.3599999999999997E-3</v>
      </c>
      <c r="K44" s="68">
        <f t="shared" si="5"/>
        <v>6.1040000000000009E-3</v>
      </c>
      <c r="L44" s="68">
        <f t="shared" si="5"/>
        <v>8.1759999999999999E-2</v>
      </c>
      <c r="M44" s="68">
        <f t="shared" si="5"/>
        <v>2.8000000000000001E-2</v>
      </c>
      <c r="N44" s="68">
        <f t="shared" si="5"/>
        <v>985.59999999999991</v>
      </c>
      <c r="O44" s="68">
        <f t="shared" si="5"/>
        <v>38.92</v>
      </c>
      <c r="P44" s="68">
        <f t="shared" si="5"/>
        <v>0</v>
      </c>
      <c r="Q44" s="68">
        <f t="shared" si="10"/>
        <v>86.66</v>
      </c>
      <c r="R44" s="68">
        <f t="shared" si="11"/>
        <v>0</v>
      </c>
      <c r="S44" s="68">
        <f t="shared" si="11"/>
        <v>0.12936</v>
      </c>
      <c r="T44" s="68">
        <f t="shared" si="11"/>
        <v>0</v>
      </c>
      <c r="U44" s="68">
        <f t="shared" si="11"/>
        <v>0</v>
      </c>
    </row>
    <row r="45" spans="1:21" s="51" customFormat="1" ht="13" x14ac:dyDescent="0.35">
      <c r="A45" s="10">
        <f>Q8</f>
        <v>16</v>
      </c>
      <c r="B45" s="12">
        <v>250</v>
      </c>
      <c r="C45" s="68">
        <f t="shared" si="6"/>
        <v>115.2</v>
      </c>
      <c r="D45" s="68">
        <f t="shared" si="7"/>
        <v>53.517759999999996</v>
      </c>
      <c r="E45" s="68">
        <f t="shared" si="8"/>
        <v>3.2294000000000002E-4</v>
      </c>
      <c r="F45" s="68">
        <f t="shared" si="9"/>
        <v>6.76464</v>
      </c>
      <c r="G45" s="68">
        <f t="shared" si="5"/>
        <v>0.59279999999999999</v>
      </c>
      <c r="H45" s="68">
        <f t="shared" si="5"/>
        <v>1.952</v>
      </c>
      <c r="I45" s="68">
        <f t="shared" si="5"/>
        <v>4.9600000000000005E-2</v>
      </c>
      <c r="J45" s="68">
        <f t="shared" si="5"/>
        <v>4.7999999999999996E-3</v>
      </c>
      <c r="K45" s="68">
        <f t="shared" si="5"/>
        <v>8.7200000000000021E-3</v>
      </c>
      <c r="L45" s="68">
        <f t="shared" si="5"/>
        <v>0.1168</v>
      </c>
      <c r="M45" s="68">
        <f t="shared" si="5"/>
        <v>0.04</v>
      </c>
      <c r="N45" s="68">
        <f t="shared" si="5"/>
        <v>1408</v>
      </c>
      <c r="O45" s="68">
        <f t="shared" si="5"/>
        <v>55.6</v>
      </c>
      <c r="P45" s="68">
        <f t="shared" si="5"/>
        <v>0</v>
      </c>
      <c r="Q45" s="68">
        <f t="shared" si="10"/>
        <v>123.80000000000001</v>
      </c>
      <c r="R45" s="68">
        <f t="shared" si="11"/>
        <v>0</v>
      </c>
      <c r="S45" s="68">
        <f t="shared" si="11"/>
        <v>0.18480000000000002</v>
      </c>
      <c r="T45" s="68">
        <f t="shared" si="11"/>
        <v>0</v>
      </c>
      <c r="U45" s="68">
        <f t="shared" si="11"/>
        <v>0</v>
      </c>
    </row>
    <row r="46" spans="1:21" s="51" customFormat="1" ht="13" x14ac:dyDescent="0.35">
      <c r="A46" s="10">
        <f>R8</f>
        <v>21</v>
      </c>
      <c r="B46" s="12">
        <v>250</v>
      </c>
      <c r="C46" s="68">
        <f t="shared" si="6"/>
        <v>115.2</v>
      </c>
      <c r="D46" s="68">
        <f t="shared" si="7"/>
        <v>53.517759999999996</v>
      </c>
      <c r="E46" s="68">
        <f t="shared" si="8"/>
        <v>3.2294000000000002E-4</v>
      </c>
      <c r="F46" s="68">
        <f t="shared" si="9"/>
        <v>6.76464</v>
      </c>
      <c r="G46" s="68">
        <f t="shared" si="5"/>
        <v>0.59279999999999999</v>
      </c>
      <c r="H46" s="68">
        <f t="shared" si="5"/>
        <v>1.952</v>
      </c>
      <c r="I46" s="68">
        <f t="shared" si="5"/>
        <v>4.9600000000000005E-2</v>
      </c>
      <c r="J46" s="68">
        <f t="shared" si="5"/>
        <v>4.7999999999999996E-3</v>
      </c>
      <c r="K46" s="68">
        <f t="shared" si="5"/>
        <v>8.7200000000000021E-3</v>
      </c>
      <c r="L46" s="68">
        <f t="shared" si="5"/>
        <v>0.1168</v>
      </c>
      <c r="M46" s="68">
        <f t="shared" si="5"/>
        <v>0.04</v>
      </c>
      <c r="N46" s="68">
        <f t="shared" si="5"/>
        <v>1408</v>
      </c>
      <c r="O46" s="68">
        <f t="shared" si="5"/>
        <v>55.6</v>
      </c>
      <c r="P46" s="68">
        <f t="shared" si="5"/>
        <v>0</v>
      </c>
      <c r="Q46" s="68">
        <f t="shared" si="10"/>
        <v>123.80000000000001</v>
      </c>
      <c r="R46" s="68">
        <f t="shared" si="11"/>
        <v>0</v>
      </c>
      <c r="S46" s="68">
        <f t="shared" si="11"/>
        <v>0.18480000000000002</v>
      </c>
      <c r="T46" s="68">
        <f t="shared" si="11"/>
        <v>0</v>
      </c>
      <c r="U46" s="68">
        <f t="shared" si="11"/>
        <v>0</v>
      </c>
    </row>
    <row r="47" spans="1:21" s="51" customFormat="1" ht="13" x14ac:dyDescent="0.35">
      <c r="A47" s="10">
        <f>S8</f>
        <v>22</v>
      </c>
      <c r="B47" s="12">
        <v>250</v>
      </c>
      <c r="C47" s="68">
        <f t="shared" si="6"/>
        <v>115.2</v>
      </c>
      <c r="D47" s="68">
        <f t="shared" si="7"/>
        <v>53.517759999999996</v>
      </c>
      <c r="E47" s="68">
        <f t="shared" si="8"/>
        <v>3.2294000000000002E-4</v>
      </c>
      <c r="F47" s="68">
        <f t="shared" si="9"/>
        <v>6.76464</v>
      </c>
      <c r="G47" s="68">
        <f t="shared" ref="G47:P50" si="12">IF(G$27="%w/w SAR",((G$28*10)*$B47),IF(G$27="%w/w DM",(((G$28*10)*($B$28/100))*$B47),IF(G$27="kg/t SAR",(G$28*$B47),IF(G$27="kg/t DM",((G$28*($B$28/100))*$B47),IF(G$27="mg/kg SAR",((G$28*0.001)*$B47),IF(G$27="mg/kg DM",(((G$28*0.001)*($B$28/100))*$B47),0))))))</f>
        <v>0.59279999999999999</v>
      </c>
      <c r="H47" s="68">
        <f t="shared" si="12"/>
        <v>1.952</v>
      </c>
      <c r="I47" s="68">
        <f t="shared" si="12"/>
        <v>4.9600000000000005E-2</v>
      </c>
      <c r="J47" s="68">
        <f t="shared" si="12"/>
        <v>4.7999999999999996E-3</v>
      </c>
      <c r="K47" s="68">
        <f t="shared" si="12"/>
        <v>8.7200000000000021E-3</v>
      </c>
      <c r="L47" s="68">
        <f t="shared" si="12"/>
        <v>0.1168</v>
      </c>
      <c r="M47" s="68">
        <f t="shared" si="12"/>
        <v>0.04</v>
      </c>
      <c r="N47" s="68">
        <f t="shared" si="12"/>
        <v>1408</v>
      </c>
      <c r="O47" s="68">
        <f t="shared" si="12"/>
        <v>55.6</v>
      </c>
      <c r="P47" s="68">
        <f t="shared" si="12"/>
        <v>0</v>
      </c>
      <c r="Q47" s="68">
        <f t="shared" si="10"/>
        <v>123.80000000000001</v>
      </c>
      <c r="R47" s="68">
        <f t="shared" si="11"/>
        <v>0</v>
      </c>
      <c r="S47" s="68">
        <f t="shared" si="11"/>
        <v>0.18480000000000002</v>
      </c>
      <c r="T47" s="68">
        <f t="shared" si="11"/>
        <v>0</v>
      </c>
      <c r="U47" s="68">
        <f t="shared" si="11"/>
        <v>0</v>
      </c>
    </row>
    <row r="48" spans="1:21" s="51" customFormat="1" ht="13" x14ac:dyDescent="0.35">
      <c r="A48" s="10">
        <f>T8</f>
        <v>23</v>
      </c>
      <c r="B48" s="12">
        <v>250</v>
      </c>
      <c r="C48" s="68">
        <f t="shared" si="6"/>
        <v>115.2</v>
      </c>
      <c r="D48" s="68">
        <f t="shared" si="7"/>
        <v>53.517759999999996</v>
      </c>
      <c r="E48" s="68">
        <f t="shared" si="8"/>
        <v>3.2294000000000002E-4</v>
      </c>
      <c r="F48" s="68">
        <f t="shared" si="9"/>
        <v>6.76464</v>
      </c>
      <c r="G48" s="68">
        <f t="shared" si="12"/>
        <v>0.59279999999999999</v>
      </c>
      <c r="H48" s="68">
        <f t="shared" si="12"/>
        <v>1.952</v>
      </c>
      <c r="I48" s="68">
        <f t="shared" si="12"/>
        <v>4.9600000000000005E-2</v>
      </c>
      <c r="J48" s="68">
        <f t="shared" si="12"/>
        <v>4.7999999999999996E-3</v>
      </c>
      <c r="K48" s="68">
        <f t="shared" si="12"/>
        <v>8.7200000000000021E-3</v>
      </c>
      <c r="L48" s="68">
        <f t="shared" si="12"/>
        <v>0.1168</v>
      </c>
      <c r="M48" s="68">
        <f t="shared" si="12"/>
        <v>0.04</v>
      </c>
      <c r="N48" s="68">
        <f t="shared" si="12"/>
        <v>1408</v>
      </c>
      <c r="O48" s="68">
        <f t="shared" si="12"/>
        <v>55.6</v>
      </c>
      <c r="P48" s="68">
        <f t="shared" si="12"/>
        <v>0</v>
      </c>
      <c r="Q48" s="68">
        <f t="shared" si="10"/>
        <v>123.80000000000001</v>
      </c>
      <c r="R48" s="68">
        <f t="shared" si="11"/>
        <v>0</v>
      </c>
      <c r="S48" s="68">
        <f t="shared" si="11"/>
        <v>0.18480000000000002</v>
      </c>
      <c r="T48" s="68">
        <f t="shared" si="11"/>
        <v>0</v>
      </c>
      <c r="U48" s="68">
        <f t="shared" si="11"/>
        <v>0</v>
      </c>
    </row>
    <row r="49" spans="1:21" s="51" customFormat="1" ht="13" x14ac:dyDescent="0.35">
      <c r="A49" s="10">
        <f>U8</f>
        <v>7078</v>
      </c>
      <c r="B49" s="12">
        <v>250</v>
      </c>
      <c r="C49" s="68">
        <f t="shared" si="6"/>
        <v>115.2</v>
      </c>
      <c r="D49" s="68">
        <f t="shared" si="7"/>
        <v>53.517759999999996</v>
      </c>
      <c r="E49" s="68">
        <f t="shared" si="8"/>
        <v>3.2294000000000002E-4</v>
      </c>
      <c r="F49" s="68">
        <f t="shared" si="9"/>
        <v>6.76464</v>
      </c>
      <c r="G49" s="68">
        <f t="shared" si="12"/>
        <v>0.59279999999999999</v>
      </c>
      <c r="H49" s="68">
        <f t="shared" si="12"/>
        <v>1.952</v>
      </c>
      <c r="I49" s="68">
        <f t="shared" si="12"/>
        <v>4.9600000000000005E-2</v>
      </c>
      <c r="J49" s="68">
        <f t="shared" si="12"/>
        <v>4.7999999999999996E-3</v>
      </c>
      <c r="K49" s="68">
        <f t="shared" si="12"/>
        <v>8.7200000000000021E-3</v>
      </c>
      <c r="L49" s="68">
        <f t="shared" si="12"/>
        <v>0.1168</v>
      </c>
      <c r="M49" s="68">
        <f t="shared" si="12"/>
        <v>0.04</v>
      </c>
      <c r="N49" s="68">
        <f t="shared" si="12"/>
        <v>1408</v>
      </c>
      <c r="O49" s="68">
        <f t="shared" si="12"/>
        <v>55.6</v>
      </c>
      <c r="P49" s="68">
        <f t="shared" si="12"/>
        <v>0</v>
      </c>
      <c r="Q49" s="68">
        <f t="shared" si="10"/>
        <v>123.80000000000001</v>
      </c>
      <c r="R49" s="68">
        <f t="shared" si="11"/>
        <v>0</v>
      </c>
      <c r="S49" s="68">
        <f t="shared" si="11"/>
        <v>0.18480000000000002</v>
      </c>
      <c r="T49" s="68">
        <f t="shared" si="11"/>
        <v>0</v>
      </c>
      <c r="U49" s="68">
        <f t="shared" si="11"/>
        <v>0</v>
      </c>
    </row>
    <row r="50" spans="1:21" s="51" customFormat="1" ht="13.5" thickBot="1" x14ac:dyDescent="0.4">
      <c r="A50" s="11">
        <f>V8</f>
        <v>7058</v>
      </c>
      <c r="B50" s="12">
        <v>250</v>
      </c>
      <c r="C50" s="87">
        <f t="shared" si="6"/>
        <v>115.2</v>
      </c>
      <c r="D50" s="87">
        <f t="shared" si="7"/>
        <v>53.517759999999996</v>
      </c>
      <c r="E50" s="87">
        <f t="shared" si="8"/>
        <v>3.2294000000000002E-4</v>
      </c>
      <c r="F50" s="87">
        <f t="shared" si="9"/>
        <v>6.76464</v>
      </c>
      <c r="G50" s="87">
        <f t="shared" si="12"/>
        <v>0.59279999999999999</v>
      </c>
      <c r="H50" s="87">
        <f t="shared" si="12"/>
        <v>1.952</v>
      </c>
      <c r="I50" s="87">
        <f t="shared" si="12"/>
        <v>4.9600000000000005E-2</v>
      </c>
      <c r="J50" s="87">
        <f t="shared" si="12"/>
        <v>4.7999999999999996E-3</v>
      </c>
      <c r="K50" s="87">
        <f t="shared" si="12"/>
        <v>8.7200000000000021E-3</v>
      </c>
      <c r="L50" s="87">
        <f t="shared" si="12"/>
        <v>0.1168</v>
      </c>
      <c r="M50" s="87">
        <f t="shared" si="12"/>
        <v>0.04</v>
      </c>
      <c r="N50" s="87">
        <f t="shared" si="12"/>
        <v>1408</v>
      </c>
      <c r="O50" s="87">
        <f t="shared" si="12"/>
        <v>55.6</v>
      </c>
      <c r="P50" s="87">
        <f t="shared" si="12"/>
        <v>0</v>
      </c>
      <c r="Q50" s="87">
        <f t="shared" si="10"/>
        <v>123.80000000000001</v>
      </c>
      <c r="R50" s="87">
        <f t="shared" si="11"/>
        <v>0</v>
      </c>
      <c r="S50" s="87">
        <f t="shared" si="11"/>
        <v>0.18480000000000002</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21" ht="13" x14ac:dyDescent="0.35">
      <c r="A58" s="82"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str">
        <f>R16&amp;" I "&amp;(VLOOKUP(R14,Table245811[],6,FALSE))</f>
        <v>Medium/Clay I Grass</v>
      </c>
      <c r="R58" s="10" t="str">
        <f>S16&amp;" I "&amp;(VLOOKUP(S14,Table245811[],6,FALSE))</f>
        <v>Medium/Clay I Grass</v>
      </c>
      <c r="S58" s="10" t="str">
        <f>T16&amp;" I "&amp;(VLOOKUP(T14,Table245811[],6,FALSE))</f>
        <v>Medium/Clay I Grass</v>
      </c>
      <c r="T58" s="10" t="str">
        <f>U16&amp;" I "&amp;(VLOOKUP(U14,Table245811[],6,FALSE))</f>
        <v>Medium/Clay I Grass</v>
      </c>
      <c r="U58" s="10" t="str">
        <f>V16&amp;" I "&amp;(VLOOKUP(V14,Table245811[],6,FALSE))</f>
        <v>Medium/Clay I Grass</v>
      </c>
    </row>
    <row r="59" spans="1:21" ht="13" x14ac:dyDescent="0.3">
      <c r="A59" s="100" t="s">
        <v>132</v>
      </c>
      <c r="B59" s="67">
        <f>VLOOKUP(C$14,Table245811[],5,FALSE)</f>
        <v>6.2</v>
      </c>
      <c r="C59" s="67">
        <f>VLOOKUP(D$14,Table245811[],5,FALSE)</f>
        <v>6.2</v>
      </c>
      <c r="D59" s="67">
        <f>VLOOKUP(E$14,Table245811[],5,FALSE)</f>
        <v>6.2</v>
      </c>
      <c r="E59" s="67">
        <f>VLOOKUP(F$14,Table245811[],5,FALSE)</f>
        <v>6.2</v>
      </c>
      <c r="F59" s="67">
        <f>VLOOKUP(G$14,Table245811[],5,FALSE)</f>
        <v>6.2</v>
      </c>
      <c r="G59" s="67">
        <f>VLOOKUP(H$14,Table245811[],5,FALSE)</f>
        <v>6.2</v>
      </c>
      <c r="H59" s="67">
        <f>VLOOKUP(I$14,Table245811[],5,FALSE)</f>
        <v>6.2</v>
      </c>
      <c r="I59" s="67">
        <f>VLOOKUP(J$14,Table245811[],5,FALSE)</f>
        <v>6.2</v>
      </c>
      <c r="J59" s="67">
        <f>VLOOKUP(K$14,Table245811[],5,FALSE)</f>
        <v>6.2</v>
      </c>
      <c r="K59" s="67">
        <f>VLOOKUP(L$14,Table245811[],5,FALSE)</f>
        <v>6.2</v>
      </c>
      <c r="L59" s="67">
        <f>VLOOKUP(M$14,Table245811[],5,FALSE)</f>
        <v>6.2</v>
      </c>
      <c r="M59" s="67">
        <f>VLOOKUP(N$14,Table245811[],5,FALSE)</f>
        <v>6.2</v>
      </c>
      <c r="N59" s="67">
        <f>VLOOKUP(O$14,Table245811[],5,FALSE)</f>
        <v>6.2</v>
      </c>
      <c r="O59" s="67">
        <f>VLOOKUP(P$14,Table245811[],5,FALSE)</f>
        <v>6.2</v>
      </c>
      <c r="P59" s="67">
        <f>VLOOKUP(Q$14,Table245811[],5,FALSE)</f>
        <v>6.2</v>
      </c>
      <c r="Q59" s="67">
        <f>VLOOKUP(R$14,Table245811[],5,FALSE)</f>
        <v>6.2</v>
      </c>
      <c r="R59" s="67">
        <f>VLOOKUP(S$14,Table245811[],5,FALSE)</f>
        <v>6.2</v>
      </c>
      <c r="S59" s="67">
        <f>VLOOKUP(T$14,Table245811[],5,FALSE)</f>
        <v>6.2</v>
      </c>
      <c r="T59" s="67">
        <f>VLOOKUP(U$14,Table245811[],5,FALSE)</f>
        <v>6.2</v>
      </c>
      <c r="U59" s="67">
        <f>VLOOKUP(V$14,Table245811[],5,FALSE)</f>
        <v>6.2</v>
      </c>
    </row>
    <row r="60" spans="1:21" ht="13" x14ac:dyDescent="0.3">
      <c r="A60" s="100" t="s">
        <v>4</v>
      </c>
      <c r="B60" s="67">
        <f>C10</f>
        <v>7.1</v>
      </c>
      <c r="C60" s="67">
        <f t="shared" ref="C60:U60" si="14">D10</f>
        <v>6.9</v>
      </c>
      <c r="D60" s="67">
        <f t="shared" si="14"/>
        <v>7.7</v>
      </c>
      <c r="E60" s="67">
        <f t="shared" si="14"/>
        <v>6.9</v>
      </c>
      <c r="F60" s="67">
        <f t="shared" si="14"/>
        <v>6.9</v>
      </c>
      <c r="G60" s="67">
        <f t="shared" si="14"/>
        <v>6.3</v>
      </c>
      <c r="H60" s="67">
        <f t="shared" si="14"/>
        <v>7.9</v>
      </c>
      <c r="I60" s="67">
        <f t="shared" si="14"/>
        <v>6.8</v>
      </c>
      <c r="J60" s="67">
        <f t="shared" si="14"/>
        <v>6.7</v>
      </c>
      <c r="K60" s="67">
        <f t="shared" si="14"/>
        <v>6.8</v>
      </c>
      <c r="L60" s="67">
        <f t="shared" si="14"/>
        <v>6.9</v>
      </c>
      <c r="M60" s="67">
        <f t="shared" si="14"/>
        <v>7</v>
      </c>
      <c r="N60" s="67">
        <f t="shared" si="14"/>
        <v>7</v>
      </c>
      <c r="O60" s="67">
        <f t="shared" si="14"/>
        <v>6.8</v>
      </c>
      <c r="P60" s="67">
        <f t="shared" si="14"/>
        <v>6.9</v>
      </c>
      <c r="Q60" s="67">
        <f t="shared" si="14"/>
        <v>6.7</v>
      </c>
      <c r="R60" s="67">
        <f t="shared" si="14"/>
        <v>6.3</v>
      </c>
      <c r="S60" s="67">
        <f t="shared" si="14"/>
        <v>6</v>
      </c>
      <c r="T60" s="67">
        <f t="shared" si="14"/>
        <v>6.8</v>
      </c>
      <c r="U60" s="67">
        <f t="shared" si="14"/>
        <v>6.9</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f t="shared" si="15"/>
        <v>6</v>
      </c>
      <c r="U61" s="67">
        <f t="shared" si="15"/>
        <v>6</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175</v>
      </c>
      <c r="O62" s="68">
        <f>B44</f>
        <v>175</v>
      </c>
      <c r="P62" s="68">
        <f>B45</f>
        <v>250</v>
      </c>
      <c r="Q62" s="68">
        <f>B46</f>
        <v>250</v>
      </c>
      <c r="R62" s="68">
        <f>B47</f>
        <v>250</v>
      </c>
      <c r="S62" s="68">
        <f>B48</f>
        <v>250</v>
      </c>
      <c r="T62" s="68">
        <f>B49</f>
        <v>250</v>
      </c>
      <c r="U62" s="68">
        <f>B50</f>
        <v>250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-5.3999999999999968</v>
      </c>
      <c r="C64" s="68">
        <f t="shared" ref="C64:U64" si="17">(C59-C60)*C61</f>
        <v>-4.2000000000000011</v>
      </c>
      <c r="D64" s="68">
        <f t="shared" si="17"/>
        <v>-9</v>
      </c>
      <c r="E64" s="68">
        <f t="shared" si="17"/>
        <v>-4.2000000000000011</v>
      </c>
      <c r="F64" s="68">
        <f t="shared" si="17"/>
        <v>-4.2000000000000011</v>
      </c>
      <c r="G64" s="68">
        <f t="shared" si="17"/>
        <v>-0.59999999999999787</v>
      </c>
      <c r="H64" s="68">
        <f t="shared" si="17"/>
        <v>-10.200000000000001</v>
      </c>
      <c r="I64" s="68">
        <f t="shared" si="17"/>
        <v>-3.5999999999999979</v>
      </c>
      <c r="J64" s="68">
        <f t="shared" si="17"/>
        <v>-3</v>
      </c>
      <c r="K64" s="68">
        <f t="shared" si="17"/>
        <v>-3.5999999999999979</v>
      </c>
      <c r="L64" s="68">
        <f t="shared" si="17"/>
        <v>-4.2000000000000011</v>
      </c>
      <c r="M64" s="68">
        <f t="shared" si="17"/>
        <v>-4.7999999999999989</v>
      </c>
      <c r="N64" s="68">
        <f t="shared" si="17"/>
        <v>-4.7999999999999989</v>
      </c>
      <c r="O64" s="68">
        <f t="shared" si="17"/>
        <v>-3.5999999999999979</v>
      </c>
      <c r="P64" s="68">
        <f t="shared" si="17"/>
        <v>-4.2000000000000011</v>
      </c>
      <c r="Q64" s="68">
        <f t="shared" si="17"/>
        <v>-3</v>
      </c>
      <c r="R64" s="68">
        <f t="shared" si="17"/>
        <v>-0.59999999999999787</v>
      </c>
      <c r="S64" s="68">
        <f t="shared" si="17"/>
        <v>1.2000000000000011</v>
      </c>
      <c r="T64" s="68">
        <f t="shared" si="17"/>
        <v>-3.5999999999999979</v>
      </c>
      <c r="U64" s="68">
        <f t="shared" si="17"/>
        <v>-4.2000000000000011</v>
      </c>
    </row>
    <row r="65" spans="1:21" ht="52" x14ac:dyDescent="0.3">
      <c r="A65" s="101" t="s">
        <v>157</v>
      </c>
      <c r="B65" s="68">
        <f>B63-B64</f>
        <v>5.3999999999999968</v>
      </c>
      <c r="C65" s="68">
        <f t="shared" ref="C65:U65" si="18">C63-C64</f>
        <v>4.2000000000000011</v>
      </c>
      <c r="D65" s="68">
        <f t="shared" si="18"/>
        <v>9</v>
      </c>
      <c r="E65" s="68">
        <f t="shared" si="18"/>
        <v>4.2000000000000011</v>
      </c>
      <c r="F65" s="68">
        <f t="shared" si="18"/>
        <v>4.2000000000000011</v>
      </c>
      <c r="G65" s="68">
        <f t="shared" si="18"/>
        <v>0.59999999999999787</v>
      </c>
      <c r="H65" s="68">
        <f t="shared" si="18"/>
        <v>10.200000000000001</v>
      </c>
      <c r="I65" s="68">
        <f t="shared" si="18"/>
        <v>3.5999999999999979</v>
      </c>
      <c r="J65" s="68">
        <f t="shared" si="18"/>
        <v>3</v>
      </c>
      <c r="K65" s="68">
        <f t="shared" si="18"/>
        <v>3.5999999999999979</v>
      </c>
      <c r="L65" s="68">
        <f t="shared" si="18"/>
        <v>4.2000000000000011</v>
      </c>
      <c r="M65" s="68">
        <f t="shared" si="18"/>
        <v>4.7999999999999989</v>
      </c>
      <c r="N65" s="68">
        <f t="shared" si="18"/>
        <v>4.7999999999999989</v>
      </c>
      <c r="O65" s="68">
        <f t="shared" si="18"/>
        <v>3.5999999999999979</v>
      </c>
      <c r="P65" s="68">
        <f t="shared" si="18"/>
        <v>4.2000000000000011</v>
      </c>
      <c r="Q65" s="68">
        <f t="shared" si="18"/>
        <v>3</v>
      </c>
      <c r="R65" s="68">
        <f t="shared" si="18"/>
        <v>0.59999999999999787</v>
      </c>
      <c r="S65" s="68">
        <f t="shared" si="18"/>
        <v>-1.2000000000000011</v>
      </c>
      <c r="T65" s="68">
        <f t="shared" si="18"/>
        <v>3.5999999999999979</v>
      </c>
      <c r="U65" s="68">
        <f t="shared" si="18"/>
        <v>4.2000000000000011</v>
      </c>
    </row>
    <row r="66" spans="1:21" ht="26"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str">
        <f t="shared" si="19"/>
        <v>OVER</v>
      </c>
      <c r="N66" s="69" t="str">
        <f t="shared" si="19"/>
        <v>OVER</v>
      </c>
      <c r="O66" s="69" t="str">
        <f t="shared" si="19"/>
        <v>OVER</v>
      </c>
      <c r="P66" s="69" t="str">
        <f t="shared" si="19"/>
        <v>OVER</v>
      </c>
      <c r="Q66" s="69" t="str">
        <f t="shared" si="19"/>
        <v>OVER</v>
      </c>
      <c r="R66" s="69" t="str">
        <f t="shared" si="19"/>
        <v>OVER</v>
      </c>
      <c r="S66" s="69" t="str">
        <f t="shared" si="19"/>
        <v>UNDER</v>
      </c>
      <c r="T66" s="69" t="str">
        <f t="shared" si="19"/>
        <v>OVER</v>
      </c>
      <c r="U66" s="69" t="str">
        <f t="shared" si="19"/>
        <v>OVER</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39" priority="36" operator="greaterThan">
      <formula>$B$51</formula>
    </cfRule>
  </conditionalFormatting>
  <conditionalFormatting sqref="B66:U66">
    <cfRule type="cellIs" dxfId="138" priority="11" operator="equal">
      <formula>"UNDER"</formula>
    </cfRule>
    <cfRule type="cellIs" dxfId="137" priority="12" operator="equal">
      <formula>"OVER"</formula>
    </cfRule>
  </conditionalFormatting>
  <conditionalFormatting sqref="C31:C50">
    <cfRule type="cellIs" dxfId="136" priority="35" operator="greaterThan">
      <formula>$C$51</formula>
    </cfRule>
  </conditionalFormatting>
  <conditionalFormatting sqref="C17:V19">
    <cfRule type="cellIs" dxfId="135" priority="32" operator="equal">
      <formula>0</formula>
    </cfRule>
  </conditionalFormatting>
  <conditionalFormatting sqref="C20:V21">
    <cfRule type="cellIs" dxfId="134" priority="37" operator="equal">
      <formula>"DECREASE"</formula>
    </cfRule>
    <cfRule type="cellIs" dxfId="133" priority="38" operator="equal">
      <formula>"INCREASE"</formula>
    </cfRule>
  </conditionalFormatting>
  <conditionalFormatting sqref="C21:V21">
    <cfRule type="cellIs" dxfId="132" priority="13" operator="equal">
      <formula>0</formula>
    </cfRule>
  </conditionalFormatting>
  <conditionalFormatting sqref="C22:V23">
    <cfRule type="cellIs" dxfId="131" priority="17" operator="equal">
      <formula>0</formula>
    </cfRule>
  </conditionalFormatting>
  <conditionalFormatting sqref="C24:V24">
    <cfRule type="cellIs" dxfId="130" priority="18" operator="equal">
      <formula>"DECREASE"</formula>
    </cfRule>
    <cfRule type="cellIs" dxfId="129" priority="19" operator="equal">
      <formula>"INCREASE"</formula>
    </cfRule>
  </conditionalFormatting>
  <conditionalFormatting sqref="G31:G50">
    <cfRule type="cellIs" dxfId="128" priority="31" operator="greaterThan">
      <formula>$G$51</formula>
    </cfRule>
  </conditionalFormatting>
  <conditionalFormatting sqref="H31:H50">
    <cfRule type="cellIs" dxfId="127" priority="30" operator="greaterThan">
      <formula>$H$51</formula>
    </cfRule>
  </conditionalFormatting>
  <conditionalFormatting sqref="I1">
    <cfRule type="cellIs" dxfId="126" priority="3" operator="between">
      <formula>0.1</formula>
      <formula>5</formula>
    </cfRule>
  </conditionalFormatting>
  <conditionalFormatting sqref="I2">
    <cfRule type="cellIs" dxfId="125" priority="2" operator="greaterThan">
      <formula>5000.1</formula>
    </cfRule>
  </conditionalFormatting>
  <conditionalFormatting sqref="I3">
    <cfRule type="cellIs" dxfId="124" priority="1" operator="greaterThan">
      <formula>40000.01</formula>
    </cfRule>
  </conditionalFormatting>
  <conditionalFormatting sqref="I31:I50">
    <cfRule type="cellIs" dxfId="123" priority="29" operator="greaterThan">
      <formula>$I$51</formula>
    </cfRule>
  </conditionalFormatting>
  <conditionalFormatting sqref="J31:J50">
    <cfRule type="cellIs" dxfId="122" priority="8" operator="greaterThan">
      <formula>$J$51</formula>
    </cfRule>
  </conditionalFormatting>
  <conditionalFormatting sqref="K31:K50">
    <cfRule type="cellIs" dxfId="121" priority="28" operator="greaterThan">
      <formula>$K$51</formula>
    </cfRule>
  </conditionalFormatting>
  <conditionalFormatting sqref="L3">
    <cfRule type="cellIs" dxfId="120" priority="4" operator="lessThan">
      <formula>30</formula>
    </cfRule>
    <cfRule type="cellIs" dxfId="119" priority="5" operator="greaterThanOrEqual">
      <formula>30</formula>
    </cfRule>
  </conditionalFormatting>
  <conditionalFormatting sqref="L31:L50">
    <cfRule type="cellIs" dxfId="118" priority="27" operator="greaterThan">
      <formula>$L$51</formula>
    </cfRule>
  </conditionalFormatting>
  <conditionalFormatting sqref="M31:M50">
    <cfRule type="cellIs" dxfId="117" priority="26" operator="greaterThan">
      <formula>$M$51</formula>
    </cfRule>
  </conditionalFormatting>
  <conditionalFormatting sqref="P31:P50">
    <cfRule type="cellIs" dxfId="116" priority="25" operator="greaterThan">
      <formula>$P$51</formula>
    </cfRule>
  </conditionalFormatting>
  <conditionalFormatting sqref="R31:R50">
    <cfRule type="cellIs" dxfId="115" priority="24" operator="greaterThan">
      <formula>$R$51</formula>
    </cfRule>
  </conditionalFormatting>
  <conditionalFormatting sqref="S31:S50">
    <cfRule type="cellIs" dxfId="114" priority="23" operator="greaterThan">
      <formula>$S$51</formula>
    </cfRule>
  </conditionalFormatting>
  <conditionalFormatting sqref="T31:T50">
    <cfRule type="cellIs" dxfId="113" priority="22" operator="greaterThan">
      <formula>$T$51</formula>
    </cfRule>
  </conditionalFormatting>
  <conditionalFormatting sqref="U31:U50">
    <cfRule type="cellIs" dxfId="112"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S30" sqref="S3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'Bryn Cowlyd'!C1:D1</f>
        <v>PAN-026782</v>
      </c>
      <c r="D1" s="128"/>
      <c r="E1" s="83" t="s">
        <v>45</v>
      </c>
      <c r="F1" s="32">
        <f>'Bryn Cowlyd'!F1</f>
        <v>49.3</v>
      </c>
      <c r="G1" s="107" t="s">
        <v>43</v>
      </c>
      <c r="H1" s="108"/>
      <c r="I1" s="86">
        <v>7.3</v>
      </c>
      <c r="J1" s="106" t="s">
        <v>153</v>
      </c>
      <c r="K1" s="106"/>
      <c r="L1" s="86">
        <v>238</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'Bryn Cowlyd'!C2:D2</f>
        <v>EPR/GP3792SK</v>
      </c>
      <c r="D2" s="130"/>
      <c r="E2" s="83" t="s">
        <v>109</v>
      </c>
      <c r="F2" s="86" t="s">
        <v>167</v>
      </c>
      <c r="G2" s="125" t="s">
        <v>110</v>
      </c>
      <c r="H2" s="126"/>
      <c r="I2" s="86"/>
      <c r="J2" s="106" t="s">
        <v>158</v>
      </c>
      <c r="K2" s="106"/>
      <c r="L2" s="86">
        <v>1.0900000000000001</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'Bryn Cowlyd'!C3:D3</f>
        <v xml:space="preserve">Byproduct recovery LTD </v>
      </c>
      <c r="D3" s="130"/>
      <c r="E3" s="83" t="s">
        <v>108</v>
      </c>
      <c r="F3" s="24" t="s">
        <v>78</v>
      </c>
      <c r="G3" s="106" t="s">
        <v>159</v>
      </c>
      <c r="H3" s="106"/>
      <c r="I3" s="86"/>
      <c r="J3" s="107" t="s">
        <v>154</v>
      </c>
      <c r="K3" s="108"/>
      <c r="L3" s="86">
        <f>(L1/(L2*10000))*100</f>
        <v>2.1834862385321103</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'Bryn Cowlyd'!C4:D4</f>
        <v xml:space="preserve">Farchwel, Talybont, Conwy, LL32 8UY </v>
      </c>
      <c r="D4" s="128"/>
      <c r="E4" s="84" t="s">
        <v>1</v>
      </c>
      <c r="F4" s="86" t="s">
        <v>170</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'Bryn Cowlyd'!C5:D5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f>'Bryn Cowlyd'!C8</f>
        <v>1</v>
      </c>
      <c r="D8" s="52">
        <f>'Bryn Cowlyd'!D8</f>
        <v>2</v>
      </c>
      <c r="E8" s="52">
        <f>'Bryn Cowlyd'!E8</f>
        <v>3</v>
      </c>
      <c r="F8" s="52">
        <f>'Bryn Cowlyd'!F8</f>
        <v>4</v>
      </c>
      <c r="G8" s="52">
        <f>'Bryn Cowlyd'!G8</f>
        <v>5</v>
      </c>
      <c r="H8" s="52">
        <f>'Bryn Cowlyd'!H8</f>
        <v>6</v>
      </c>
      <c r="I8" s="52">
        <f>'Bryn Cowlyd'!I8</f>
        <v>7</v>
      </c>
      <c r="J8" s="52">
        <f>'Bryn Cowlyd'!J8</f>
        <v>8</v>
      </c>
      <c r="K8" s="52">
        <f>'Bryn Cowlyd'!K8</f>
        <v>9</v>
      </c>
      <c r="L8" s="52">
        <f>'Bryn Cowlyd'!L8</f>
        <v>10</v>
      </c>
      <c r="M8" s="52">
        <f>'Bryn Cowlyd'!M8</f>
        <v>11</v>
      </c>
      <c r="N8" s="52">
        <f>'Bryn Cowlyd'!N8</f>
        <v>12</v>
      </c>
      <c r="O8" s="52">
        <f>'Bryn Cowlyd'!O8</f>
        <v>13</v>
      </c>
      <c r="P8" s="52">
        <f>'Bryn Cowlyd'!P8</f>
        <v>15</v>
      </c>
      <c r="Q8" s="52">
        <f>'Bryn Cowlyd'!Q8</f>
        <v>16</v>
      </c>
      <c r="R8" s="52">
        <f>'Bryn Cowlyd'!R8</f>
        <v>21</v>
      </c>
      <c r="S8" s="52">
        <f>'Bryn Cowlyd'!S8</f>
        <v>22</v>
      </c>
      <c r="T8" s="52">
        <f>'Bryn Cowlyd'!T8</f>
        <v>23</v>
      </c>
      <c r="U8" s="52">
        <f>'Bryn Cowlyd'!U8</f>
        <v>7078</v>
      </c>
      <c r="V8" s="52">
        <f>'Bryn Cowlyd'!V8</f>
        <v>7058</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'Bryn Cowlyd'!C9</f>
        <v>M</v>
      </c>
      <c r="D9" s="52" t="str">
        <f>'Bryn Cowlyd'!D9</f>
        <v>M</v>
      </c>
      <c r="E9" s="52" t="str">
        <f>'Bryn Cowlyd'!E9</f>
        <v>M</v>
      </c>
      <c r="F9" s="52" t="str">
        <f>'Bryn Cowlyd'!F9</f>
        <v>M</v>
      </c>
      <c r="G9" s="52" t="str">
        <f>'Bryn Cowlyd'!G9</f>
        <v>M</v>
      </c>
      <c r="H9" s="52" t="str">
        <f>'Bryn Cowlyd'!H9</f>
        <v>M</v>
      </c>
      <c r="I9" s="52" t="str">
        <f>'Bryn Cowlyd'!I9</f>
        <v>M</v>
      </c>
      <c r="J9" s="52" t="str">
        <f>'Bryn Cowlyd'!J9</f>
        <v>M</v>
      </c>
      <c r="K9" s="52" t="str">
        <f>'Bryn Cowlyd'!K9</f>
        <v>M</v>
      </c>
      <c r="L9" s="52" t="str">
        <f>'Bryn Cowlyd'!L9</f>
        <v>M</v>
      </c>
      <c r="M9" s="52" t="str">
        <f>'Bryn Cowlyd'!M9</f>
        <v>M</v>
      </c>
      <c r="N9" s="52" t="str">
        <f>'Bryn Cowlyd'!N9</f>
        <v>M</v>
      </c>
      <c r="O9" s="52" t="str">
        <f>'Bryn Cowlyd'!O9</f>
        <v>M</v>
      </c>
      <c r="P9" s="52" t="str">
        <f>'Bryn Cowlyd'!P9</f>
        <v>M</v>
      </c>
      <c r="Q9" s="52" t="str">
        <f>'Bryn Cowlyd'!Q9</f>
        <v>M</v>
      </c>
      <c r="R9" s="52" t="str">
        <f>'Bryn Cowlyd'!R9</f>
        <v>M</v>
      </c>
      <c r="S9" s="52" t="str">
        <f>'Bryn Cowlyd'!S9</f>
        <v>M</v>
      </c>
      <c r="T9" s="52" t="str">
        <f>'Bryn Cowlyd'!T9</f>
        <v>M</v>
      </c>
      <c r="U9" s="52" t="str">
        <f>'Bryn Cowlyd'!U9</f>
        <v>M</v>
      </c>
      <c r="V9" s="52" t="str">
        <f>'Bryn Cowlyd'!V9</f>
        <v>M</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'Bryn Cowlyd'!C10</f>
        <v>7.1</v>
      </c>
      <c r="D10" s="52">
        <f>'Bryn Cowlyd'!D10</f>
        <v>6.9</v>
      </c>
      <c r="E10" s="52">
        <f>'Bryn Cowlyd'!E10</f>
        <v>7.7</v>
      </c>
      <c r="F10" s="52">
        <f>'Bryn Cowlyd'!F10</f>
        <v>6.9</v>
      </c>
      <c r="G10" s="52">
        <f>'Bryn Cowlyd'!G10</f>
        <v>6.9</v>
      </c>
      <c r="H10" s="52">
        <f>'Bryn Cowlyd'!H10</f>
        <v>6.3</v>
      </c>
      <c r="I10" s="52">
        <f>'Bryn Cowlyd'!I10</f>
        <v>7.9</v>
      </c>
      <c r="J10" s="52">
        <f>'Bryn Cowlyd'!J10</f>
        <v>6.8</v>
      </c>
      <c r="K10" s="52">
        <f>'Bryn Cowlyd'!K10</f>
        <v>6.7</v>
      </c>
      <c r="L10" s="52">
        <f>'Bryn Cowlyd'!L10</f>
        <v>6.8</v>
      </c>
      <c r="M10" s="52">
        <f>'Bryn Cowlyd'!M10</f>
        <v>6.9</v>
      </c>
      <c r="N10" s="52">
        <f>'Bryn Cowlyd'!N10</f>
        <v>7</v>
      </c>
      <c r="O10" s="52">
        <f>'Bryn Cowlyd'!O10</f>
        <v>7</v>
      </c>
      <c r="P10" s="52">
        <f>'Bryn Cowlyd'!P10</f>
        <v>6.8</v>
      </c>
      <c r="Q10" s="52">
        <f>'Bryn Cowlyd'!Q10</f>
        <v>6.9</v>
      </c>
      <c r="R10" s="52">
        <f>'Bryn Cowlyd'!R10</f>
        <v>6.7</v>
      </c>
      <c r="S10" s="52">
        <f>'Bryn Cowlyd'!S10</f>
        <v>6.3</v>
      </c>
      <c r="T10" s="52">
        <f>'Bryn Cowlyd'!T10</f>
        <v>6</v>
      </c>
      <c r="U10" s="52">
        <f>'Bryn Cowlyd'!U10</f>
        <v>6.8</v>
      </c>
      <c r="V10" s="52">
        <f>'Bryn Cowlyd'!V10</f>
        <v>6.9</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'Bryn Cowlyd'!C11</f>
        <v>2</v>
      </c>
      <c r="D11" s="52">
        <f>'Bryn Cowlyd'!D11</f>
        <v>2</v>
      </c>
      <c r="E11" s="52">
        <f>'Bryn Cowlyd'!E11</f>
        <v>2</v>
      </c>
      <c r="F11" s="52">
        <f>'Bryn Cowlyd'!F11</f>
        <v>1</v>
      </c>
      <c r="G11" s="52">
        <f>'Bryn Cowlyd'!G11</f>
        <v>1</v>
      </c>
      <c r="H11" s="52">
        <f>'Bryn Cowlyd'!H11</f>
        <v>1</v>
      </c>
      <c r="I11" s="52">
        <f>'Bryn Cowlyd'!I11</f>
        <v>2</v>
      </c>
      <c r="J11" s="52">
        <f>'Bryn Cowlyd'!J11</f>
        <v>1</v>
      </c>
      <c r="K11" s="52">
        <f>'Bryn Cowlyd'!K11</f>
        <v>1</v>
      </c>
      <c r="L11" s="52">
        <f>'Bryn Cowlyd'!L11</f>
        <v>1</v>
      </c>
      <c r="M11" s="52">
        <f>'Bryn Cowlyd'!M11</f>
        <v>1</v>
      </c>
      <c r="N11" s="52">
        <f>'Bryn Cowlyd'!N11</f>
        <v>2</v>
      </c>
      <c r="O11" s="52">
        <f>'Bryn Cowlyd'!O11</f>
        <v>3</v>
      </c>
      <c r="P11" s="52">
        <f>'Bryn Cowlyd'!P11</f>
        <v>3</v>
      </c>
      <c r="Q11" s="52">
        <f>'Bryn Cowlyd'!Q11</f>
        <v>2</v>
      </c>
      <c r="R11" s="52">
        <f>'Bryn Cowlyd'!R11</f>
        <v>2</v>
      </c>
      <c r="S11" s="52">
        <f>'Bryn Cowlyd'!S11</f>
        <v>2</v>
      </c>
      <c r="T11" s="52">
        <f>'Bryn Cowlyd'!T11</f>
        <v>2</v>
      </c>
      <c r="U11" s="52">
        <f>'Bryn Cowlyd'!U11</f>
        <v>1</v>
      </c>
      <c r="V11" s="52">
        <f>'Bryn Cowlyd'!V11</f>
        <v>1</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'Bryn Cowlyd'!C12</f>
        <v>1</v>
      </c>
      <c r="D12" s="52">
        <f>'Bryn Cowlyd'!D12</f>
        <v>2</v>
      </c>
      <c r="E12" s="52">
        <f>'Bryn Cowlyd'!E12</f>
        <v>1</v>
      </c>
      <c r="F12" s="52">
        <f>'Bryn Cowlyd'!F12</f>
        <v>1</v>
      </c>
      <c r="G12" s="52">
        <f>'Bryn Cowlyd'!G12</f>
        <v>0</v>
      </c>
      <c r="H12" s="52">
        <f>'Bryn Cowlyd'!H12</f>
        <v>1</v>
      </c>
      <c r="I12" s="52">
        <f>'Bryn Cowlyd'!I12</f>
        <v>1</v>
      </c>
      <c r="J12" s="52">
        <f>'Bryn Cowlyd'!J12</f>
        <v>1</v>
      </c>
      <c r="K12" s="52">
        <f>'Bryn Cowlyd'!K12</f>
        <v>1</v>
      </c>
      <c r="L12" s="52">
        <f>'Bryn Cowlyd'!L12</f>
        <v>1</v>
      </c>
      <c r="M12" s="52">
        <f>'Bryn Cowlyd'!M12</f>
        <v>1</v>
      </c>
      <c r="N12" s="52">
        <f>'Bryn Cowlyd'!N12</f>
        <v>0</v>
      </c>
      <c r="O12" s="52">
        <f>'Bryn Cowlyd'!O12</f>
        <v>2</v>
      </c>
      <c r="P12" s="52">
        <f>'Bryn Cowlyd'!P12</f>
        <v>2</v>
      </c>
      <c r="Q12" s="52">
        <f>'Bryn Cowlyd'!Q12</f>
        <v>1</v>
      </c>
      <c r="R12" s="52">
        <f>'Bryn Cowlyd'!R12</f>
        <v>2</v>
      </c>
      <c r="S12" s="52">
        <f>'Bryn Cowlyd'!S12</f>
        <v>2</v>
      </c>
      <c r="T12" s="52">
        <f>'Bryn Cowlyd'!T12</f>
        <v>2</v>
      </c>
      <c r="U12" s="52">
        <f>'Bryn Cowlyd'!U12</f>
        <v>1</v>
      </c>
      <c r="V12" s="52">
        <f>'Bryn Cowlyd'!V12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'Bryn Cowlyd'!C13</f>
        <v>2</v>
      </c>
      <c r="D13" s="52">
        <f>'Bryn Cowlyd'!D13</f>
        <v>2</v>
      </c>
      <c r="E13" s="52">
        <f>'Bryn Cowlyd'!E13</f>
        <v>2</v>
      </c>
      <c r="F13" s="52">
        <f>'Bryn Cowlyd'!F13</f>
        <v>2</v>
      </c>
      <c r="G13" s="52">
        <f>'Bryn Cowlyd'!G13</f>
        <v>2</v>
      </c>
      <c r="H13" s="52">
        <f>'Bryn Cowlyd'!H13</f>
        <v>2</v>
      </c>
      <c r="I13" s="52">
        <f>'Bryn Cowlyd'!I13</f>
        <v>1</v>
      </c>
      <c r="J13" s="52">
        <f>'Bryn Cowlyd'!J13</f>
        <v>2</v>
      </c>
      <c r="K13" s="52">
        <f>'Bryn Cowlyd'!K13</f>
        <v>2</v>
      </c>
      <c r="L13" s="52">
        <f>'Bryn Cowlyd'!L13</f>
        <v>2</v>
      </c>
      <c r="M13" s="52">
        <f>'Bryn Cowlyd'!M13</f>
        <v>2</v>
      </c>
      <c r="N13" s="52">
        <f>'Bryn Cowlyd'!N13</f>
        <v>1</v>
      </c>
      <c r="O13" s="52">
        <f>'Bryn Cowlyd'!O13</f>
        <v>3</v>
      </c>
      <c r="P13" s="52">
        <f>'Bryn Cowlyd'!P13</f>
        <v>3</v>
      </c>
      <c r="Q13" s="52">
        <f>'Bryn Cowlyd'!Q13</f>
        <v>2</v>
      </c>
      <c r="R13" s="52">
        <f>'Bryn Cowlyd'!R13</f>
        <v>3</v>
      </c>
      <c r="S13" s="52">
        <f>'Bryn Cowlyd'!S13</f>
        <v>3</v>
      </c>
      <c r="T13" s="52">
        <f>'Bryn Cowlyd'!T13</f>
        <v>3</v>
      </c>
      <c r="U13" s="52">
        <f>'Bryn Cowlyd'!U13</f>
        <v>2</v>
      </c>
      <c r="V13" s="52">
        <f>'Bryn Cowlyd'!V13</f>
        <v>2</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'Bryn Cowlyd'!C14</f>
        <v xml:space="preserve">Grass Silage (25% DM) </v>
      </c>
      <c r="D14" s="91" t="str">
        <f>'Bryn Cowlyd'!D14</f>
        <v xml:space="preserve">Grass Silage (25% DM) </v>
      </c>
      <c r="E14" s="91" t="str">
        <f>'Bryn Cowlyd'!E14</f>
        <v xml:space="preserve">Grass Silage (25% DM) </v>
      </c>
      <c r="F14" s="91" t="str">
        <f>'Bryn Cowlyd'!F14</f>
        <v xml:space="preserve">Grass Silage (25% DM) </v>
      </c>
      <c r="G14" s="91" t="str">
        <f>'Bryn Cowlyd'!G14</f>
        <v xml:space="preserve">Grass Silage (25% DM) </v>
      </c>
      <c r="H14" s="91" t="str">
        <f>'Bryn Cowlyd'!H14</f>
        <v xml:space="preserve">Grass Silage (25% DM) </v>
      </c>
      <c r="I14" s="91" t="str">
        <f>'Bryn Cowlyd'!I14</f>
        <v xml:space="preserve">Grass Silage (25% DM) </v>
      </c>
      <c r="J14" s="91" t="str">
        <f>'Bryn Cowlyd'!J14</f>
        <v xml:space="preserve">Grass Silage (25% DM) </v>
      </c>
      <c r="K14" s="91" t="str">
        <f>'Bryn Cowlyd'!K14</f>
        <v xml:space="preserve">Grass Silage (25% DM) </v>
      </c>
      <c r="L14" s="91" t="str">
        <f>'Bryn Cowlyd'!L14</f>
        <v xml:space="preserve">Grass Silage (25% DM) </v>
      </c>
      <c r="M14" s="91" t="str">
        <f>'Bryn Cowlyd'!M14</f>
        <v xml:space="preserve">Grass Silage (25% DM) </v>
      </c>
      <c r="N14" s="91" t="str">
        <f>'Bryn Cowlyd'!N14</f>
        <v xml:space="preserve">Grass Silage (25% DM) </v>
      </c>
      <c r="O14" s="91" t="str">
        <f>'Bryn Cowlyd'!O14</f>
        <v xml:space="preserve">Grass Silage (25% DM) </v>
      </c>
      <c r="P14" s="91" t="str">
        <f>'Bryn Cowlyd'!P14</f>
        <v xml:space="preserve">Grass Silage (25% DM) </v>
      </c>
      <c r="Q14" s="91" t="str">
        <f>'Bryn Cowlyd'!Q14</f>
        <v xml:space="preserve">Grass Silage (25% DM) </v>
      </c>
      <c r="R14" s="91" t="str">
        <f>'Bryn Cowlyd'!R14</f>
        <v xml:space="preserve">Grass Silage (25% DM) </v>
      </c>
      <c r="S14" s="91" t="str">
        <f>'Bryn Cowlyd'!S14</f>
        <v xml:space="preserve">Grass Silage (25% DM) </v>
      </c>
      <c r="T14" s="91" t="str">
        <f>'Bryn Cowlyd'!T14</f>
        <v xml:space="preserve">Grass Silage (25% DM) </v>
      </c>
      <c r="U14" s="91" t="str">
        <f>'Bryn Cowlyd'!U14</f>
        <v xml:space="preserve">Grass Silage (25% DM) </v>
      </c>
      <c r="V14" s="91" t="str">
        <f>'Bryn Cowlyd'!V14</f>
        <v xml:space="preserve">Grass Silage (25% DM) </v>
      </c>
      <c r="AD14" s="23" t="s">
        <v>138</v>
      </c>
      <c r="AE14" s="23">
        <v>6</v>
      </c>
      <c r="AI14" s="46" t="s">
        <v>119</v>
      </c>
      <c r="AJ14" s="47">
        <v>0.8</v>
      </c>
      <c r="AK14" s="48">
        <v>1.7</v>
      </c>
      <c r="AL14" s="9">
        <v>12</v>
      </c>
      <c r="AM14" s="9">
        <v>6.7</v>
      </c>
      <c r="AN14" s="9" t="s">
        <v>135</v>
      </c>
    </row>
    <row r="15" spans="1:41" ht="13" x14ac:dyDescent="0.25">
      <c r="A15" s="117" t="s">
        <v>9</v>
      </c>
      <c r="B15" s="117"/>
      <c r="C15" s="52">
        <f>'Bryn Cowlyd'!C15</f>
        <v>38</v>
      </c>
      <c r="D15" s="52">
        <f>'Bryn Cowlyd'!D15</f>
        <v>38</v>
      </c>
      <c r="E15" s="52">
        <f>'Bryn Cowlyd'!E15</f>
        <v>38</v>
      </c>
      <c r="F15" s="52">
        <f>'Bryn Cowlyd'!F15</f>
        <v>38</v>
      </c>
      <c r="G15" s="52">
        <f>'Bryn Cowlyd'!G15</f>
        <v>38</v>
      </c>
      <c r="H15" s="52">
        <f>'Bryn Cowlyd'!H15</f>
        <v>38</v>
      </c>
      <c r="I15" s="52">
        <f>'Bryn Cowlyd'!I15</f>
        <v>38</v>
      </c>
      <c r="J15" s="52">
        <f>'Bryn Cowlyd'!J15</f>
        <v>38</v>
      </c>
      <c r="K15" s="52">
        <f>'Bryn Cowlyd'!K15</f>
        <v>38</v>
      </c>
      <c r="L15" s="52">
        <f>'Bryn Cowlyd'!L15</f>
        <v>38</v>
      </c>
      <c r="M15" s="52">
        <f>'Bryn Cowlyd'!M15</f>
        <v>38</v>
      </c>
      <c r="N15" s="52">
        <f>'Bryn Cowlyd'!N15</f>
        <v>38</v>
      </c>
      <c r="O15" s="52">
        <f>'Bryn Cowlyd'!O15</f>
        <v>38</v>
      </c>
      <c r="P15" s="52">
        <f>'Bryn Cowlyd'!P15</f>
        <v>38</v>
      </c>
      <c r="Q15" s="52">
        <f>'Bryn Cowlyd'!Q15</f>
        <v>38</v>
      </c>
      <c r="R15" s="52">
        <f>'Bryn Cowlyd'!R15</f>
        <v>38</v>
      </c>
      <c r="S15" s="52">
        <f>'Bryn Cowlyd'!S15</f>
        <v>38</v>
      </c>
      <c r="T15" s="52">
        <f>'Bryn Cowlyd'!T15</f>
        <v>38</v>
      </c>
      <c r="U15" s="52">
        <f>'Bryn Cowlyd'!U15</f>
        <v>38</v>
      </c>
      <c r="V15" s="52">
        <f>'Bryn Cowlyd'!V15</f>
        <v>38</v>
      </c>
      <c r="AD15" s="23" t="s">
        <v>144</v>
      </c>
      <c r="AE15" s="23">
        <v>7</v>
      </c>
      <c r="AI15" s="46" t="s">
        <v>101</v>
      </c>
      <c r="AJ15" s="54">
        <v>1.8</v>
      </c>
      <c r="AK15" s="48">
        <v>5.4</v>
      </c>
      <c r="AL15" s="9">
        <v>13</v>
      </c>
      <c r="AM15" s="9">
        <v>6.7</v>
      </c>
      <c r="AN15" s="9" t="s">
        <v>135</v>
      </c>
    </row>
    <row r="16" spans="1:41" ht="13.5" thickBot="1" x14ac:dyDescent="0.3">
      <c r="A16" s="119" t="s">
        <v>44</v>
      </c>
      <c r="B16" s="119"/>
      <c r="C16" s="92" t="str">
        <f>'Bryn Cowlyd'!C16</f>
        <v>Medium/Clay</v>
      </c>
      <c r="D16" s="92" t="str">
        <f>'Bryn Cowlyd'!D16</f>
        <v>Medium/Clay</v>
      </c>
      <c r="E16" s="92" t="str">
        <f>'Bryn Cowlyd'!E16</f>
        <v>Medium/Clay</v>
      </c>
      <c r="F16" s="92" t="str">
        <f>'Bryn Cowlyd'!F16</f>
        <v>Medium/Clay</v>
      </c>
      <c r="G16" s="92" t="str">
        <f>'Bryn Cowlyd'!G16</f>
        <v>Medium/Clay</v>
      </c>
      <c r="H16" s="92" t="str">
        <f>'Bryn Cowlyd'!H16</f>
        <v>Medium/Clay</v>
      </c>
      <c r="I16" s="92" t="str">
        <f>'Bryn Cowlyd'!I16</f>
        <v>Medium/Clay</v>
      </c>
      <c r="J16" s="92" t="str">
        <f>'Bryn Cowlyd'!J16</f>
        <v>Medium/Clay</v>
      </c>
      <c r="K16" s="92" t="str">
        <f>'Bryn Cowlyd'!K16</f>
        <v>Medium/Clay</v>
      </c>
      <c r="L16" s="92" t="str">
        <f>'Bryn Cowlyd'!L16</f>
        <v>Medium/Clay</v>
      </c>
      <c r="M16" s="92" t="str">
        <f>'Bryn Cowlyd'!M16</f>
        <v>Medium/Clay</v>
      </c>
      <c r="N16" s="92" t="str">
        <f>'Bryn Cowlyd'!N16</f>
        <v>Medium/Clay</v>
      </c>
      <c r="O16" s="92" t="str">
        <f>'Bryn Cowlyd'!O16</f>
        <v>Medium/Clay</v>
      </c>
      <c r="P16" s="92" t="str">
        <f>'Bryn Cowlyd'!P16</f>
        <v>Medium/Clay</v>
      </c>
      <c r="Q16" s="92" t="str">
        <f>'Bryn Cowlyd'!Q16</f>
        <v>Medium/Clay</v>
      </c>
      <c r="R16" s="92" t="str">
        <f>'Bryn Cowlyd'!R16</f>
        <v>Medium/Clay</v>
      </c>
      <c r="S16" s="92" t="str">
        <f>'Bryn Cowlyd'!S16</f>
        <v>Medium/Clay</v>
      </c>
      <c r="T16" s="92" t="str">
        <f>'Bryn Cowlyd'!T16</f>
        <v>Medium/Clay</v>
      </c>
      <c r="U16" s="92" t="str">
        <f>'Bryn Cowlyd'!U16</f>
        <v>Medium/Clay</v>
      </c>
      <c r="V16" s="92" t="str">
        <f>'Bryn Cowlyd'!V16</f>
        <v>Medium/Clay</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f t="shared" si="0"/>
        <v>64.599999999999994</v>
      </c>
      <c r="N17" s="21">
        <f t="shared" si="0"/>
        <v>64.599999999999994</v>
      </c>
      <c r="O17" s="21">
        <f t="shared" si="0"/>
        <v>64.599999999999994</v>
      </c>
      <c r="P17" s="21">
        <f t="shared" si="0"/>
        <v>64.599999999999994</v>
      </c>
      <c r="Q17" s="21">
        <f t="shared" si="0"/>
        <v>64.599999999999994</v>
      </c>
      <c r="R17" s="21">
        <f t="shared" si="0"/>
        <v>64.599999999999994</v>
      </c>
      <c r="S17" s="21">
        <f t="shared" si="0"/>
        <v>64.599999999999994</v>
      </c>
      <c r="T17" s="21">
        <f t="shared" si="0"/>
        <v>64.599999999999994</v>
      </c>
      <c r="U17" s="21">
        <f t="shared" si="0"/>
        <v>64.599999999999994</v>
      </c>
      <c r="V17" s="21">
        <f t="shared" si="0"/>
        <v>64.599999999999994</v>
      </c>
      <c r="AD17" s="45" t="s">
        <v>146</v>
      </c>
      <c r="AE17" s="23">
        <v>10</v>
      </c>
      <c r="AI17" s="41" t="s">
        <v>115</v>
      </c>
      <c r="AJ17" s="42">
        <v>1.4</v>
      </c>
      <c r="AK17" s="43">
        <v>4.8</v>
      </c>
      <c r="AL17" s="44">
        <v>15</v>
      </c>
      <c r="AM17" s="9">
        <v>6.2</v>
      </c>
      <c r="AN17" s="9" t="s">
        <v>112</v>
      </c>
    </row>
    <row r="18" spans="1:40" ht="13" x14ac:dyDescent="0.25">
      <c r="A18" s="111" t="s">
        <v>23</v>
      </c>
      <c r="B18" s="112"/>
      <c r="C18" s="13">
        <f>$D31</f>
        <v>21.649949999999997</v>
      </c>
      <c r="D18" s="13">
        <f>$D32</f>
        <v>21.649949999999997</v>
      </c>
      <c r="E18" s="13">
        <f>$D33</f>
        <v>21.649949999999997</v>
      </c>
      <c r="F18" s="13">
        <f>$D34</f>
        <v>21.649949999999997</v>
      </c>
      <c r="G18" s="13">
        <f>$D35</f>
        <v>21.649949999999997</v>
      </c>
      <c r="H18" s="13">
        <f>$D36</f>
        <v>21.649949999999997</v>
      </c>
      <c r="I18" s="13">
        <f>$D37</f>
        <v>21.649949999999997</v>
      </c>
      <c r="J18" s="13">
        <f>$D38</f>
        <v>21.649949999999997</v>
      </c>
      <c r="K18" s="13">
        <f>$D39</f>
        <v>21.649949999999997</v>
      </c>
      <c r="L18" s="13">
        <f>$D40</f>
        <v>21.649949999999997</v>
      </c>
      <c r="M18" s="13">
        <f>$D41</f>
        <v>21.649949999999997</v>
      </c>
      <c r="N18" s="13">
        <f>$D42</f>
        <v>21.649949999999997</v>
      </c>
      <c r="O18" s="13">
        <f>$D43</f>
        <v>21.649949999999997</v>
      </c>
      <c r="P18" s="13">
        <f>$D44</f>
        <v>21.649949999999997</v>
      </c>
      <c r="Q18" s="13">
        <f>$D45</f>
        <v>21.649949999999997</v>
      </c>
      <c r="R18" s="13">
        <f>$D46</f>
        <v>21.649949999999997</v>
      </c>
      <c r="S18" s="13">
        <f>$D47</f>
        <v>21.649949999999997</v>
      </c>
      <c r="T18" s="13">
        <f>$D48</f>
        <v>21.649949999999997</v>
      </c>
      <c r="U18" s="13">
        <f>$D49</f>
        <v>21.649949999999997</v>
      </c>
      <c r="V18" s="18">
        <f>$D50</f>
        <v>21.649949999999997</v>
      </c>
      <c r="AD18" s="45" t="s">
        <v>147</v>
      </c>
      <c r="AE18" s="23">
        <v>16</v>
      </c>
      <c r="AI18" s="41" t="s">
        <v>106</v>
      </c>
      <c r="AJ18" s="42">
        <v>5.9</v>
      </c>
      <c r="AK18" s="43">
        <v>18</v>
      </c>
      <c r="AL18" s="44">
        <v>16</v>
      </c>
      <c r="AM18" s="9">
        <v>6.2</v>
      </c>
      <c r="AN18" s="9" t="s">
        <v>112</v>
      </c>
    </row>
    <row r="19" spans="1:40" ht="13" x14ac:dyDescent="0.25">
      <c r="A19" s="111" t="s">
        <v>90</v>
      </c>
      <c r="B19" s="112"/>
      <c r="C19" s="13">
        <f>C18-C17</f>
        <v>-42.950049999999997</v>
      </c>
      <c r="D19" s="13">
        <f t="shared" ref="D19:V19" si="1">D18-D17</f>
        <v>-42.950049999999997</v>
      </c>
      <c r="E19" s="13">
        <f t="shared" si="1"/>
        <v>-42.950049999999997</v>
      </c>
      <c r="F19" s="13">
        <f t="shared" si="1"/>
        <v>-42.950049999999997</v>
      </c>
      <c r="G19" s="13">
        <f t="shared" si="1"/>
        <v>-42.950049999999997</v>
      </c>
      <c r="H19" s="13">
        <f t="shared" si="1"/>
        <v>-42.950049999999997</v>
      </c>
      <c r="I19" s="13">
        <f t="shared" si="1"/>
        <v>-42.950049999999997</v>
      </c>
      <c r="J19" s="13">
        <f t="shared" si="1"/>
        <v>-42.950049999999997</v>
      </c>
      <c r="K19" s="13">
        <f t="shared" si="1"/>
        <v>-42.950049999999997</v>
      </c>
      <c r="L19" s="13">
        <f t="shared" si="1"/>
        <v>-42.950049999999997</v>
      </c>
      <c r="M19" s="13">
        <f t="shared" si="1"/>
        <v>-42.950049999999997</v>
      </c>
      <c r="N19" s="13">
        <f t="shared" si="1"/>
        <v>-42.950049999999997</v>
      </c>
      <c r="O19" s="13">
        <f t="shared" si="1"/>
        <v>-42.950049999999997</v>
      </c>
      <c r="P19" s="13">
        <f t="shared" si="1"/>
        <v>-42.950049999999997</v>
      </c>
      <c r="Q19" s="13">
        <f t="shared" si="1"/>
        <v>-42.950049999999997</v>
      </c>
      <c r="R19" s="13">
        <f t="shared" si="1"/>
        <v>-42.950049999999997</v>
      </c>
      <c r="S19" s="13">
        <f t="shared" si="1"/>
        <v>-42.950049999999997</v>
      </c>
      <c r="T19" s="13">
        <f t="shared" si="1"/>
        <v>-42.950049999999997</v>
      </c>
      <c r="U19" s="13">
        <f t="shared" si="1"/>
        <v>-42.950049999999997</v>
      </c>
      <c r="V19" s="18">
        <f t="shared" si="1"/>
        <v>-42.950049999999997</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DECREASE</v>
      </c>
      <c r="V20" s="20" t="str">
        <f>IF($B50="","",IF(V$19&gt;=0,"INCREASE","DECREASE"))</f>
        <v>DECREASE</v>
      </c>
      <c r="AI20" s="41" t="s">
        <v>114</v>
      </c>
      <c r="AJ20" s="42">
        <v>2.1</v>
      </c>
      <c r="AK20" s="43">
        <v>7.2</v>
      </c>
      <c r="AL20" s="44">
        <v>18</v>
      </c>
      <c r="AM20" s="9">
        <v>6.2</v>
      </c>
      <c r="AN20" s="9" t="s">
        <v>112</v>
      </c>
    </row>
    <row r="21" spans="1:40" ht="13" x14ac:dyDescent="0.25">
      <c r="A21" s="109" t="s">
        <v>88</v>
      </c>
      <c r="B21" s="110"/>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f t="shared" si="2"/>
        <v>228</v>
      </c>
      <c r="N21" s="21">
        <f t="shared" si="2"/>
        <v>228</v>
      </c>
      <c r="O21" s="21">
        <f t="shared" si="2"/>
        <v>228</v>
      </c>
      <c r="P21" s="21">
        <f t="shared" si="2"/>
        <v>228</v>
      </c>
      <c r="Q21" s="21">
        <f t="shared" si="2"/>
        <v>228</v>
      </c>
      <c r="R21" s="21">
        <f t="shared" si="2"/>
        <v>228</v>
      </c>
      <c r="S21" s="21">
        <f t="shared" si="2"/>
        <v>228</v>
      </c>
      <c r="T21" s="21">
        <f t="shared" si="2"/>
        <v>228</v>
      </c>
      <c r="U21" s="21">
        <f t="shared" si="2"/>
        <v>228</v>
      </c>
      <c r="V21" s="21">
        <f t="shared" si="2"/>
        <v>228</v>
      </c>
      <c r="AI21" s="55" t="s">
        <v>100</v>
      </c>
      <c r="AJ21" s="58">
        <v>11</v>
      </c>
      <c r="AK21" s="57">
        <v>12</v>
      </c>
      <c r="AL21" s="22">
        <v>19</v>
      </c>
      <c r="AM21" s="9">
        <v>6.7</v>
      </c>
      <c r="AN21" s="9" t="s">
        <v>135</v>
      </c>
    </row>
    <row r="22" spans="1:40" ht="13" x14ac:dyDescent="0.25">
      <c r="A22" s="111" t="s">
        <v>89</v>
      </c>
      <c r="B22" s="112"/>
      <c r="C22" s="13">
        <f>$E31</f>
        <v>2.56424E-4</v>
      </c>
      <c r="D22" s="13">
        <f>$E32</f>
        <v>2.56424E-4</v>
      </c>
      <c r="E22" s="13">
        <f>$E33</f>
        <v>2.56424E-4</v>
      </c>
      <c r="F22" s="13">
        <f>$E34</f>
        <v>2.56424E-4</v>
      </c>
      <c r="G22" s="13">
        <f>$E35</f>
        <v>2.56424E-4</v>
      </c>
      <c r="H22" s="13">
        <f>$E36</f>
        <v>2.56424E-4</v>
      </c>
      <c r="I22" s="13">
        <f>$E37</f>
        <v>2.56424E-4</v>
      </c>
      <c r="J22" s="13">
        <f>$E38</f>
        <v>2.56424E-4</v>
      </c>
      <c r="K22" s="13">
        <f>$E39</f>
        <v>2.56424E-4</v>
      </c>
      <c r="L22" s="13">
        <f>$E40</f>
        <v>2.56424E-4</v>
      </c>
      <c r="M22" s="13">
        <f>$E41</f>
        <v>2.56424E-4</v>
      </c>
      <c r="N22" s="13">
        <f>$E42</f>
        <v>2.56424E-4</v>
      </c>
      <c r="O22" s="13">
        <f>$E43</f>
        <v>2.56424E-4</v>
      </c>
      <c r="P22" s="13">
        <f>$E44</f>
        <v>2.56424E-4</v>
      </c>
      <c r="Q22" s="13">
        <f>$E45</f>
        <v>2.56424E-4</v>
      </c>
      <c r="R22" s="13">
        <f>$E46</f>
        <v>2.56424E-4</v>
      </c>
      <c r="S22" s="13">
        <f>$E47</f>
        <v>2.56424E-4</v>
      </c>
      <c r="T22" s="13">
        <f>$E48</f>
        <v>2.56424E-4</v>
      </c>
      <c r="U22" s="13">
        <f>$E49</f>
        <v>2.56424E-4</v>
      </c>
      <c r="V22" s="13">
        <f>$E50</f>
        <v>2.56424E-4</v>
      </c>
      <c r="AI22" s="55" t="s">
        <v>102</v>
      </c>
      <c r="AJ22" s="56">
        <v>1.2</v>
      </c>
      <c r="AK22" s="57">
        <v>5</v>
      </c>
      <c r="AL22" s="22">
        <v>20</v>
      </c>
      <c r="AM22" s="9">
        <v>6.7</v>
      </c>
      <c r="AN22" s="9" t="s">
        <v>135</v>
      </c>
    </row>
    <row r="23" spans="1:40" ht="13" x14ac:dyDescent="0.25">
      <c r="A23" s="111" t="s">
        <v>92</v>
      </c>
      <c r="B23" s="112"/>
      <c r="C23" s="13">
        <f>C22-C21</f>
        <v>-227.99974357599999</v>
      </c>
      <c r="D23" s="13">
        <f t="shared" ref="D23:V23" si="3">D22-D21</f>
        <v>-227.99974357599999</v>
      </c>
      <c r="E23" s="13">
        <f t="shared" si="3"/>
        <v>-227.99974357599999</v>
      </c>
      <c r="F23" s="13">
        <f t="shared" si="3"/>
        <v>-227.99974357599999</v>
      </c>
      <c r="G23" s="13">
        <f t="shared" si="3"/>
        <v>-227.99974357599999</v>
      </c>
      <c r="H23" s="13">
        <f t="shared" si="3"/>
        <v>-227.99974357599999</v>
      </c>
      <c r="I23" s="13">
        <f t="shared" si="3"/>
        <v>-227.99974357599999</v>
      </c>
      <c r="J23" s="13">
        <f t="shared" si="3"/>
        <v>-227.99974357599999</v>
      </c>
      <c r="K23" s="13">
        <f t="shared" si="3"/>
        <v>-227.99974357599999</v>
      </c>
      <c r="L23" s="13">
        <f t="shared" si="3"/>
        <v>-227.99974357599999</v>
      </c>
      <c r="M23" s="13">
        <f t="shared" si="3"/>
        <v>-227.99974357599999</v>
      </c>
      <c r="N23" s="13">
        <f t="shared" si="3"/>
        <v>-227.99974357599999</v>
      </c>
      <c r="O23" s="13">
        <f t="shared" si="3"/>
        <v>-227.99974357599999</v>
      </c>
      <c r="P23" s="13">
        <f t="shared" si="3"/>
        <v>-227.99974357599999</v>
      </c>
      <c r="Q23" s="13">
        <f t="shared" si="3"/>
        <v>-227.99974357599999</v>
      </c>
      <c r="R23" s="13">
        <f t="shared" si="3"/>
        <v>-227.99974357599999</v>
      </c>
      <c r="S23" s="13">
        <f t="shared" si="3"/>
        <v>-227.99974357599999</v>
      </c>
      <c r="T23" s="13">
        <f t="shared" si="3"/>
        <v>-227.99974357599999</v>
      </c>
      <c r="U23" s="13">
        <f t="shared" si="3"/>
        <v>-227.99974357599999</v>
      </c>
      <c r="V23" s="13">
        <f t="shared" si="3"/>
        <v>-227.99974357599999</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str">
        <f t="shared" si="4"/>
        <v>DECREASE</v>
      </c>
      <c r="V24" s="19" t="str">
        <f t="shared" si="4"/>
        <v>DECREASE</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171</v>
      </c>
      <c r="L27" s="96" t="s">
        <v>55</v>
      </c>
      <c r="M27" s="96" t="s">
        <v>55</v>
      </c>
      <c r="N27" s="96" t="s">
        <v>55</v>
      </c>
      <c r="O27" s="96" t="s">
        <v>55</v>
      </c>
      <c r="P27" s="96"/>
      <c r="Q27" s="96" t="s">
        <v>55</v>
      </c>
      <c r="R27" s="96"/>
      <c r="S27" s="96" t="s">
        <v>55</v>
      </c>
      <c r="T27" s="96"/>
      <c r="U27" s="96"/>
    </row>
    <row r="28" spans="1:40" x14ac:dyDescent="0.35">
      <c r="A28" s="97"/>
      <c r="B28" s="17">
        <v>2.8</v>
      </c>
      <c r="C28" s="12">
        <v>1.0900000000000001</v>
      </c>
      <c r="D28" s="12">
        <v>0.13500000000000001</v>
      </c>
      <c r="E28" s="12">
        <v>3.04E-2</v>
      </c>
      <c r="F28" s="12">
        <v>411</v>
      </c>
      <c r="G28" s="12">
        <v>41.7</v>
      </c>
      <c r="H28" s="12">
        <v>294</v>
      </c>
      <c r="I28" s="12">
        <v>6.2</v>
      </c>
      <c r="J28" s="12">
        <v>1.96</v>
      </c>
      <c r="K28" s="16">
        <v>1.43</v>
      </c>
      <c r="L28" s="12">
        <v>11.4</v>
      </c>
      <c r="M28" s="12">
        <v>4.63</v>
      </c>
      <c r="N28" s="12">
        <v>259000</v>
      </c>
      <c r="O28" s="12">
        <v>7170</v>
      </c>
      <c r="P28" s="12"/>
      <c r="Q28" s="12">
        <v>10300</v>
      </c>
      <c r="R28" s="12"/>
      <c r="S28" s="12">
        <v>24.2</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250</v>
      </c>
      <c r="C31" s="68">
        <f>IF(C$27="%w/w SAR",((C$28*10)*$B31),IF(C$27="%w/w DM",(((C$28*10)*($B$28/100))*$B31),IF(C$27="kg/t SAR",(C$28*$B31),IF(C$27="kg/t DM",((C$28*($B$28/100))*$B31),IF(C$27="mg/kg SAR",((C$28*0.001)*$B31),IF(C$27="mg/kg DM",(((C$28*0.001)*($B$28/100))*$B31),0))))))</f>
        <v>76.3</v>
      </c>
      <c r="D31" s="68">
        <f>(IF(D$27="%w/w SAR",((D$28*10)*$B31),IF(D$27="%w/w DM",(((D$28*10)*($B$28/100))*$B31),IF(D$27="kg/t SAR",(D$28*$B31),IF(D$27="kg/t DM",((D$28*($B$28/100))*$B31),IF(D$27="mg/kg SAR",((D$28*0.001)*$B31),IF(D$27="mg/kg DM",(((D$28*0.001)*($B$28/100))*$B31),"0")))))))*2.291</f>
        <v>21.649949999999997</v>
      </c>
      <c r="E31" s="68">
        <f>(IF(E$27="%w/w SAR",((E$28*10)*$B31),IF(E$27="%w/w DM",(((E$28*10)*($B$28/100))*$B31),IF(E$27="kg/t SAR",(E$28*$B31),IF(E$27="kg/t DM",((E$28*($B$28/100))*$B31),IF(E$27="mg/kg SAR",((E$28*0.001)*$B31),IF(E$27="mg/kg DM",(((E$28*0.001)*($B$28/100))*$B31),"0")))))))*1.205</f>
        <v>2.56424E-4</v>
      </c>
      <c r="F31" s="68">
        <f>(IF(F$27="%w/w SAR",((F$28*10)*$B31),IF(F$27="%w/w DM",(((F$28*10)*($B$28/100))*$B31),IF(F$27="kg/t SAR",(F$28*$B31),IF(F$27="kg/t DM",((F$28*($B$28/100))*$B31),IF(F$27="mg/kg SAR",((F$28*0.001)*$B31),IF(F$27="mg/kg DM",(((F$28*0.001)*($B$28/100))*$B31),"0")))))))*1.658</f>
        <v>4.770065999999999</v>
      </c>
      <c r="G31" s="68">
        <f t="shared" ref="G31:P46" si="5">IF(G$27="%w/w SAR",((G$28*10)*$B31),IF(G$27="%w/w DM",(((G$28*10)*($B$28/100))*$B31),IF(G$27="kg/t SAR",(G$28*$B31),IF(G$27="kg/t DM",((G$28*($B$28/100))*$B31),IF(G$27="mg/kg SAR",((G$28*0.001)*$B31),IF(G$27="mg/kg DM",(((G$28*0.001)*($B$28/100))*$B31),0))))))</f>
        <v>0.29189999999999999</v>
      </c>
      <c r="H31" s="68">
        <f t="shared" si="5"/>
        <v>2.0579999999999994</v>
      </c>
      <c r="I31" s="68">
        <f t="shared" si="5"/>
        <v>4.3400000000000001E-2</v>
      </c>
      <c r="J31" s="68">
        <f t="shared" si="5"/>
        <v>1.3719999999999998E-2</v>
      </c>
      <c r="K31" s="68">
        <f t="shared" si="5"/>
        <v>0</v>
      </c>
      <c r="L31" s="68">
        <f t="shared" si="5"/>
        <v>7.9799999999999982E-2</v>
      </c>
      <c r="M31" s="68">
        <f t="shared" si="5"/>
        <v>3.2409999999999994E-2</v>
      </c>
      <c r="N31" s="68">
        <f t="shared" si="5"/>
        <v>1812.9999999999998</v>
      </c>
      <c r="O31" s="68">
        <f t="shared" si="5"/>
        <v>50.189999999999991</v>
      </c>
      <c r="P31" s="68">
        <f t="shared" si="5"/>
        <v>0</v>
      </c>
      <c r="Q31" s="68">
        <f>(IF(Q$27="%w/w SAR",((Q$28*10)*$B31),IF(Q$27="%w/w DM",(((Q$28*10)*($B$28/100))*$B31),IF(Q$27="kg/t SAR",(Q$28*$B31),IF(Q$27="kg/t DM",((Q$28*($B$28/100))*$B31),IF(Q$27="mg/kg SAR",((Q$28*0.001)*$B31),IF(Q$27="mg/kg DM",(((Q$28*0.001)*($B$28/100))*$B31),0)))))))*2.5</f>
        <v>180.25</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0.16939999999999997</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250</v>
      </c>
      <c r="C32" s="68">
        <f t="shared" ref="C32:C50" si="6">IF(C$27="%w/w SAR",((C$28*10)*$B32),IF(C$27="%w/w DM",(((C$28*10)*($B$28/100))*$B32),IF(C$27="kg/t SAR",(C$28*$B32),IF(C$27="kg/t DM",((C$28*($B$28/100))*$B32),IF(C$27="mg/kg SAR",((C$28*0.001)*$B32),IF(C$27="mg/kg DM",(((C$28*0.001)*($B$28/100))*$B32),0))))))</f>
        <v>76.3</v>
      </c>
      <c r="D32" s="68">
        <f t="shared" ref="D32:D50" si="7">(IF(D$27="%w/w SAR",((D$28*10)*$B32),IF(D$27="%w/w DM",(((D$28*10)*($B$28/100))*$B32),IF(D$27="kg/t SAR",(D$28*$B32),IF(D$27="kg/t DM",((D$28*($B$28/100))*$B32),IF(D$27="mg/kg SAR",((D$28*0.001)*$B32),IF(D$27="mg/kg DM",(((D$28*0.001)*($B$28/100))*$B32),"0")))))))*2.291</f>
        <v>21.649949999999997</v>
      </c>
      <c r="E32" s="68">
        <f t="shared" ref="E32:E50" si="8">(IF(E$27="%w/w SAR",((E$28*10)*$B32),IF(E$27="%w/w DM",(((E$28*10)*($B$28/100))*$B32),IF(E$27="kg/t SAR",(E$28*$B32),IF(E$27="kg/t DM",((E$28*($B$28/100))*$B32),IF(E$27="mg/kg SAR",((E$28*0.001)*$B32),IF(E$27="mg/kg DM",(((E$28*0.001)*($B$28/100))*$B32),"0")))))))*1.205</f>
        <v>2.56424E-4</v>
      </c>
      <c r="F32" s="68">
        <f t="shared" ref="F32:F50" si="9">(IF(F$27="%w/w SAR",((F$28*10)*$B32),IF(F$27="%w/w DM",(((F$28*10)*($B$28/100))*$B32),IF(F$27="kg/t SAR",(F$28*$B32),IF(F$27="kg/t DM",((F$28*($B$28/100))*$B32),IF(F$27="mg/kg SAR",((F$28*0.001)*$B32),IF(F$27="mg/kg DM",(((F$28*0.001)*($B$28/100))*$B32),"0")))))))*1.658</f>
        <v>4.770065999999999</v>
      </c>
      <c r="G32" s="68">
        <f t="shared" si="5"/>
        <v>0.29189999999999999</v>
      </c>
      <c r="H32" s="68">
        <f t="shared" si="5"/>
        <v>2.0579999999999994</v>
      </c>
      <c r="I32" s="68">
        <f t="shared" si="5"/>
        <v>4.3400000000000001E-2</v>
      </c>
      <c r="J32" s="68">
        <f t="shared" si="5"/>
        <v>1.3719999999999998E-2</v>
      </c>
      <c r="K32" s="68">
        <f t="shared" si="5"/>
        <v>0</v>
      </c>
      <c r="L32" s="68">
        <f t="shared" si="5"/>
        <v>7.9799999999999982E-2</v>
      </c>
      <c r="M32" s="68">
        <f t="shared" si="5"/>
        <v>3.2409999999999994E-2</v>
      </c>
      <c r="N32" s="68">
        <f t="shared" si="5"/>
        <v>1812.9999999999998</v>
      </c>
      <c r="O32" s="68">
        <f t="shared" si="5"/>
        <v>50.189999999999991</v>
      </c>
      <c r="P32" s="68">
        <f t="shared" si="5"/>
        <v>0</v>
      </c>
      <c r="Q32" s="68">
        <f t="shared" ref="Q32:Q50" si="10">(IF(Q$27="%w/w SAR",((Q$28*10)*$B32),IF(Q$27="%w/w DM",(((Q$28*10)*($B$28/100))*$B32),IF(Q$27="kg/t SAR",(Q$28*$B32),IF(Q$27="kg/t DM",((Q$28*($B$28/100))*$B32),IF(Q$27="mg/kg SAR",((Q$28*0.001)*$B32),IF(Q$27="mg/kg DM",(((Q$28*0.001)*($B$28/100))*$B32),0)))))))*2.5</f>
        <v>180.25</v>
      </c>
      <c r="R32" s="68">
        <f t="shared" ref="R32:U50" si="11">IF(R$27="%w/w SAR",((R$28*10)*$B32),IF(R$27="%w/w DM",(((R$28*10)*($B$28/100))*$B32),IF(R$27="kg/t SAR",(R$28*$B32),IF(R$27="kg/t DM",((R$28*($B$28/100))*$B32),IF(R$27="mg/kg SAR",((R$28*0.001)*$B32),IF(R$27="mg/kg DM",(((R$28*0.001)*($B$28/100))*$B32),0))))))</f>
        <v>0</v>
      </c>
      <c r="S32" s="68">
        <f t="shared" si="11"/>
        <v>0.16939999999999997</v>
      </c>
      <c r="T32" s="68">
        <f t="shared" si="11"/>
        <v>0</v>
      </c>
      <c r="U32" s="68">
        <f t="shared" si="11"/>
        <v>0</v>
      </c>
    </row>
    <row r="33" spans="1:21" s="51" customFormat="1" ht="13" x14ac:dyDescent="0.35">
      <c r="A33" s="10">
        <f>E8</f>
        <v>3</v>
      </c>
      <c r="B33" s="12">
        <v>250</v>
      </c>
      <c r="C33" s="68">
        <f t="shared" si="6"/>
        <v>76.3</v>
      </c>
      <c r="D33" s="68">
        <f t="shared" si="7"/>
        <v>21.649949999999997</v>
      </c>
      <c r="E33" s="68">
        <f t="shared" si="8"/>
        <v>2.56424E-4</v>
      </c>
      <c r="F33" s="68">
        <f t="shared" si="9"/>
        <v>4.770065999999999</v>
      </c>
      <c r="G33" s="68">
        <f t="shared" si="5"/>
        <v>0.29189999999999999</v>
      </c>
      <c r="H33" s="68">
        <f t="shared" si="5"/>
        <v>2.0579999999999994</v>
      </c>
      <c r="I33" s="68">
        <f t="shared" si="5"/>
        <v>4.3400000000000001E-2</v>
      </c>
      <c r="J33" s="68">
        <f t="shared" si="5"/>
        <v>1.3719999999999998E-2</v>
      </c>
      <c r="K33" s="68">
        <f t="shared" si="5"/>
        <v>0</v>
      </c>
      <c r="L33" s="68">
        <f t="shared" si="5"/>
        <v>7.9799999999999982E-2</v>
      </c>
      <c r="M33" s="68">
        <f t="shared" si="5"/>
        <v>3.2409999999999994E-2</v>
      </c>
      <c r="N33" s="68">
        <f t="shared" si="5"/>
        <v>1812.9999999999998</v>
      </c>
      <c r="O33" s="68">
        <f t="shared" si="5"/>
        <v>50.189999999999991</v>
      </c>
      <c r="P33" s="68">
        <f t="shared" si="5"/>
        <v>0</v>
      </c>
      <c r="Q33" s="68">
        <f t="shared" si="10"/>
        <v>180.25</v>
      </c>
      <c r="R33" s="68">
        <f t="shared" si="11"/>
        <v>0</v>
      </c>
      <c r="S33" s="68">
        <f t="shared" si="11"/>
        <v>0.16939999999999997</v>
      </c>
      <c r="T33" s="68">
        <f t="shared" si="11"/>
        <v>0</v>
      </c>
      <c r="U33" s="68">
        <f t="shared" si="11"/>
        <v>0</v>
      </c>
    </row>
    <row r="34" spans="1:21" s="51" customFormat="1" ht="13" x14ac:dyDescent="0.35">
      <c r="A34" s="10">
        <f>F8</f>
        <v>4</v>
      </c>
      <c r="B34" s="12">
        <v>250</v>
      </c>
      <c r="C34" s="68">
        <f t="shared" si="6"/>
        <v>76.3</v>
      </c>
      <c r="D34" s="68">
        <f t="shared" si="7"/>
        <v>21.649949999999997</v>
      </c>
      <c r="E34" s="68">
        <f t="shared" si="8"/>
        <v>2.56424E-4</v>
      </c>
      <c r="F34" s="68">
        <f t="shared" si="9"/>
        <v>4.770065999999999</v>
      </c>
      <c r="G34" s="68">
        <f t="shared" si="5"/>
        <v>0.29189999999999999</v>
      </c>
      <c r="H34" s="68">
        <f t="shared" si="5"/>
        <v>2.0579999999999994</v>
      </c>
      <c r="I34" s="68">
        <f t="shared" si="5"/>
        <v>4.3400000000000001E-2</v>
      </c>
      <c r="J34" s="68">
        <f t="shared" si="5"/>
        <v>1.3719999999999998E-2</v>
      </c>
      <c r="K34" s="68">
        <f t="shared" si="5"/>
        <v>0</v>
      </c>
      <c r="L34" s="68">
        <f t="shared" si="5"/>
        <v>7.9799999999999982E-2</v>
      </c>
      <c r="M34" s="68">
        <f t="shared" si="5"/>
        <v>3.2409999999999994E-2</v>
      </c>
      <c r="N34" s="68">
        <f t="shared" si="5"/>
        <v>1812.9999999999998</v>
      </c>
      <c r="O34" s="68">
        <f t="shared" si="5"/>
        <v>50.189999999999991</v>
      </c>
      <c r="P34" s="68">
        <f t="shared" si="5"/>
        <v>0</v>
      </c>
      <c r="Q34" s="68">
        <f t="shared" si="10"/>
        <v>180.25</v>
      </c>
      <c r="R34" s="68">
        <f t="shared" si="11"/>
        <v>0</v>
      </c>
      <c r="S34" s="68">
        <f t="shared" si="11"/>
        <v>0.16939999999999997</v>
      </c>
      <c r="T34" s="68">
        <f t="shared" si="11"/>
        <v>0</v>
      </c>
      <c r="U34" s="68">
        <f t="shared" si="11"/>
        <v>0</v>
      </c>
    </row>
    <row r="35" spans="1:21" s="51" customFormat="1" ht="13" x14ac:dyDescent="0.35">
      <c r="A35" s="10">
        <f>G8</f>
        <v>5</v>
      </c>
      <c r="B35" s="12">
        <v>250</v>
      </c>
      <c r="C35" s="68">
        <f t="shared" si="6"/>
        <v>76.3</v>
      </c>
      <c r="D35" s="68">
        <f t="shared" si="7"/>
        <v>21.649949999999997</v>
      </c>
      <c r="E35" s="68">
        <f t="shared" si="8"/>
        <v>2.56424E-4</v>
      </c>
      <c r="F35" s="68">
        <f t="shared" si="9"/>
        <v>4.770065999999999</v>
      </c>
      <c r="G35" s="68">
        <f t="shared" si="5"/>
        <v>0.29189999999999999</v>
      </c>
      <c r="H35" s="68">
        <f t="shared" si="5"/>
        <v>2.0579999999999994</v>
      </c>
      <c r="I35" s="68">
        <f t="shared" si="5"/>
        <v>4.3400000000000001E-2</v>
      </c>
      <c r="J35" s="68">
        <f t="shared" si="5"/>
        <v>1.3719999999999998E-2</v>
      </c>
      <c r="K35" s="68">
        <f t="shared" si="5"/>
        <v>0</v>
      </c>
      <c r="L35" s="68">
        <f t="shared" si="5"/>
        <v>7.9799999999999982E-2</v>
      </c>
      <c r="M35" s="68">
        <f t="shared" si="5"/>
        <v>3.2409999999999994E-2</v>
      </c>
      <c r="N35" s="68">
        <f t="shared" si="5"/>
        <v>1812.9999999999998</v>
      </c>
      <c r="O35" s="68">
        <f t="shared" si="5"/>
        <v>50.189999999999991</v>
      </c>
      <c r="P35" s="68">
        <f t="shared" si="5"/>
        <v>0</v>
      </c>
      <c r="Q35" s="68">
        <f t="shared" si="10"/>
        <v>180.25</v>
      </c>
      <c r="R35" s="68">
        <f t="shared" si="11"/>
        <v>0</v>
      </c>
      <c r="S35" s="68">
        <f t="shared" si="11"/>
        <v>0.16939999999999997</v>
      </c>
      <c r="T35" s="68">
        <f t="shared" si="11"/>
        <v>0</v>
      </c>
      <c r="U35" s="68">
        <f t="shared" si="11"/>
        <v>0</v>
      </c>
    </row>
    <row r="36" spans="1:21" s="51" customFormat="1" ht="13" x14ac:dyDescent="0.35">
      <c r="A36" s="10">
        <f>H8</f>
        <v>6</v>
      </c>
      <c r="B36" s="12">
        <v>250</v>
      </c>
      <c r="C36" s="68">
        <f t="shared" si="6"/>
        <v>76.3</v>
      </c>
      <c r="D36" s="68">
        <f t="shared" si="7"/>
        <v>21.649949999999997</v>
      </c>
      <c r="E36" s="68">
        <f t="shared" si="8"/>
        <v>2.56424E-4</v>
      </c>
      <c r="F36" s="68">
        <f t="shared" si="9"/>
        <v>4.770065999999999</v>
      </c>
      <c r="G36" s="68">
        <f t="shared" si="5"/>
        <v>0.29189999999999999</v>
      </c>
      <c r="H36" s="68">
        <f t="shared" si="5"/>
        <v>2.0579999999999994</v>
      </c>
      <c r="I36" s="68">
        <f t="shared" si="5"/>
        <v>4.3400000000000001E-2</v>
      </c>
      <c r="J36" s="68">
        <f t="shared" si="5"/>
        <v>1.3719999999999998E-2</v>
      </c>
      <c r="K36" s="68">
        <f t="shared" si="5"/>
        <v>0</v>
      </c>
      <c r="L36" s="68">
        <f t="shared" si="5"/>
        <v>7.9799999999999982E-2</v>
      </c>
      <c r="M36" s="68">
        <f t="shared" si="5"/>
        <v>3.2409999999999994E-2</v>
      </c>
      <c r="N36" s="68">
        <f t="shared" si="5"/>
        <v>1812.9999999999998</v>
      </c>
      <c r="O36" s="68">
        <f t="shared" si="5"/>
        <v>50.189999999999991</v>
      </c>
      <c r="P36" s="68">
        <f t="shared" si="5"/>
        <v>0</v>
      </c>
      <c r="Q36" s="68">
        <f t="shared" si="10"/>
        <v>180.25</v>
      </c>
      <c r="R36" s="68">
        <f t="shared" si="11"/>
        <v>0</v>
      </c>
      <c r="S36" s="68">
        <f t="shared" si="11"/>
        <v>0.16939999999999997</v>
      </c>
      <c r="T36" s="68">
        <f t="shared" si="11"/>
        <v>0</v>
      </c>
      <c r="U36" s="68">
        <f t="shared" si="11"/>
        <v>0</v>
      </c>
    </row>
    <row r="37" spans="1:21" s="51" customFormat="1" ht="13" x14ac:dyDescent="0.35">
      <c r="A37" s="10">
        <f>I8</f>
        <v>7</v>
      </c>
      <c r="B37" s="12">
        <v>250</v>
      </c>
      <c r="C37" s="68">
        <f t="shared" si="6"/>
        <v>76.3</v>
      </c>
      <c r="D37" s="68">
        <f t="shared" si="7"/>
        <v>21.649949999999997</v>
      </c>
      <c r="E37" s="68">
        <f t="shared" si="8"/>
        <v>2.56424E-4</v>
      </c>
      <c r="F37" s="68">
        <f t="shared" si="9"/>
        <v>4.770065999999999</v>
      </c>
      <c r="G37" s="68">
        <f t="shared" si="5"/>
        <v>0.29189999999999999</v>
      </c>
      <c r="H37" s="68">
        <f t="shared" si="5"/>
        <v>2.0579999999999994</v>
      </c>
      <c r="I37" s="68">
        <f t="shared" si="5"/>
        <v>4.3400000000000001E-2</v>
      </c>
      <c r="J37" s="68">
        <f t="shared" si="5"/>
        <v>1.3719999999999998E-2</v>
      </c>
      <c r="K37" s="68">
        <f t="shared" si="5"/>
        <v>0</v>
      </c>
      <c r="L37" s="68">
        <f t="shared" si="5"/>
        <v>7.9799999999999982E-2</v>
      </c>
      <c r="M37" s="68">
        <f t="shared" si="5"/>
        <v>3.2409999999999994E-2</v>
      </c>
      <c r="N37" s="68">
        <f t="shared" si="5"/>
        <v>1812.9999999999998</v>
      </c>
      <c r="O37" s="68">
        <f t="shared" si="5"/>
        <v>50.189999999999991</v>
      </c>
      <c r="P37" s="68">
        <f t="shared" si="5"/>
        <v>0</v>
      </c>
      <c r="Q37" s="68">
        <f t="shared" si="10"/>
        <v>180.25</v>
      </c>
      <c r="R37" s="68">
        <f t="shared" si="11"/>
        <v>0</v>
      </c>
      <c r="S37" s="68">
        <f t="shared" si="11"/>
        <v>0.16939999999999997</v>
      </c>
      <c r="T37" s="68">
        <f t="shared" si="11"/>
        <v>0</v>
      </c>
      <c r="U37" s="68">
        <f t="shared" si="11"/>
        <v>0</v>
      </c>
    </row>
    <row r="38" spans="1:21" s="51" customFormat="1" ht="13" x14ac:dyDescent="0.35">
      <c r="A38" s="10">
        <f>J8</f>
        <v>8</v>
      </c>
      <c r="B38" s="12">
        <v>250</v>
      </c>
      <c r="C38" s="68">
        <f t="shared" si="6"/>
        <v>76.3</v>
      </c>
      <c r="D38" s="68">
        <f t="shared" si="7"/>
        <v>21.649949999999997</v>
      </c>
      <c r="E38" s="68">
        <f t="shared" si="8"/>
        <v>2.56424E-4</v>
      </c>
      <c r="F38" s="68">
        <f t="shared" si="9"/>
        <v>4.770065999999999</v>
      </c>
      <c r="G38" s="68">
        <f t="shared" si="5"/>
        <v>0.29189999999999999</v>
      </c>
      <c r="H38" s="68">
        <f t="shared" si="5"/>
        <v>2.0579999999999994</v>
      </c>
      <c r="I38" s="68">
        <f t="shared" si="5"/>
        <v>4.3400000000000001E-2</v>
      </c>
      <c r="J38" s="68">
        <f t="shared" si="5"/>
        <v>1.3719999999999998E-2</v>
      </c>
      <c r="K38" s="68">
        <f t="shared" si="5"/>
        <v>0</v>
      </c>
      <c r="L38" s="68">
        <f t="shared" si="5"/>
        <v>7.9799999999999982E-2</v>
      </c>
      <c r="M38" s="68">
        <f t="shared" si="5"/>
        <v>3.2409999999999994E-2</v>
      </c>
      <c r="N38" s="68">
        <f t="shared" si="5"/>
        <v>1812.9999999999998</v>
      </c>
      <c r="O38" s="68">
        <f t="shared" si="5"/>
        <v>50.189999999999991</v>
      </c>
      <c r="P38" s="68">
        <f t="shared" si="5"/>
        <v>0</v>
      </c>
      <c r="Q38" s="68">
        <f t="shared" si="10"/>
        <v>180.25</v>
      </c>
      <c r="R38" s="68">
        <f t="shared" si="11"/>
        <v>0</v>
      </c>
      <c r="S38" s="68">
        <f t="shared" si="11"/>
        <v>0.16939999999999997</v>
      </c>
      <c r="T38" s="68">
        <f t="shared" si="11"/>
        <v>0</v>
      </c>
      <c r="U38" s="68">
        <f t="shared" si="11"/>
        <v>0</v>
      </c>
    </row>
    <row r="39" spans="1:21" s="51" customFormat="1" ht="13" x14ac:dyDescent="0.35">
      <c r="A39" s="10">
        <f>K8</f>
        <v>9</v>
      </c>
      <c r="B39" s="12">
        <v>250</v>
      </c>
      <c r="C39" s="68">
        <f t="shared" si="6"/>
        <v>76.3</v>
      </c>
      <c r="D39" s="68">
        <f t="shared" si="7"/>
        <v>21.649949999999997</v>
      </c>
      <c r="E39" s="68">
        <f t="shared" si="8"/>
        <v>2.56424E-4</v>
      </c>
      <c r="F39" s="68">
        <f t="shared" si="9"/>
        <v>4.770065999999999</v>
      </c>
      <c r="G39" s="68">
        <f t="shared" si="5"/>
        <v>0.29189999999999999</v>
      </c>
      <c r="H39" s="68">
        <f t="shared" si="5"/>
        <v>2.0579999999999994</v>
      </c>
      <c r="I39" s="68">
        <f t="shared" si="5"/>
        <v>4.3400000000000001E-2</v>
      </c>
      <c r="J39" s="68">
        <f t="shared" si="5"/>
        <v>1.3719999999999998E-2</v>
      </c>
      <c r="K39" s="68">
        <f t="shared" si="5"/>
        <v>0</v>
      </c>
      <c r="L39" s="68">
        <f t="shared" si="5"/>
        <v>7.9799999999999982E-2</v>
      </c>
      <c r="M39" s="68">
        <f t="shared" si="5"/>
        <v>3.2409999999999994E-2</v>
      </c>
      <c r="N39" s="68">
        <f t="shared" si="5"/>
        <v>1812.9999999999998</v>
      </c>
      <c r="O39" s="68">
        <f t="shared" si="5"/>
        <v>50.189999999999991</v>
      </c>
      <c r="P39" s="68">
        <f t="shared" si="5"/>
        <v>0</v>
      </c>
      <c r="Q39" s="68">
        <f t="shared" si="10"/>
        <v>180.25</v>
      </c>
      <c r="R39" s="68">
        <f t="shared" si="11"/>
        <v>0</v>
      </c>
      <c r="S39" s="68">
        <f t="shared" si="11"/>
        <v>0.16939999999999997</v>
      </c>
      <c r="T39" s="68">
        <f t="shared" si="11"/>
        <v>0</v>
      </c>
      <c r="U39" s="68">
        <f t="shared" si="11"/>
        <v>0</v>
      </c>
    </row>
    <row r="40" spans="1:21" s="51" customFormat="1" ht="13" x14ac:dyDescent="0.35">
      <c r="A40" s="10">
        <f>L8</f>
        <v>10</v>
      </c>
      <c r="B40" s="12">
        <v>250</v>
      </c>
      <c r="C40" s="68">
        <f t="shared" si="6"/>
        <v>76.3</v>
      </c>
      <c r="D40" s="68">
        <f t="shared" si="7"/>
        <v>21.649949999999997</v>
      </c>
      <c r="E40" s="68">
        <f t="shared" si="8"/>
        <v>2.56424E-4</v>
      </c>
      <c r="F40" s="68">
        <f t="shared" si="9"/>
        <v>4.770065999999999</v>
      </c>
      <c r="G40" s="68">
        <f t="shared" si="5"/>
        <v>0.29189999999999999</v>
      </c>
      <c r="H40" s="68">
        <f t="shared" si="5"/>
        <v>2.0579999999999994</v>
      </c>
      <c r="I40" s="68">
        <f t="shared" si="5"/>
        <v>4.3400000000000001E-2</v>
      </c>
      <c r="J40" s="68">
        <f t="shared" si="5"/>
        <v>1.3719999999999998E-2</v>
      </c>
      <c r="K40" s="68">
        <f t="shared" si="5"/>
        <v>0</v>
      </c>
      <c r="L40" s="68">
        <f t="shared" si="5"/>
        <v>7.9799999999999982E-2</v>
      </c>
      <c r="M40" s="68">
        <f t="shared" si="5"/>
        <v>3.2409999999999994E-2</v>
      </c>
      <c r="N40" s="68">
        <f t="shared" si="5"/>
        <v>1812.9999999999998</v>
      </c>
      <c r="O40" s="68">
        <f t="shared" si="5"/>
        <v>50.189999999999991</v>
      </c>
      <c r="P40" s="68">
        <f t="shared" si="5"/>
        <v>0</v>
      </c>
      <c r="Q40" s="68">
        <f t="shared" si="10"/>
        <v>180.25</v>
      </c>
      <c r="R40" s="68">
        <f t="shared" si="11"/>
        <v>0</v>
      </c>
      <c r="S40" s="68">
        <f t="shared" si="11"/>
        <v>0.16939999999999997</v>
      </c>
      <c r="T40" s="68">
        <f t="shared" si="11"/>
        <v>0</v>
      </c>
      <c r="U40" s="68">
        <f t="shared" si="11"/>
        <v>0</v>
      </c>
    </row>
    <row r="41" spans="1:21" s="51" customFormat="1" ht="13" x14ac:dyDescent="0.35">
      <c r="A41" s="10">
        <f>M8</f>
        <v>11</v>
      </c>
      <c r="B41" s="12">
        <v>250</v>
      </c>
      <c r="C41" s="68">
        <f t="shared" si="6"/>
        <v>76.3</v>
      </c>
      <c r="D41" s="68">
        <f t="shared" si="7"/>
        <v>21.649949999999997</v>
      </c>
      <c r="E41" s="68">
        <f t="shared" si="8"/>
        <v>2.56424E-4</v>
      </c>
      <c r="F41" s="68">
        <f t="shared" si="9"/>
        <v>4.770065999999999</v>
      </c>
      <c r="G41" s="68">
        <f t="shared" si="5"/>
        <v>0.29189999999999999</v>
      </c>
      <c r="H41" s="68">
        <f t="shared" si="5"/>
        <v>2.0579999999999994</v>
      </c>
      <c r="I41" s="68">
        <f t="shared" si="5"/>
        <v>4.3400000000000001E-2</v>
      </c>
      <c r="J41" s="68">
        <f t="shared" si="5"/>
        <v>1.3719999999999998E-2</v>
      </c>
      <c r="K41" s="68">
        <f t="shared" si="5"/>
        <v>0</v>
      </c>
      <c r="L41" s="68">
        <f t="shared" si="5"/>
        <v>7.9799999999999982E-2</v>
      </c>
      <c r="M41" s="68">
        <f t="shared" si="5"/>
        <v>3.2409999999999994E-2</v>
      </c>
      <c r="N41" s="68">
        <f t="shared" si="5"/>
        <v>1812.9999999999998</v>
      </c>
      <c r="O41" s="68">
        <f t="shared" si="5"/>
        <v>50.189999999999991</v>
      </c>
      <c r="P41" s="68">
        <f t="shared" si="5"/>
        <v>0</v>
      </c>
      <c r="Q41" s="68">
        <f t="shared" si="10"/>
        <v>180.25</v>
      </c>
      <c r="R41" s="68">
        <f t="shared" si="11"/>
        <v>0</v>
      </c>
      <c r="S41" s="68">
        <f t="shared" si="11"/>
        <v>0.16939999999999997</v>
      </c>
      <c r="T41" s="68">
        <f t="shared" si="11"/>
        <v>0</v>
      </c>
      <c r="U41" s="68">
        <f t="shared" si="11"/>
        <v>0</v>
      </c>
    </row>
    <row r="42" spans="1:21" s="51" customFormat="1" ht="13" x14ac:dyDescent="0.35">
      <c r="A42" s="10">
        <f>N8</f>
        <v>12</v>
      </c>
      <c r="B42" s="12">
        <v>250</v>
      </c>
      <c r="C42" s="68">
        <f t="shared" si="6"/>
        <v>76.3</v>
      </c>
      <c r="D42" s="68">
        <f t="shared" si="7"/>
        <v>21.649949999999997</v>
      </c>
      <c r="E42" s="68">
        <f t="shared" si="8"/>
        <v>2.56424E-4</v>
      </c>
      <c r="F42" s="68">
        <f t="shared" si="9"/>
        <v>4.770065999999999</v>
      </c>
      <c r="G42" s="68">
        <f t="shared" si="5"/>
        <v>0.29189999999999999</v>
      </c>
      <c r="H42" s="68">
        <f t="shared" si="5"/>
        <v>2.0579999999999994</v>
      </c>
      <c r="I42" s="68">
        <f t="shared" si="5"/>
        <v>4.3400000000000001E-2</v>
      </c>
      <c r="J42" s="68">
        <f t="shared" si="5"/>
        <v>1.3719999999999998E-2</v>
      </c>
      <c r="K42" s="68">
        <f t="shared" si="5"/>
        <v>0</v>
      </c>
      <c r="L42" s="68">
        <f t="shared" si="5"/>
        <v>7.9799999999999982E-2</v>
      </c>
      <c r="M42" s="68">
        <f t="shared" si="5"/>
        <v>3.2409999999999994E-2</v>
      </c>
      <c r="N42" s="68">
        <f t="shared" si="5"/>
        <v>1812.9999999999998</v>
      </c>
      <c r="O42" s="68">
        <f t="shared" si="5"/>
        <v>50.189999999999991</v>
      </c>
      <c r="P42" s="68">
        <f t="shared" si="5"/>
        <v>0</v>
      </c>
      <c r="Q42" s="68">
        <f t="shared" si="10"/>
        <v>180.25</v>
      </c>
      <c r="R42" s="68">
        <f t="shared" si="11"/>
        <v>0</v>
      </c>
      <c r="S42" s="68">
        <f t="shared" si="11"/>
        <v>0.16939999999999997</v>
      </c>
      <c r="T42" s="68">
        <f t="shared" si="11"/>
        <v>0</v>
      </c>
      <c r="U42" s="68">
        <f t="shared" si="11"/>
        <v>0</v>
      </c>
    </row>
    <row r="43" spans="1:21" s="51" customFormat="1" ht="13" x14ac:dyDescent="0.35">
      <c r="A43" s="10">
        <f>O8</f>
        <v>13</v>
      </c>
      <c r="B43" s="12">
        <v>250</v>
      </c>
      <c r="C43" s="68">
        <f t="shared" si="6"/>
        <v>76.3</v>
      </c>
      <c r="D43" s="68">
        <f t="shared" si="7"/>
        <v>21.649949999999997</v>
      </c>
      <c r="E43" s="68">
        <f t="shared" si="8"/>
        <v>2.56424E-4</v>
      </c>
      <c r="F43" s="68">
        <f t="shared" si="9"/>
        <v>4.770065999999999</v>
      </c>
      <c r="G43" s="68">
        <f t="shared" si="5"/>
        <v>0.29189999999999999</v>
      </c>
      <c r="H43" s="68">
        <f t="shared" si="5"/>
        <v>2.0579999999999994</v>
      </c>
      <c r="I43" s="68">
        <f t="shared" si="5"/>
        <v>4.3400000000000001E-2</v>
      </c>
      <c r="J43" s="68">
        <f t="shared" si="5"/>
        <v>1.3719999999999998E-2</v>
      </c>
      <c r="K43" s="68">
        <f t="shared" si="5"/>
        <v>0</v>
      </c>
      <c r="L43" s="68">
        <f t="shared" si="5"/>
        <v>7.9799999999999982E-2</v>
      </c>
      <c r="M43" s="68">
        <f t="shared" si="5"/>
        <v>3.2409999999999994E-2</v>
      </c>
      <c r="N43" s="68">
        <f t="shared" si="5"/>
        <v>1812.9999999999998</v>
      </c>
      <c r="O43" s="68">
        <f t="shared" si="5"/>
        <v>50.189999999999991</v>
      </c>
      <c r="P43" s="68">
        <f t="shared" si="5"/>
        <v>0</v>
      </c>
      <c r="Q43" s="68">
        <f t="shared" si="10"/>
        <v>180.25</v>
      </c>
      <c r="R43" s="68">
        <f t="shared" si="11"/>
        <v>0</v>
      </c>
      <c r="S43" s="68">
        <f t="shared" si="11"/>
        <v>0.16939999999999997</v>
      </c>
      <c r="T43" s="68">
        <f t="shared" si="11"/>
        <v>0</v>
      </c>
      <c r="U43" s="68">
        <f t="shared" si="11"/>
        <v>0</v>
      </c>
    </row>
    <row r="44" spans="1:21" s="51" customFormat="1" ht="13" x14ac:dyDescent="0.35">
      <c r="A44" s="10">
        <f>P8</f>
        <v>15</v>
      </c>
      <c r="B44" s="12">
        <v>250</v>
      </c>
      <c r="C44" s="68">
        <f t="shared" si="6"/>
        <v>76.3</v>
      </c>
      <c r="D44" s="68">
        <f t="shared" si="7"/>
        <v>21.649949999999997</v>
      </c>
      <c r="E44" s="68">
        <f t="shared" si="8"/>
        <v>2.56424E-4</v>
      </c>
      <c r="F44" s="68">
        <f t="shared" si="9"/>
        <v>4.770065999999999</v>
      </c>
      <c r="G44" s="68">
        <f t="shared" si="5"/>
        <v>0.29189999999999999</v>
      </c>
      <c r="H44" s="68">
        <f t="shared" si="5"/>
        <v>2.0579999999999994</v>
      </c>
      <c r="I44" s="68">
        <f t="shared" si="5"/>
        <v>4.3400000000000001E-2</v>
      </c>
      <c r="J44" s="68">
        <f t="shared" si="5"/>
        <v>1.3719999999999998E-2</v>
      </c>
      <c r="K44" s="68">
        <f t="shared" si="5"/>
        <v>0</v>
      </c>
      <c r="L44" s="68">
        <f t="shared" si="5"/>
        <v>7.9799999999999982E-2</v>
      </c>
      <c r="M44" s="68">
        <f t="shared" si="5"/>
        <v>3.2409999999999994E-2</v>
      </c>
      <c r="N44" s="68">
        <f t="shared" si="5"/>
        <v>1812.9999999999998</v>
      </c>
      <c r="O44" s="68">
        <f t="shared" si="5"/>
        <v>50.189999999999991</v>
      </c>
      <c r="P44" s="68">
        <f t="shared" si="5"/>
        <v>0</v>
      </c>
      <c r="Q44" s="68">
        <f t="shared" si="10"/>
        <v>180.25</v>
      </c>
      <c r="R44" s="68">
        <f t="shared" si="11"/>
        <v>0</v>
      </c>
      <c r="S44" s="68">
        <f t="shared" si="11"/>
        <v>0.16939999999999997</v>
      </c>
      <c r="T44" s="68">
        <f t="shared" si="11"/>
        <v>0</v>
      </c>
      <c r="U44" s="68">
        <f t="shared" si="11"/>
        <v>0</v>
      </c>
    </row>
    <row r="45" spans="1:21" s="51" customFormat="1" ht="13" x14ac:dyDescent="0.35">
      <c r="A45" s="10">
        <f>Q8</f>
        <v>16</v>
      </c>
      <c r="B45" s="12">
        <v>250</v>
      </c>
      <c r="C45" s="68">
        <f t="shared" si="6"/>
        <v>76.3</v>
      </c>
      <c r="D45" s="68">
        <f t="shared" si="7"/>
        <v>21.649949999999997</v>
      </c>
      <c r="E45" s="68">
        <f t="shared" si="8"/>
        <v>2.56424E-4</v>
      </c>
      <c r="F45" s="68">
        <f t="shared" si="9"/>
        <v>4.770065999999999</v>
      </c>
      <c r="G45" s="68">
        <f t="shared" si="5"/>
        <v>0.29189999999999999</v>
      </c>
      <c r="H45" s="68">
        <f t="shared" si="5"/>
        <v>2.0579999999999994</v>
      </c>
      <c r="I45" s="68">
        <f t="shared" si="5"/>
        <v>4.3400000000000001E-2</v>
      </c>
      <c r="J45" s="68">
        <f t="shared" si="5"/>
        <v>1.3719999999999998E-2</v>
      </c>
      <c r="K45" s="68">
        <f t="shared" si="5"/>
        <v>0</v>
      </c>
      <c r="L45" s="68">
        <f t="shared" si="5"/>
        <v>7.9799999999999982E-2</v>
      </c>
      <c r="M45" s="68">
        <f t="shared" si="5"/>
        <v>3.2409999999999994E-2</v>
      </c>
      <c r="N45" s="68">
        <f t="shared" si="5"/>
        <v>1812.9999999999998</v>
      </c>
      <c r="O45" s="68">
        <f t="shared" si="5"/>
        <v>50.189999999999991</v>
      </c>
      <c r="P45" s="68">
        <f t="shared" si="5"/>
        <v>0</v>
      </c>
      <c r="Q45" s="68">
        <f t="shared" si="10"/>
        <v>180.25</v>
      </c>
      <c r="R45" s="68">
        <f t="shared" si="11"/>
        <v>0</v>
      </c>
      <c r="S45" s="68">
        <f t="shared" si="11"/>
        <v>0.16939999999999997</v>
      </c>
      <c r="T45" s="68">
        <f t="shared" si="11"/>
        <v>0</v>
      </c>
      <c r="U45" s="68">
        <f t="shared" si="11"/>
        <v>0</v>
      </c>
    </row>
    <row r="46" spans="1:21" s="51" customFormat="1" ht="13" x14ac:dyDescent="0.35">
      <c r="A46" s="10">
        <f>R8</f>
        <v>21</v>
      </c>
      <c r="B46" s="12">
        <v>250</v>
      </c>
      <c r="C46" s="68">
        <f t="shared" si="6"/>
        <v>76.3</v>
      </c>
      <c r="D46" s="68">
        <f t="shared" si="7"/>
        <v>21.649949999999997</v>
      </c>
      <c r="E46" s="68">
        <f t="shared" si="8"/>
        <v>2.56424E-4</v>
      </c>
      <c r="F46" s="68">
        <f t="shared" si="9"/>
        <v>4.770065999999999</v>
      </c>
      <c r="G46" s="68">
        <f t="shared" si="5"/>
        <v>0.29189999999999999</v>
      </c>
      <c r="H46" s="68">
        <f t="shared" si="5"/>
        <v>2.0579999999999994</v>
      </c>
      <c r="I46" s="68">
        <f t="shared" si="5"/>
        <v>4.3400000000000001E-2</v>
      </c>
      <c r="J46" s="68">
        <f t="shared" si="5"/>
        <v>1.3719999999999998E-2</v>
      </c>
      <c r="K46" s="68">
        <f t="shared" si="5"/>
        <v>0</v>
      </c>
      <c r="L46" s="68">
        <f t="shared" si="5"/>
        <v>7.9799999999999982E-2</v>
      </c>
      <c r="M46" s="68">
        <f t="shared" si="5"/>
        <v>3.2409999999999994E-2</v>
      </c>
      <c r="N46" s="68">
        <f t="shared" si="5"/>
        <v>1812.9999999999998</v>
      </c>
      <c r="O46" s="68">
        <f t="shared" si="5"/>
        <v>50.189999999999991</v>
      </c>
      <c r="P46" s="68">
        <f t="shared" si="5"/>
        <v>0</v>
      </c>
      <c r="Q46" s="68">
        <f t="shared" si="10"/>
        <v>180.25</v>
      </c>
      <c r="R46" s="68">
        <f t="shared" si="11"/>
        <v>0</v>
      </c>
      <c r="S46" s="68">
        <f t="shared" si="11"/>
        <v>0.16939999999999997</v>
      </c>
      <c r="T46" s="68">
        <f t="shared" si="11"/>
        <v>0</v>
      </c>
      <c r="U46" s="68">
        <f t="shared" si="11"/>
        <v>0</v>
      </c>
    </row>
    <row r="47" spans="1:21" s="51" customFormat="1" ht="13" x14ac:dyDescent="0.35">
      <c r="A47" s="10">
        <f>S8</f>
        <v>22</v>
      </c>
      <c r="B47" s="12">
        <v>250</v>
      </c>
      <c r="C47" s="68">
        <f t="shared" si="6"/>
        <v>76.3</v>
      </c>
      <c r="D47" s="68">
        <f t="shared" si="7"/>
        <v>21.649949999999997</v>
      </c>
      <c r="E47" s="68">
        <f t="shared" si="8"/>
        <v>2.56424E-4</v>
      </c>
      <c r="F47" s="68">
        <f t="shared" si="9"/>
        <v>4.770065999999999</v>
      </c>
      <c r="G47" s="68">
        <f t="shared" ref="G47:P50" si="12">IF(G$27="%w/w SAR",((G$28*10)*$B47),IF(G$27="%w/w DM",(((G$28*10)*($B$28/100))*$B47),IF(G$27="kg/t SAR",(G$28*$B47),IF(G$27="kg/t DM",((G$28*($B$28/100))*$B47),IF(G$27="mg/kg SAR",((G$28*0.001)*$B47),IF(G$27="mg/kg DM",(((G$28*0.001)*($B$28/100))*$B47),0))))))</f>
        <v>0.29189999999999999</v>
      </c>
      <c r="H47" s="68">
        <f t="shared" si="12"/>
        <v>2.0579999999999994</v>
      </c>
      <c r="I47" s="68">
        <f t="shared" si="12"/>
        <v>4.3400000000000001E-2</v>
      </c>
      <c r="J47" s="68">
        <f t="shared" si="12"/>
        <v>1.3719999999999998E-2</v>
      </c>
      <c r="K47" s="68">
        <f t="shared" si="12"/>
        <v>0</v>
      </c>
      <c r="L47" s="68">
        <f t="shared" si="12"/>
        <v>7.9799999999999982E-2</v>
      </c>
      <c r="M47" s="68">
        <f t="shared" si="12"/>
        <v>3.2409999999999994E-2</v>
      </c>
      <c r="N47" s="68">
        <f t="shared" si="12"/>
        <v>1812.9999999999998</v>
      </c>
      <c r="O47" s="68">
        <f t="shared" si="12"/>
        <v>50.189999999999991</v>
      </c>
      <c r="P47" s="68">
        <f t="shared" si="12"/>
        <v>0</v>
      </c>
      <c r="Q47" s="68">
        <f t="shared" si="10"/>
        <v>180.25</v>
      </c>
      <c r="R47" s="68">
        <f t="shared" si="11"/>
        <v>0</v>
      </c>
      <c r="S47" s="68">
        <f t="shared" si="11"/>
        <v>0.16939999999999997</v>
      </c>
      <c r="T47" s="68">
        <f t="shared" si="11"/>
        <v>0</v>
      </c>
      <c r="U47" s="68">
        <f t="shared" si="11"/>
        <v>0</v>
      </c>
    </row>
    <row r="48" spans="1:21" s="51" customFormat="1" ht="13" x14ac:dyDescent="0.35">
      <c r="A48" s="10">
        <f>T8</f>
        <v>23</v>
      </c>
      <c r="B48" s="12">
        <v>250</v>
      </c>
      <c r="C48" s="68">
        <f t="shared" si="6"/>
        <v>76.3</v>
      </c>
      <c r="D48" s="68">
        <f t="shared" si="7"/>
        <v>21.649949999999997</v>
      </c>
      <c r="E48" s="68">
        <f t="shared" si="8"/>
        <v>2.56424E-4</v>
      </c>
      <c r="F48" s="68">
        <f t="shared" si="9"/>
        <v>4.770065999999999</v>
      </c>
      <c r="G48" s="68">
        <f t="shared" si="12"/>
        <v>0.29189999999999999</v>
      </c>
      <c r="H48" s="68">
        <f t="shared" si="12"/>
        <v>2.0579999999999994</v>
      </c>
      <c r="I48" s="68">
        <f t="shared" si="12"/>
        <v>4.3400000000000001E-2</v>
      </c>
      <c r="J48" s="68">
        <f t="shared" si="12"/>
        <v>1.3719999999999998E-2</v>
      </c>
      <c r="K48" s="68">
        <f t="shared" si="12"/>
        <v>0</v>
      </c>
      <c r="L48" s="68">
        <f t="shared" si="12"/>
        <v>7.9799999999999982E-2</v>
      </c>
      <c r="M48" s="68">
        <f t="shared" si="12"/>
        <v>3.2409999999999994E-2</v>
      </c>
      <c r="N48" s="68">
        <f t="shared" si="12"/>
        <v>1812.9999999999998</v>
      </c>
      <c r="O48" s="68">
        <f t="shared" si="12"/>
        <v>50.189999999999991</v>
      </c>
      <c r="P48" s="68">
        <f t="shared" si="12"/>
        <v>0</v>
      </c>
      <c r="Q48" s="68">
        <f t="shared" si="10"/>
        <v>180.25</v>
      </c>
      <c r="R48" s="68">
        <f t="shared" si="11"/>
        <v>0</v>
      </c>
      <c r="S48" s="68">
        <f t="shared" si="11"/>
        <v>0.16939999999999997</v>
      </c>
      <c r="T48" s="68">
        <f t="shared" si="11"/>
        <v>0</v>
      </c>
      <c r="U48" s="68">
        <f t="shared" si="11"/>
        <v>0</v>
      </c>
    </row>
    <row r="49" spans="1:21" s="51" customFormat="1" ht="13" x14ac:dyDescent="0.35">
      <c r="A49" s="10">
        <f>U8</f>
        <v>7078</v>
      </c>
      <c r="B49" s="12">
        <v>250</v>
      </c>
      <c r="C49" s="68">
        <f t="shared" si="6"/>
        <v>76.3</v>
      </c>
      <c r="D49" s="68">
        <f t="shared" si="7"/>
        <v>21.649949999999997</v>
      </c>
      <c r="E49" s="68">
        <f t="shared" si="8"/>
        <v>2.56424E-4</v>
      </c>
      <c r="F49" s="68">
        <f t="shared" si="9"/>
        <v>4.770065999999999</v>
      </c>
      <c r="G49" s="68">
        <f t="shared" si="12"/>
        <v>0.29189999999999999</v>
      </c>
      <c r="H49" s="68">
        <f t="shared" si="12"/>
        <v>2.0579999999999994</v>
      </c>
      <c r="I49" s="68">
        <f t="shared" si="12"/>
        <v>4.3400000000000001E-2</v>
      </c>
      <c r="J49" s="68">
        <f t="shared" si="12"/>
        <v>1.3719999999999998E-2</v>
      </c>
      <c r="K49" s="68">
        <f t="shared" si="12"/>
        <v>0</v>
      </c>
      <c r="L49" s="68">
        <f t="shared" si="12"/>
        <v>7.9799999999999982E-2</v>
      </c>
      <c r="M49" s="68">
        <f t="shared" si="12"/>
        <v>3.2409999999999994E-2</v>
      </c>
      <c r="N49" s="68">
        <f t="shared" si="12"/>
        <v>1812.9999999999998</v>
      </c>
      <c r="O49" s="68">
        <f t="shared" si="12"/>
        <v>50.189999999999991</v>
      </c>
      <c r="P49" s="68">
        <f t="shared" si="12"/>
        <v>0</v>
      </c>
      <c r="Q49" s="68">
        <f t="shared" si="10"/>
        <v>180.25</v>
      </c>
      <c r="R49" s="68">
        <f t="shared" si="11"/>
        <v>0</v>
      </c>
      <c r="S49" s="68">
        <f t="shared" si="11"/>
        <v>0.16939999999999997</v>
      </c>
      <c r="T49" s="68">
        <f t="shared" si="11"/>
        <v>0</v>
      </c>
      <c r="U49" s="68">
        <f t="shared" si="11"/>
        <v>0</v>
      </c>
    </row>
    <row r="50" spans="1:21" s="51" customFormat="1" ht="13.5" thickBot="1" x14ac:dyDescent="0.4">
      <c r="A50" s="11">
        <f>V8</f>
        <v>7058</v>
      </c>
      <c r="B50" s="12">
        <v>250</v>
      </c>
      <c r="C50" s="87">
        <f t="shared" si="6"/>
        <v>76.3</v>
      </c>
      <c r="D50" s="87">
        <f t="shared" si="7"/>
        <v>21.649949999999997</v>
      </c>
      <c r="E50" s="87">
        <f t="shared" si="8"/>
        <v>2.56424E-4</v>
      </c>
      <c r="F50" s="87">
        <f t="shared" si="9"/>
        <v>4.770065999999999</v>
      </c>
      <c r="G50" s="87">
        <f t="shared" si="12"/>
        <v>0.29189999999999999</v>
      </c>
      <c r="H50" s="87">
        <f t="shared" si="12"/>
        <v>2.0579999999999994</v>
      </c>
      <c r="I50" s="87">
        <f t="shared" si="12"/>
        <v>4.3400000000000001E-2</v>
      </c>
      <c r="J50" s="87">
        <f t="shared" si="12"/>
        <v>1.3719999999999998E-2</v>
      </c>
      <c r="K50" s="87">
        <f t="shared" si="12"/>
        <v>0</v>
      </c>
      <c r="L50" s="87">
        <f t="shared" si="12"/>
        <v>7.9799999999999982E-2</v>
      </c>
      <c r="M50" s="87">
        <f t="shared" si="12"/>
        <v>3.2409999999999994E-2</v>
      </c>
      <c r="N50" s="87">
        <f t="shared" si="12"/>
        <v>1812.9999999999998</v>
      </c>
      <c r="O50" s="87">
        <f t="shared" si="12"/>
        <v>50.189999999999991</v>
      </c>
      <c r="P50" s="87">
        <f t="shared" si="12"/>
        <v>0</v>
      </c>
      <c r="Q50" s="87">
        <f t="shared" si="10"/>
        <v>180.25</v>
      </c>
      <c r="R50" s="87">
        <f t="shared" si="11"/>
        <v>0</v>
      </c>
      <c r="S50" s="87">
        <f t="shared" si="11"/>
        <v>0.16939999999999997</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21" ht="13" x14ac:dyDescent="0.35">
      <c r="A58" s="82"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str">
        <f>Q16&amp;" I "&amp;(VLOOKUP(Q14,Table24581112[],6,FALSE))</f>
        <v>Medium/Clay I Grass</v>
      </c>
      <c r="Q58" s="10" t="str">
        <f>R16&amp;" I "&amp;(VLOOKUP(R14,Table24581112[],6,FALSE))</f>
        <v>Medium/Clay I Grass</v>
      </c>
      <c r="R58" s="10" t="str">
        <f>S16&amp;" I "&amp;(VLOOKUP(S14,Table24581112[],6,FALSE))</f>
        <v>Medium/Clay I Grass</v>
      </c>
      <c r="S58" s="10" t="str">
        <f>T16&amp;" I "&amp;(VLOOKUP(T14,Table24581112[],6,FALSE))</f>
        <v>Medium/Clay I Grass</v>
      </c>
      <c r="T58" s="10" t="str">
        <f>U16&amp;" I "&amp;(VLOOKUP(U14,Table24581112[],6,FALSE))</f>
        <v>Medium/Clay I Grass</v>
      </c>
      <c r="U58" s="10" t="str">
        <f>V16&amp;" I "&amp;(VLOOKUP(V14,Table24581112[],6,FALSE))</f>
        <v>Medium/Clay I Grass</v>
      </c>
    </row>
    <row r="59" spans="1:21" ht="13" x14ac:dyDescent="0.3">
      <c r="A59" s="100" t="s">
        <v>132</v>
      </c>
      <c r="B59" s="67">
        <f>VLOOKUP(C$14,Table24581112[],5,FALSE)</f>
        <v>6.2</v>
      </c>
      <c r="C59" s="67">
        <f>VLOOKUP(D$14,Table24581112[],5,FALSE)</f>
        <v>6.2</v>
      </c>
      <c r="D59" s="67">
        <f>VLOOKUP(E$14,Table24581112[],5,FALSE)</f>
        <v>6.2</v>
      </c>
      <c r="E59" s="67">
        <f>VLOOKUP(F$14,Table24581112[],5,FALSE)</f>
        <v>6.2</v>
      </c>
      <c r="F59" s="67">
        <f>VLOOKUP(G$14,Table24581112[],5,FALSE)</f>
        <v>6.2</v>
      </c>
      <c r="G59" s="67">
        <f>VLOOKUP(H$14,Table24581112[],5,FALSE)</f>
        <v>6.2</v>
      </c>
      <c r="H59" s="67">
        <f>VLOOKUP(I$14,Table24581112[],5,FALSE)</f>
        <v>6.2</v>
      </c>
      <c r="I59" s="67">
        <f>VLOOKUP(J$14,Table24581112[],5,FALSE)</f>
        <v>6.2</v>
      </c>
      <c r="J59" s="67">
        <f>VLOOKUP(K$14,Table24581112[],5,FALSE)</f>
        <v>6.2</v>
      </c>
      <c r="K59" s="67">
        <f>VLOOKUP(L$14,Table24581112[],5,FALSE)</f>
        <v>6.2</v>
      </c>
      <c r="L59" s="67">
        <f>VLOOKUP(M$14,Table24581112[],5,FALSE)</f>
        <v>6.2</v>
      </c>
      <c r="M59" s="67">
        <f>VLOOKUP(N$14,Table24581112[],5,FALSE)</f>
        <v>6.2</v>
      </c>
      <c r="N59" s="67">
        <f>VLOOKUP(O$14,Table24581112[],5,FALSE)</f>
        <v>6.2</v>
      </c>
      <c r="O59" s="67">
        <f>VLOOKUP(P$14,Table24581112[],5,FALSE)</f>
        <v>6.2</v>
      </c>
      <c r="P59" s="67">
        <f>VLOOKUP(Q$14,Table24581112[],5,FALSE)</f>
        <v>6.2</v>
      </c>
      <c r="Q59" s="67">
        <f>VLOOKUP(R$14,Table24581112[],5,FALSE)</f>
        <v>6.2</v>
      </c>
      <c r="R59" s="67">
        <f>VLOOKUP(S$14,Table24581112[],5,FALSE)</f>
        <v>6.2</v>
      </c>
      <c r="S59" s="67">
        <f>VLOOKUP(T$14,Table24581112[],5,FALSE)</f>
        <v>6.2</v>
      </c>
      <c r="T59" s="67">
        <f>VLOOKUP(U$14,Table24581112[],5,FALSE)</f>
        <v>6.2</v>
      </c>
      <c r="U59" s="67">
        <f>VLOOKUP(V$14,Table24581112[],5,FALSE)</f>
        <v>6.2</v>
      </c>
    </row>
    <row r="60" spans="1:21" ht="13" x14ac:dyDescent="0.3">
      <c r="A60" s="100" t="s">
        <v>4</v>
      </c>
      <c r="B60" s="67">
        <f>C10</f>
        <v>7.1</v>
      </c>
      <c r="C60" s="67">
        <f t="shared" ref="C60:U60" si="14">D10</f>
        <v>6.9</v>
      </c>
      <c r="D60" s="67">
        <f t="shared" si="14"/>
        <v>7.7</v>
      </c>
      <c r="E60" s="67">
        <f t="shared" si="14"/>
        <v>6.9</v>
      </c>
      <c r="F60" s="67">
        <f t="shared" si="14"/>
        <v>6.9</v>
      </c>
      <c r="G60" s="67">
        <f t="shared" si="14"/>
        <v>6.3</v>
      </c>
      <c r="H60" s="67">
        <f t="shared" si="14"/>
        <v>7.9</v>
      </c>
      <c r="I60" s="67">
        <f t="shared" si="14"/>
        <v>6.8</v>
      </c>
      <c r="J60" s="67">
        <f t="shared" si="14"/>
        <v>6.7</v>
      </c>
      <c r="K60" s="67">
        <f t="shared" si="14"/>
        <v>6.8</v>
      </c>
      <c r="L60" s="67">
        <f t="shared" si="14"/>
        <v>6.9</v>
      </c>
      <c r="M60" s="67">
        <f t="shared" si="14"/>
        <v>7</v>
      </c>
      <c r="N60" s="67">
        <f t="shared" si="14"/>
        <v>7</v>
      </c>
      <c r="O60" s="67">
        <f t="shared" si="14"/>
        <v>6.8</v>
      </c>
      <c r="P60" s="67">
        <f t="shared" si="14"/>
        <v>6.9</v>
      </c>
      <c r="Q60" s="67">
        <f t="shared" si="14"/>
        <v>6.7</v>
      </c>
      <c r="R60" s="67">
        <f t="shared" si="14"/>
        <v>6.3</v>
      </c>
      <c r="S60" s="67">
        <f t="shared" si="14"/>
        <v>6</v>
      </c>
      <c r="T60" s="67">
        <f t="shared" si="14"/>
        <v>6.8</v>
      </c>
      <c r="U60" s="67">
        <f t="shared" si="14"/>
        <v>6.9</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f t="shared" si="15"/>
        <v>6</v>
      </c>
      <c r="U61" s="67">
        <f t="shared" si="15"/>
        <v>6</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250</v>
      </c>
      <c r="O62" s="68">
        <f>B44</f>
        <v>250</v>
      </c>
      <c r="P62" s="68">
        <f>B45</f>
        <v>250</v>
      </c>
      <c r="Q62" s="68">
        <f>B46</f>
        <v>250</v>
      </c>
      <c r="R62" s="68">
        <f>B47</f>
        <v>250</v>
      </c>
      <c r="S62" s="68">
        <f>B48</f>
        <v>250</v>
      </c>
      <c r="T62" s="68">
        <f>B49</f>
        <v>250</v>
      </c>
      <c r="U62" s="68">
        <f>B50</f>
        <v>250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-5.3999999999999968</v>
      </c>
      <c r="C64" s="68">
        <f t="shared" ref="C64:U64" si="17">(C59-C60)*C61</f>
        <v>-4.2000000000000011</v>
      </c>
      <c r="D64" s="68">
        <f t="shared" si="17"/>
        <v>-9</v>
      </c>
      <c r="E64" s="68">
        <f t="shared" si="17"/>
        <v>-4.2000000000000011</v>
      </c>
      <c r="F64" s="68">
        <f t="shared" si="17"/>
        <v>-4.2000000000000011</v>
      </c>
      <c r="G64" s="68">
        <f t="shared" si="17"/>
        <v>-0.59999999999999787</v>
      </c>
      <c r="H64" s="68">
        <f t="shared" si="17"/>
        <v>-10.200000000000001</v>
      </c>
      <c r="I64" s="68">
        <f t="shared" si="17"/>
        <v>-3.5999999999999979</v>
      </c>
      <c r="J64" s="68">
        <f t="shared" si="17"/>
        <v>-3</v>
      </c>
      <c r="K64" s="68">
        <f t="shared" si="17"/>
        <v>-3.5999999999999979</v>
      </c>
      <c r="L64" s="68">
        <f t="shared" si="17"/>
        <v>-4.2000000000000011</v>
      </c>
      <c r="M64" s="68">
        <f t="shared" si="17"/>
        <v>-4.7999999999999989</v>
      </c>
      <c r="N64" s="68">
        <f t="shared" si="17"/>
        <v>-4.7999999999999989</v>
      </c>
      <c r="O64" s="68">
        <f t="shared" si="17"/>
        <v>-3.5999999999999979</v>
      </c>
      <c r="P64" s="68">
        <f t="shared" si="17"/>
        <v>-4.2000000000000011</v>
      </c>
      <c r="Q64" s="68">
        <f t="shared" si="17"/>
        <v>-3</v>
      </c>
      <c r="R64" s="68">
        <f t="shared" si="17"/>
        <v>-0.59999999999999787</v>
      </c>
      <c r="S64" s="68">
        <f t="shared" si="17"/>
        <v>1.2000000000000011</v>
      </c>
      <c r="T64" s="68">
        <f t="shared" si="17"/>
        <v>-3.5999999999999979</v>
      </c>
      <c r="U64" s="68">
        <f t="shared" si="17"/>
        <v>-4.2000000000000011</v>
      </c>
    </row>
    <row r="65" spans="1:21" ht="52" x14ac:dyDescent="0.3">
      <c r="A65" s="101" t="s">
        <v>157</v>
      </c>
      <c r="B65" s="68">
        <f>B63-B64</f>
        <v>5.3999999999999968</v>
      </c>
      <c r="C65" s="68">
        <f t="shared" ref="C65:U65" si="18">C63-C64</f>
        <v>4.2000000000000011</v>
      </c>
      <c r="D65" s="68">
        <f t="shared" si="18"/>
        <v>9</v>
      </c>
      <c r="E65" s="68">
        <f t="shared" si="18"/>
        <v>4.2000000000000011</v>
      </c>
      <c r="F65" s="68">
        <f t="shared" si="18"/>
        <v>4.2000000000000011</v>
      </c>
      <c r="G65" s="68">
        <f t="shared" si="18"/>
        <v>0.59999999999999787</v>
      </c>
      <c r="H65" s="68">
        <f t="shared" si="18"/>
        <v>10.200000000000001</v>
      </c>
      <c r="I65" s="68">
        <f t="shared" si="18"/>
        <v>3.5999999999999979</v>
      </c>
      <c r="J65" s="68">
        <f t="shared" si="18"/>
        <v>3</v>
      </c>
      <c r="K65" s="68">
        <f t="shared" si="18"/>
        <v>3.5999999999999979</v>
      </c>
      <c r="L65" s="68">
        <f t="shared" si="18"/>
        <v>4.2000000000000011</v>
      </c>
      <c r="M65" s="68">
        <f t="shared" si="18"/>
        <v>4.7999999999999989</v>
      </c>
      <c r="N65" s="68">
        <f t="shared" si="18"/>
        <v>4.7999999999999989</v>
      </c>
      <c r="O65" s="68">
        <f t="shared" si="18"/>
        <v>3.5999999999999979</v>
      </c>
      <c r="P65" s="68">
        <f t="shared" si="18"/>
        <v>4.2000000000000011</v>
      </c>
      <c r="Q65" s="68">
        <f t="shared" si="18"/>
        <v>3</v>
      </c>
      <c r="R65" s="68">
        <f t="shared" si="18"/>
        <v>0.59999999999999787</v>
      </c>
      <c r="S65" s="68">
        <f t="shared" si="18"/>
        <v>-1.2000000000000011</v>
      </c>
      <c r="T65" s="68">
        <f t="shared" si="18"/>
        <v>3.5999999999999979</v>
      </c>
      <c r="U65" s="68">
        <f t="shared" si="18"/>
        <v>4.2000000000000011</v>
      </c>
    </row>
    <row r="66" spans="1:21" ht="26"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str">
        <f t="shared" si="19"/>
        <v>OVER</v>
      </c>
      <c r="N66" s="69" t="str">
        <f t="shared" si="19"/>
        <v>OVER</v>
      </c>
      <c r="O66" s="69" t="str">
        <f t="shared" si="19"/>
        <v>OVER</v>
      </c>
      <c r="P66" s="69" t="str">
        <f t="shared" si="19"/>
        <v>OVER</v>
      </c>
      <c r="Q66" s="69" t="str">
        <f t="shared" si="19"/>
        <v>OVER</v>
      </c>
      <c r="R66" s="69" t="str">
        <f t="shared" si="19"/>
        <v>OVER</v>
      </c>
      <c r="S66" s="69" t="str">
        <f t="shared" si="19"/>
        <v>UNDER</v>
      </c>
      <c r="T66" s="69" t="str">
        <f t="shared" si="19"/>
        <v>OVER</v>
      </c>
      <c r="U66" s="69" t="str">
        <f t="shared" si="19"/>
        <v>OVER</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1" priority="36" operator="greaterThan">
      <formula>$B$51</formula>
    </cfRule>
  </conditionalFormatting>
  <conditionalFormatting sqref="B66:U66">
    <cfRule type="cellIs" dxfId="110" priority="11" operator="equal">
      <formula>"UNDER"</formula>
    </cfRule>
    <cfRule type="cellIs" dxfId="109" priority="12" operator="equal">
      <formula>"OVER"</formula>
    </cfRule>
  </conditionalFormatting>
  <conditionalFormatting sqref="C31:C50">
    <cfRule type="cellIs" dxfId="108" priority="35" operator="greaterThan">
      <formula>$C$51</formula>
    </cfRule>
  </conditionalFormatting>
  <conditionalFormatting sqref="C17:V19">
    <cfRule type="cellIs" dxfId="107" priority="32" operator="equal">
      <formula>0</formula>
    </cfRule>
  </conditionalFormatting>
  <conditionalFormatting sqref="C20:V21">
    <cfRule type="cellIs" dxfId="106" priority="37" operator="equal">
      <formula>"DECREASE"</formula>
    </cfRule>
    <cfRule type="cellIs" dxfId="105" priority="38" operator="equal">
      <formula>"INCREASE"</formula>
    </cfRule>
  </conditionalFormatting>
  <conditionalFormatting sqref="C21:V21">
    <cfRule type="cellIs" dxfId="104" priority="13" operator="equal">
      <formula>0</formula>
    </cfRule>
  </conditionalFormatting>
  <conditionalFormatting sqref="C22:V23">
    <cfRule type="cellIs" dxfId="103" priority="17" operator="equal">
      <formula>0</formula>
    </cfRule>
  </conditionalFormatting>
  <conditionalFormatting sqref="C24:V24">
    <cfRule type="cellIs" dxfId="102" priority="18" operator="equal">
      <formula>"DECREASE"</formula>
    </cfRule>
    <cfRule type="cellIs" dxfId="101" priority="19" operator="equal">
      <formula>"INCREASE"</formula>
    </cfRule>
  </conditionalFormatting>
  <conditionalFormatting sqref="G31:G50">
    <cfRule type="cellIs" dxfId="100" priority="31" operator="greaterThan">
      <formula>$G$51</formula>
    </cfRule>
  </conditionalFormatting>
  <conditionalFormatting sqref="H31:H50">
    <cfRule type="cellIs" dxfId="99" priority="30" operator="greaterThan">
      <formula>$H$51</formula>
    </cfRule>
  </conditionalFormatting>
  <conditionalFormatting sqref="I1">
    <cfRule type="cellIs" dxfId="98" priority="3" operator="between">
      <formula>0.1</formula>
      <formula>5</formula>
    </cfRule>
  </conditionalFormatting>
  <conditionalFormatting sqref="I2">
    <cfRule type="cellIs" dxfId="97" priority="2" operator="greaterThan">
      <formula>5000.1</formula>
    </cfRule>
  </conditionalFormatting>
  <conditionalFormatting sqref="I3">
    <cfRule type="cellIs" dxfId="96" priority="1" operator="greaterThan">
      <formula>40000.01</formula>
    </cfRule>
  </conditionalFormatting>
  <conditionalFormatting sqref="I31:I50">
    <cfRule type="cellIs" dxfId="95" priority="29" operator="greaterThan">
      <formula>$I$51</formula>
    </cfRule>
  </conditionalFormatting>
  <conditionalFormatting sqref="J31:J50">
    <cfRule type="cellIs" dxfId="94" priority="8" operator="greaterThan">
      <formula>$J$51</formula>
    </cfRule>
  </conditionalFormatting>
  <conditionalFormatting sqref="K31:K50">
    <cfRule type="cellIs" dxfId="93" priority="28" operator="greaterThan">
      <formula>$K$51</formula>
    </cfRule>
  </conditionalFormatting>
  <conditionalFormatting sqref="L3">
    <cfRule type="cellIs" dxfId="92" priority="4" operator="lessThan">
      <formula>30</formula>
    </cfRule>
    <cfRule type="cellIs" dxfId="91" priority="5" operator="greaterThanOrEqual">
      <formula>30</formula>
    </cfRule>
  </conditionalFormatting>
  <conditionalFormatting sqref="L31:L50">
    <cfRule type="cellIs" dxfId="90" priority="27" operator="greaterThan">
      <formula>$L$51</formula>
    </cfRule>
  </conditionalFormatting>
  <conditionalFormatting sqref="M31:M50">
    <cfRule type="cellIs" dxfId="89" priority="26" operator="greaterThan">
      <formula>$M$51</formula>
    </cfRule>
  </conditionalFormatting>
  <conditionalFormatting sqref="P31:P50">
    <cfRule type="cellIs" dxfId="88" priority="25" operator="greaterThan">
      <formula>$P$51</formula>
    </cfRule>
  </conditionalFormatting>
  <conditionalFormatting sqref="R31:R50">
    <cfRule type="cellIs" dxfId="87" priority="24" operator="greaterThan">
      <formula>$R$51</formula>
    </cfRule>
  </conditionalFormatting>
  <conditionalFormatting sqref="S31:S50">
    <cfRule type="cellIs" dxfId="86" priority="23" operator="greaterThan">
      <formula>$S$51</formula>
    </cfRule>
  </conditionalFormatting>
  <conditionalFormatting sqref="T31:T50">
    <cfRule type="cellIs" dxfId="85" priority="22" operator="greaterThan">
      <formula>$T$51</formula>
    </cfRule>
  </conditionalFormatting>
  <conditionalFormatting sqref="U31:U50">
    <cfRule type="cellIs" dxfId="84" priority="21"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T33" sqref="T3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06" t="s">
        <v>41</v>
      </c>
      <c r="B1" s="106"/>
      <c r="C1" s="127" t="str">
        <f>'Bryn Cowlyd'!C1:D1</f>
        <v>PAN-026782</v>
      </c>
      <c r="D1" s="128"/>
      <c r="E1" s="83" t="s">
        <v>45</v>
      </c>
      <c r="F1" s="32">
        <f>'Bryn Cowlyd'!F1</f>
        <v>49.3</v>
      </c>
      <c r="G1" s="107" t="s">
        <v>43</v>
      </c>
      <c r="H1" s="108"/>
      <c r="I1" s="86">
        <v>4.5</v>
      </c>
      <c r="J1" s="106" t="s">
        <v>153</v>
      </c>
      <c r="K1" s="106"/>
      <c r="L1" s="86">
        <v>14.5</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'Bryn Cowlyd'!C2:D2</f>
        <v>EPR/GP3792SK</v>
      </c>
      <c r="D2" s="130"/>
      <c r="E2" s="83" t="s">
        <v>109</v>
      </c>
      <c r="F2" s="86" t="s">
        <v>167</v>
      </c>
      <c r="G2" s="125" t="s">
        <v>110</v>
      </c>
      <c r="H2" s="126"/>
      <c r="I2" s="86"/>
      <c r="J2" s="106" t="s">
        <v>158</v>
      </c>
      <c r="K2" s="106"/>
      <c r="L2" s="86">
        <v>0.61699999999999999</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'Bryn Cowlyd'!C3:D3</f>
        <v xml:space="preserve">Byproduct recovery LTD </v>
      </c>
      <c r="D3" s="130"/>
      <c r="E3" s="83" t="s">
        <v>108</v>
      </c>
      <c r="F3" s="24" t="s">
        <v>78</v>
      </c>
      <c r="G3" s="106" t="s">
        <v>159</v>
      </c>
      <c r="H3" s="106"/>
      <c r="I3" s="86"/>
      <c r="J3" s="107" t="s">
        <v>154</v>
      </c>
      <c r="K3" s="108"/>
      <c r="L3" s="86">
        <f>(L1/(L2*10000))*100</f>
        <v>0.23500810372771475</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'Bryn Cowlyd'!C4:D4</f>
        <v xml:space="preserve">Farchwel, Talybont, Conwy, LL32 8UY </v>
      </c>
      <c r="D4" s="128"/>
      <c r="E4" s="84" t="s">
        <v>1</v>
      </c>
      <c r="F4" s="86" t="s">
        <v>172</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'Bryn Cowlyd'!C5:D5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f>'Bryn Cowlyd'!C8</f>
        <v>1</v>
      </c>
      <c r="D8" s="52">
        <f>'Bryn Cowlyd'!D8</f>
        <v>2</v>
      </c>
      <c r="E8" s="52">
        <f>'Bryn Cowlyd'!E8</f>
        <v>3</v>
      </c>
      <c r="F8" s="52">
        <f>'Bryn Cowlyd'!F8</f>
        <v>4</v>
      </c>
      <c r="G8" s="52">
        <f>'Bryn Cowlyd'!G8</f>
        <v>5</v>
      </c>
      <c r="H8" s="52">
        <f>'Bryn Cowlyd'!H8</f>
        <v>6</v>
      </c>
      <c r="I8" s="52">
        <f>'Bryn Cowlyd'!I8</f>
        <v>7</v>
      </c>
      <c r="J8" s="52">
        <f>'Bryn Cowlyd'!J8</f>
        <v>8</v>
      </c>
      <c r="K8" s="52">
        <f>'Bryn Cowlyd'!K8</f>
        <v>9</v>
      </c>
      <c r="L8" s="52">
        <f>'Bryn Cowlyd'!L8</f>
        <v>10</v>
      </c>
      <c r="M8" s="52">
        <f>'Bryn Cowlyd'!M8</f>
        <v>11</v>
      </c>
      <c r="N8" s="52">
        <f>'Bryn Cowlyd'!N8</f>
        <v>12</v>
      </c>
      <c r="O8" s="52">
        <f>'Bryn Cowlyd'!O8</f>
        <v>13</v>
      </c>
      <c r="P8" s="52">
        <f>'Bryn Cowlyd'!P8</f>
        <v>15</v>
      </c>
      <c r="Q8" s="52">
        <f>'Bryn Cowlyd'!Q8</f>
        <v>16</v>
      </c>
      <c r="R8" s="52">
        <f>'Bryn Cowlyd'!R8</f>
        <v>21</v>
      </c>
      <c r="S8" s="52">
        <f>'Bryn Cowlyd'!S8</f>
        <v>22</v>
      </c>
      <c r="T8" s="52">
        <f>'Bryn Cowlyd'!T8</f>
        <v>23</v>
      </c>
      <c r="U8" s="52">
        <f>'Bryn Cowlyd'!U8</f>
        <v>7078</v>
      </c>
      <c r="V8" s="52">
        <f>'Bryn Cowlyd'!V8</f>
        <v>7058</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'Bryn Cowlyd'!C9</f>
        <v>M</v>
      </c>
      <c r="D9" s="52" t="str">
        <f>'Bryn Cowlyd'!D9</f>
        <v>M</v>
      </c>
      <c r="E9" s="52" t="str">
        <f>'Bryn Cowlyd'!E9</f>
        <v>M</v>
      </c>
      <c r="F9" s="52" t="str">
        <f>'Bryn Cowlyd'!F9</f>
        <v>M</v>
      </c>
      <c r="G9" s="52" t="str">
        <f>'Bryn Cowlyd'!G9</f>
        <v>M</v>
      </c>
      <c r="H9" s="52" t="str">
        <f>'Bryn Cowlyd'!H9</f>
        <v>M</v>
      </c>
      <c r="I9" s="52" t="str">
        <f>'Bryn Cowlyd'!I9</f>
        <v>M</v>
      </c>
      <c r="J9" s="52" t="str">
        <f>'Bryn Cowlyd'!J9</f>
        <v>M</v>
      </c>
      <c r="K9" s="52" t="str">
        <f>'Bryn Cowlyd'!K9</f>
        <v>M</v>
      </c>
      <c r="L9" s="52" t="str">
        <f>'Bryn Cowlyd'!L9</f>
        <v>M</v>
      </c>
      <c r="M9" s="52" t="str">
        <f>'Bryn Cowlyd'!M9</f>
        <v>M</v>
      </c>
      <c r="N9" s="52" t="str">
        <f>'Bryn Cowlyd'!N9</f>
        <v>M</v>
      </c>
      <c r="O9" s="52" t="str">
        <f>'Bryn Cowlyd'!O9</f>
        <v>M</v>
      </c>
      <c r="P9" s="52" t="str">
        <f>'Bryn Cowlyd'!P9</f>
        <v>M</v>
      </c>
      <c r="Q9" s="52" t="str">
        <f>'Bryn Cowlyd'!Q9</f>
        <v>M</v>
      </c>
      <c r="R9" s="52" t="str">
        <f>'Bryn Cowlyd'!R9</f>
        <v>M</v>
      </c>
      <c r="S9" s="52" t="str">
        <f>'Bryn Cowlyd'!S9</f>
        <v>M</v>
      </c>
      <c r="T9" s="52" t="str">
        <f>'Bryn Cowlyd'!T9</f>
        <v>M</v>
      </c>
      <c r="U9" s="52" t="str">
        <f>'Bryn Cowlyd'!U9</f>
        <v>M</v>
      </c>
      <c r="V9" s="52" t="str">
        <f>'Bryn Cowlyd'!V9</f>
        <v>M</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'Bryn Cowlyd'!C10</f>
        <v>7.1</v>
      </c>
      <c r="D10" s="52">
        <f>'Bryn Cowlyd'!D10</f>
        <v>6.9</v>
      </c>
      <c r="E10" s="52">
        <f>'Bryn Cowlyd'!E10</f>
        <v>7.7</v>
      </c>
      <c r="F10" s="52">
        <f>'Bryn Cowlyd'!F10</f>
        <v>6.9</v>
      </c>
      <c r="G10" s="52">
        <f>'Bryn Cowlyd'!G10</f>
        <v>6.9</v>
      </c>
      <c r="H10" s="52">
        <f>'Bryn Cowlyd'!H10</f>
        <v>6.3</v>
      </c>
      <c r="I10" s="52">
        <f>'Bryn Cowlyd'!I10</f>
        <v>7.9</v>
      </c>
      <c r="J10" s="52">
        <f>'Bryn Cowlyd'!J10</f>
        <v>6.8</v>
      </c>
      <c r="K10" s="52">
        <f>'Bryn Cowlyd'!K10</f>
        <v>6.7</v>
      </c>
      <c r="L10" s="52">
        <f>'Bryn Cowlyd'!L10</f>
        <v>6.8</v>
      </c>
      <c r="M10" s="52">
        <f>'Bryn Cowlyd'!M10</f>
        <v>6.9</v>
      </c>
      <c r="N10" s="52">
        <f>'Bryn Cowlyd'!N10</f>
        <v>7</v>
      </c>
      <c r="O10" s="52">
        <f>'Bryn Cowlyd'!O10</f>
        <v>7</v>
      </c>
      <c r="P10" s="52">
        <f>'Bryn Cowlyd'!P10</f>
        <v>6.8</v>
      </c>
      <c r="Q10" s="52">
        <f>'Bryn Cowlyd'!Q10</f>
        <v>6.9</v>
      </c>
      <c r="R10" s="52">
        <f>'Bryn Cowlyd'!R10</f>
        <v>6.7</v>
      </c>
      <c r="S10" s="52">
        <f>'Bryn Cowlyd'!S10</f>
        <v>6.3</v>
      </c>
      <c r="T10" s="52">
        <f>'Bryn Cowlyd'!T10</f>
        <v>6</v>
      </c>
      <c r="U10" s="52">
        <f>'Bryn Cowlyd'!U10</f>
        <v>6.8</v>
      </c>
      <c r="V10" s="52">
        <f>'Bryn Cowlyd'!V10</f>
        <v>6.9</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'Bryn Cowlyd'!C11</f>
        <v>2</v>
      </c>
      <c r="D11" s="52">
        <f>'Bryn Cowlyd'!D11</f>
        <v>2</v>
      </c>
      <c r="E11" s="52">
        <f>'Bryn Cowlyd'!E11</f>
        <v>2</v>
      </c>
      <c r="F11" s="52">
        <f>'Bryn Cowlyd'!F11</f>
        <v>1</v>
      </c>
      <c r="G11" s="52">
        <f>'Bryn Cowlyd'!G11</f>
        <v>1</v>
      </c>
      <c r="H11" s="52">
        <f>'Bryn Cowlyd'!H11</f>
        <v>1</v>
      </c>
      <c r="I11" s="52">
        <f>'Bryn Cowlyd'!I11</f>
        <v>2</v>
      </c>
      <c r="J11" s="52">
        <f>'Bryn Cowlyd'!J11</f>
        <v>1</v>
      </c>
      <c r="K11" s="52">
        <f>'Bryn Cowlyd'!K11</f>
        <v>1</v>
      </c>
      <c r="L11" s="52">
        <f>'Bryn Cowlyd'!L11</f>
        <v>1</v>
      </c>
      <c r="M11" s="52">
        <f>'Bryn Cowlyd'!M11</f>
        <v>1</v>
      </c>
      <c r="N11" s="52">
        <f>'Bryn Cowlyd'!N11</f>
        <v>2</v>
      </c>
      <c r="O11" s="52">
        <f>'Bryn Cowlyd'!O11</f>
        <v>3</v>
      </c>
      <c r="P11" s="52">
        <f>'Bryn Cowlyd'!P11</f>
        <v>3</v>
      </c>
      <c r="Q11" s="52">
        <f>'Bryn Cowlyd'!Q11</f>
        <v>2</v>
      </c>
      <c r="R11" s="52">
        <f>'Bryn Cowlyd'!R11</f>
        <v>2</v>
      </c>
      <c r="S11" s="52">
        <f>'Bryn Cowlyd'!S11</f>
        <v>2</v>
      </c>
      <c r="T11" s="52">
        <f>'Bryn Cowlyd'!T11</f>
        <v>2</v>
      </c>
      <c r="U11" s="52">
        <f>'Bryn Cowlyd'!U11</f>
        <v>1</v>
      </c>
      <c r="V11" s="52">
        <f>'Bryn Cowlyd'!V11</f>
        <v>1</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'Bryn Cowlyd'!C12</f>
        <v>1</v>
      </c>
      <c r="D12" s="52">
        <f>'Bryn Cowlyd'!D12</f>
        <v>2</v>
      </c>
      <c r="E12" s="52">
        <f>'Bryn Cowlyd'!E12</f>
        <v>1</v>
      </c>
      <c r="F12" s="52">
        <f>'Bryn Cowlyd'!F12</f>
        <v>1</v>
      </c>
      <c r="G12" s="52">
        <f>'Bryn Cowlyd'!G12</f>
        <v>0</v>
      </c>
      <c r="H12" s="52">
        <f>'Bryn Cowlyd'!H12</f>
        <v>1</v>
      </c>
      <c r="I12" s="52">
        <f>'Bryn Cowlyd'!I12</f>
        <v>1</v>
      </c>
      <c r="J12" s="52">
        <f>'Bryn Cowlyd'!J12</f>
        <v>1</v>
      </c>
      <c r="K12" s="52">
        <f>'Bryn Cowlyd'!K12</f>
        <v>1</v>
      </c>
      <c r="L12" s="52">
        <f>'Bryn Cowlyd'!L12</f>
        <v>1</v>
      </c>
      <c r="M12" s="52">
        <f>'Bryn Cowlyd'!M12</f>
        <v>1</v>
      </c>
      <c r="N12" s="52">
        <f>'Bryn Cowlyd'!N12</f>
        <v>0</v>
      </c>
      <c r="O12" s="52">
        <f>'Bryn Cowlyd'!O12</f>
        <v>2</v>
      </c>
      <c r="P12" s="52">
        <f>'Bryn Cowlyd'!P12</f>
        <v>2</v>
      </c>
      <c r="Q12" s="52">
        <f>'Bryn Cowlyd'!Q12</f>
        <v>1</v>
      </c>
      <c r="R12" s="52">
        <f>'Bryn Cowlyd'!R12</f>
        <v>2</v>
      </c>
      <c r="S12" s="52">
        <f>'Bryn Cowlyd'!S12</f>
        <v>2</v>
      </c>
      <c r="T12" s="52">
        <f>'Bryn Cowlyd'!T12</f>
        <v>2</v>
      </c>
      <c r="U12" s="52">
        <f>'Bryn Cowlyd'!U12</f>
        <v>1</v>
      </c>
      <c r="V12" s="52">
        <f>'Bryn Cowlyd'!V12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'Bryn Cowlyd'!C13</f>
        <v>2</v>
      </c>
      <c r="D13" s="52">
        <f>'Bryn Cowlyd'!D13</f>
        <v>2</v>
      </c>
      <c r="E13" s="52">
        <f>'Bryn Cowlyd'!E13</f>
        <v>2</v>
      </c>
      <c r="F13" s="52">
        <f>'Bryn Cowlyd'!F13</f>
        <v>2</v>
      </c>
      <c r="G13" s="52">
        <f>'Bryn Cowlyd'!G13</f>
        <v>2</v>
      </c>
      <c r="H13" s="52">
        <f>'Bryn Cowlyd'!H13</f>
        <v>2</v>
      </c>
      <c r="I13" s="52">
        <f>'Bryn Cowlyd'!I13</f>
        <v>1</v>
      </c>
      <c r="J13" s="52">
        <f>'Bryn Cowlyd'!J13</f>
        <v>2</v>
      </c>
      <c r="K13" s="52">
        <f>'Bryn Cowlyd'!K13</f>
        <v>2</v>
      </c>
      <c r="L13" s="52">
        <f>'Bryn Cowlyd'!L13</f>
        <v>2</v>
      </c>
      <c r="M13" s="52">
        <f>'Bryn Cowlyd'!M13</f>
        <v>2</v>
      </c>
      <c r="N13" s="52">
        <f>'Bryn Cowlyd'!N13</f>
        <v>1</v>
      </c>
      <c r="O13" s="52">
        <f>'Bryn Cowlyd'!O13</f>
        <v>3</v>
      </c>
      <c r="P13" s="52">
        <f>'Bryn Cowlyd'!P13</f>
        <v>3</v>
      </c>
      <c r="Q13" s="52">
        <f>'Bryn Cowlyd'!Q13</f>
        <v>2</v>
      </c>
      <c r="R13" s="52">
        <f>'Bryn Cowlyd'!R13</f>
        <v>3</v>
      </c>
      <c r="S13" s="52">
        <f>'Bryn Cowlyd'!S13</f>
        <v>3</v>
      </c>
      <c r="T13" s="52">
        <f>'Bryn Cowlyd'!T13</f>
        <v>3</v>
      </c>
      <c r="U13" s="52">
        <f>'Bryn Cowlyd'!U13</f>
        <v>2</v>
      </c>
      <c r="V13" s="52">
        <f>'Bryn Cowlyd'!V13</f>
        <v>2</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'Bryn Cowlyd'!C14</f>
        <v xml:space="preserve">Grass Silage (25% DM) </v>
      </c>
      <c r="D14" s="91" t="str">
        <f>'Bryn Cowlyd'!D14</f>
        <v xml:space="preserve">Grass Silage (25% DM) </v>
      </c>
      <c r="E14" s="91" t="str">
        <f>'Bryn Cowlyd'!E14</f>
        <v xml:space="preserve">Grass Silage (25% DM) </v>
      </c>
      <c r="F14" s="91" t="str">
        <f>'Bryn Cowlyd'!F14</f>
        <v xml:space="preserve">Grass Silage (25% DM) </v>
      </c>
      <c r="G14" s="91" t="str">
        <f>'Bryn Cowlyd'!G14</f>
        <v xml:space="preserve">Grass Silage (25% DM) </v>
      </c>
      <c r="H14" s="91" t="str">
        <f>'Bryn Cowlyd'!H14</f>
        <v xml:space="preserve">Grass Silage (25% DM) </v>
      </c>
      <c r="I14" s="91" t="str">
        <f>'Bryn Cowlyd'!I14</f>
        <v xml:space="preserve">Grass Silage (25% DM) </v>
      </c>
      <c r="J14" s="91" t="str">
        <f>'Bryn Cowlyd'!J14</f>
        <v xml:space="preserve">Grass Silage (25% DM) </v>
      </c>
      <c r="K14" s="91" t="str">
        <f>'Bryn Cowlyd'!K14</f>
        <v xml:space="preserve">Grass Silage (25% DM) </v>
      </c>
      <c r="L14" s="91" t="str">
        <f>'Bryn Cowlyd'!L14</f>
        <v xml:space="preserve">Grass Silage (25% DM) </v>
      </c>
      <c r="M14" s="91" t="str">
        <f>'Bryn Cowlyd'!M14</f>
        <v xml:space="preserve">Grass Silage (25% DM) </v>
      </c>
      <c r="N14" s="91" t="str">
        <f>'Bryn Cowlyd'!N14</f>
        <v xml:space="preserve">Grass Silage (25% DM) </v>
      </c>
      <c r="O14" s="91" t="str">
        <f>'Bryn Cowlyd'!O14</f>
        <v xml:space="preserve">Grass Silage (25% DM) </v>
      </c>
      <c r="P14" s="91" t="str">
        <f>'Bryn Cowlyd'!P14</f>
        <v xml:space="preserve">Grass Silage (25% DM) </v>
      </c>
      <c r="Q14" s="91" t="str">
        <f>'Bryn Cowlyd'!Q14</f>
        <v xml:space="preserve">Grass Silage (25% DM) </v>
      </c>
      <c r="R14" s="91" t="str">
        <f>'Bryn Cowlyd'!R14</f>
        <v xml:space="preserve">Grass Silage (25% DM) </v>
      </c>
      <c r="S14" s="91" t="str">
        <f>'Bryn Cowlyd'!S14</f>
        <v xml:space="preserve">Grass Silage (25% DM) </v>
      </c>
      <c r="T14" s="91" t="str">
        <f>'Bryn Cowlyd'!T14</f>
        <v xml:space="preserve">Grass Silage (25% DM) </v>
      </c>
      <c r="U14" s="91" t="str">
        <f>'Bryn Cowlyd'!U14</f>
        <v xml:space="preserve">Grass Silage (25% DM) </v>
      </c>
      <c r="V14" s="91" t="str">
        <f>'Bryn Cowlyd'!V14</f>
        <v xml:space="preserve">Grass Silage (25% DM) </v>
      </c>
      <c r="AD14" s="23" t="s">
        <v>138</v>
      </c>
      <c r="AE14" s="23">
        <v>6</v>
      </c>
      <c r="AI14" s="46" t="s">
        <v>119</v>
      </c>
      <c r="AJ14" s="47">
        <v>0.8</v>
      </c>
      <c r="AK14" s="48">
        <v>1.7</v>
      </c>
      <c r="AL14" s="9">
        <v>12</v>
      </c>
      <c r="AM14" s="9">
        <v>6.7</v>
      </c>
      <c r="AN14" s="9" t="s">
        <v>135</v>
      </c>
    </row>
    <row r="15" spans="1:41" ht="13" x14ac:dyDescent="0.25">
      <c r="A15" s="117" t="s">
        <v>9</v>
      </c>
      <c r="B15" s="117"/>
      <c r="C15" s="52">
        <f>'Bryn Cowlyd'!C15</f>
        <v>38</v>
      </c>
      <c r="D15" s="52">
        <f>'Bryn Cowlyd'!D15</f>
        <v>38</v>
      </c>
      <c r="E15" s="52">
        <f>'Bryn Cowlyd'!E15</f>
        <v>38</v>
      </c>
      <c r="F15" s="52">
        <f>'Bryn Cowlyd'!F15</f>
        <v>38</v>
      </c>
      <c r="G15" s="52">
        <f>'Bryn Cowlyd'!G15</f>
        <v>38</v>
      </c>
      <c r="H15" s="52">
        <f>'Bryn Cowlyd'!H15</f>
        <v>38</v>
      </c>
      <c r="I15" s="52">
        <f>'Bryn Cowlyd'!I15</f>
        <v>38</v>
      </c>
      <c r="J15" s="52">
        <f>'Bryn Cowlyd'!J15</f>
        <v>38</v>
      </c>
      <c r="K15" s="52">
        <f>'Bryn Cowlyd'!K15</f>
        <v>38</v>
      </c>
      <c r="L15" s="52">
        <f>'Bryn Cowlyd'!L15</f>
        <v>38</v>
      </c>
      <c r="M15" s="52">
        <f>'Bryn Cowlyd'!M15</f>
        <v>38</v>
      </c>
      <c r="N15" s="52">
        <f>'Bryn Cowlyd'!N15</f>
        <v>38</v>
      </c>
      <c r="O15" s="52">
        <f>'Bryn Cowlyd'!O15</f>
        <v>38</v>
      </c>
      <c r="P15" s="52">
        <f>'Bryn Cowlyd'!P15</f>
        <v>38</v>
      </c>
      <c r="Q15" s="52">
        <f>'Bryn Cowlyd'!Q15</f>
        <v>38</v>
      </c>
      <c r="R15" s="52">
        <f>'Bryn Cowlyd'!R15</f>
        <v>38</v>
      </c>
      <c r="S15" s="52">
        <f>'Bryn Cowlyd'!S15</f>
        <v>38</v>
      </c>
      <c r="T15" s="52">
        <f>'Bryn Cowlyd'!T15</f>
        <v>38</v>
      </c>
      <c r="U15" s="52">
        <f>'Bryn Cowlyd'!U15</f>
        <v>38</v>
      </c>
      <c r="V15" s="52">
        <f>'Bryn Cowlyd'!V15</f>
        <v>38</v>
      </c>
      <c r="AD15" s="23" t="s">
        <v>144</v>
      </c>
      <c r="AE15" s="23">
        <v>7</v>
      </c>
      <c r="AI15" s="46" t="s">
        <v>101</v>
      </c>
      <c r="AJ15" s="54">
        <v>1.8</v>
      </c>
      <c r="AK15" s="48">
        <v>5.4</v>
      </c>
      <c r="AL15" s="9">
        <v>13</v>
      </c>
      <c r="AM15" s="9">
        <v>6.7</v>
      </c>
      <c r="AN15" s="9" t="s">
        <v>135</v>
      </c>
    </row>
    <row r="16" spans="1:41" ht="13.5" thickBot="1" x14ac:dyDescent="0.3">
      <c r="A16" s="119" t="s">
        <v>44</v>
      </c>
      <c r="B16" s="119"/>
      <c r="C16" s="92" t="str">
        <f>'Bryn Cowlyd'!C16</f>
        <v>Medium/Clay</v>
      </c>
      <c r="D16" s="92" t="str">
        <f>'Bryn Cowlyd'!D16</f>
        <v>Medium/Clay</v>
      </c>
      <c r="E16" s="92" t="str">
        <f>'Bryn Cowlyd'!E16</f>
        <v>Medium/Clay</v>
      </c>
      <c r="F16" s="92" t="str">
        <f>'Bryn Cowlyd'!F16</f>
        <v>Medium/Clay</v>
      </c>
      <c r="G16" s="92" t="str">
        <f>'Bryn Cowlyd'!G16</f>
        <v>Medium/Clay</v>
      </c>
      <c r="H16" s="92" t="str">
        <f>'Bryn Cowlyd'!H16</f>
        <v>Medium/Clay</v>
      </c>
      <c r="I16" s="92" t="str">
        <f>'Bryn Cowlyd'!I16</f>
        <v>Medium/Clay</v>
      </c>
      <c r="J16" s="92" t="str">
        <f>'Bryn Cowlyd'!J16</f>
        <v>Medium/Clay</v>
      </c>
      <c r="K16" s="92" t="str">
        <f>'Bryn Cowlyd'!K16</f>
        <v>Medium/Clay</v>
      </c>
      <c r="L16" s="92" t="str">
        <f>'Bryn Cowlyd'!L16</f>
        <v>Medium/Clay</v>
      </c>
      <c r="M16" s="92" t="str">
        <f>'Bryn Cowlyd'!M16</f>
        <v>Medium/Clay</v>
      </c>
      <c r="N16" s="92" t="str">
        <f>'Bryn Cowlyd'!N16</f>
        <v>Medium/Clay</v>
      </c>
      <c r="O16" s="92" t="str">
        <f>'Bryn Cowlyd'!O16</f>
        <v>Medium/Clay</v>
      </c>
      <c r="P16" s="92" t="str">
        <f>'Bryn Cowlyd'!P16</f>
        <v>Medium/Clay</v>
      </c>
      <c r="Q16" s="92" t="str">
        <f>'Bryn Cowlyd'!Q16</f>
        <v>Medium/Clay</v>
      </c>
      <c r="R16" s="92" t="str">
        <f>'Bryn Cowlyd'!R16</f>
        <v>Medium/Clay</v>
      </c>
      <c r="S16" s="92" t="str">
        <f>'Bryn Cowlyd'!S16</f>
        <v>Medium/Clay</v>
      </c>
      <c r="T16" s="92" t="str">
        <f>'Bryn Cowlyd'!T16</f>
        <v>Medium/Clay</v>
      </c>
      <c r="U16" s="92" t="str">
        <f>'Bryn Cowlyd'!U16</f>
        <v>Medium/Clay</v>
      </c>
      <c r="V16" s="92" t="str">
        <f>'Bryn Cowlyd'!V16</f>
        <v>Medium/Clay</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f t="shared" si="0"/>
        <v>64.599999999999994</v>
      </c>
      <c r="N17" s="21">
        <f t="shared" si="0"/>
        <v>64.599999999999994</v>
      </c>
      <c r="O17" s="21">
        <f t="shared" si="0"/>
        <v>64.599999999999994</v>
      </c>
      <c r="P17" s="21">
        <f t="shared" si="0"/>
        <v>64.599999999999994</v>
      </c>
      <c r="Q17" s="21">
        <f t="shared" si="0"/>
        <v>64.599999999999994</v>
      </c>
      <c r="R17" s="21">
        <f t="shared" si="0"/>
        <v>64.599999999999994</v>
      </c>
      <c r="S17" s="21">
        <f t="shared" si="0"/>
        <v>64.599999999999994</v>
      </c>
      <c r="T17" s="21">
        <f t="shared" si="0"/>
        <v>64.599999999999994</v>
      </c>
      <c r="U17" s="21">
        <f t="shared" si="0"/>
        <v>64.599999999999994</v>
      </c>
      <c r="V17" s="21">
        <f t="shared" si="0"/>
        <v>64.599999999999994</v>
      </c>
      <c r="AD17" s="45" t="s">
        <v>146</v>
      </c>
      <c r="AE17" s="23">
        <v>10</v>
      </c>
      <c r="AI17" s="41" t="s">
        <v>115</v>
      </c>
      <c r="AJ17" s="42">
        <v>1.4</v>
      </c>
      <c r="AK17" s="43">
        <v>4.8</v>
      </c>
      <c r="AL17" s="44">
        <v>15</v>
      </c>
      <c r="AM17" s="9">
        <v>6.2</v>
      </c>
      <c r="AN17" s="9" t="s">
        <v>112</v>
      </c>
    </row>
    <row r="18" spans="1:40" ht="13" x14ac:dyDescent="0.25">
      <c r="A18" s="111" t="s">
        <v>23</v>
      </c>
      <c r="B18" s="112"/>
      <c r="C18" s="13">
        <f>$D31</f>
        <v>20.728967999999995</v>
      </c>
      <c r="D18" s="13">
        <f>$D32</f>
        <v>20.728967999999995</v>
      </c>
      <c r="E18" s="13">
        <f>$D33</f>
        <v>20.728967999999995</v>
      </c>
      <c r="F18" s="13">
        <f>$D34</f>
        <v>20.728967999999995</v>
      </c>
      <c r="G18" s="13">
        <f>$D35</f>
        <v>20.728967999999995</v>
      </c>
      <c r="H18" s="13">
        <f>$D36</f>
        <v>20.728967999999995</v>
      </c>
      <c r="I18" s="13">
        <f>$D37</f>
        <v>20.728967999999995</v>
      </c>
      <c r="J18" s="13">
        <f>$D38</f>
        <v>20.728967999999995</v>
      </c>
      <c r="K18" s="13">
        <f>$D39</f>
        <v>20.728967999999995</v>
      </c>
      <c r="L18" s="13">
        <f>$D40</f>
        <v>20.728967999999995</v>
      </c>
      <c r="M18" s="13">
        <f>$D41</f>
        <v>20.728967999999995</v>
      </c>
      <c r="N18" s="13">
        <f>$D42</f>
        <v>20.728967999999995</v>
      </c>
      <c r="O18" s="13">
        <f>$D43</f>
        <v>20.728967999999995</v>
      </c>
      <c r="P18" s="13">
        <f>$D44</f>
        <v>20.728967999999995</v>
      </c>
      <c r="Q18" s="13">
        <f>$D45</f>
        <v>20.728967999999995</v>
      </c>
      <c r="R18" s="13">
        <f>$D46</f>
        <v>20.728967999999995</v>
      </c>
      <c r="S18" s="13">
        <f>$D47</f>
        <v>20.728967999999995</v>
      </c>
      <c r="T18" s="13">
        <f>$D48</f>
        <v>20.728967999999995</v>
      </c>
      <c r="U18" s="13">
        <f>$D49</f>
        <v>20.728967999999995</v>
      </c>
      <c r="V18" s="18">
        <f>$D50</f>
        <v>20.728967999999995</v>
      </c>
      <c r="AD18" s="45" t="s">
        <v>147</v>
      </c>
      <c r="AE18" s="23">
        <v>16</v>
      </c>
      <c r="AI18" s="41" t="s">
        <v>106</v>
      </c>
      <c r="AJ18" s="42">
        <v>5.9</v>
      </c>
      <c r="AK18" s="43">
        <v>18</v>
      </c>
      <c r="AL18" s="44">
        <v>16</v>
      </c>
      <c r="AM18" s="9">
        <v>6.2</v>
      </c>
      <c r="AN18" s="9" t="s">
        <v>112</v>
      </c>
    </row>
    <row r="19" spans="1:40" ht="13" x14ac:dyDescent="0.25">
      <c r="A19" s="111" t="s">
        <v>90</v>
      </c>
      <c r="B19" s="112"/>
      <c r="C19" s="13">
        <f>C18-C17</f>
        <v>-43.871032</v>
      </c>
      <c r="D19" s="13">
        <f t="shared" ref="D19:V19" si="1">D18-D17</f>
        <v>-43.871032</v>
      </c>
      <c r="E19" s="13">
        <f t="shared" si="1"/>
        <v>-43.871032</v>
      </c>
      <c r="F19" s="13">
        <f t="shared" si="1"/>
        <v>-43.871032</v>
      </c>
      <c r="G19" s="13">
        <f t="shared" si="1"/>
        <v>-43.871032</v>
      </c>
      <c r="H19" s="13">
        <f t="shared" si="1"/>
        <v>-43.871032</v>
      </c>
      <c r="I19" s="13">
        <f t="shared" si="1"/>
        <v>-43.871032</v>
      </c>
      <c r="J19" s="13">
        <f t="shared" si="1"/>
        <v>-43.871032</v>
      </c>
      <c r="K19" s="13">
        <f t="shared" si="1"/>
        <v>-43.871032</v>
      </c>
      <c r="L19" s="13">
        <f t="shared" si="1"/>
        <v>-43.871032</v>
      </c>
      <c r="M19" s="13">
        <f t="shared" si="1"/>
        <v>-43.871032</v>
      </c>
      <c r="N19" s="13">
        <f t="shared" si="1"/>
        <v>-43.871032</v>
      </c>
      <c r="O19" s="13">
        <f t="shared" si="1"/>
        <v>-43.871032</v>
      </c>
      <c r="P19" s="13">
        <f t="shared" si="1"/>
        <v>-43.871032</v>
      </c>
      <c r="Q19" s="13">
        <f t="shared" si="1"/>
        <v>-43.871032</v>
      </c>
      <c r="R19" s="13">
        <f t="shared" si="1"/>
        <v>-43.871032</v>
      </c>
      <c r="S19" s="13">
        <f t="shared" si="1"/>
        <v>-43.871032</v>
      </c>
      <c r="T19" s="13">
        <f t="shared" si="1"/>
        <v>-43.871032</v>
      </c>
      <c r="U19" s="13">
        <f t="shared" si="1"/>
        <v>-43.871032</v>
      </c>
      <c r="V19" s="18">
        <f t="shared" si="1"/>
        <v>-43.871032</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DECREASE</v>
      </c>
      <c r="V20" s="20" t="str">
        <f>IF($B50="","",IF(V$19&gt;=0,"INCREASE","DECREASE"))</f>
        <v>DECREASE</v>
      </c>
      <c r="AI20" s="41" t="s">
        <v>114</v>
      </c>
      <c r="AJ20" s="42">
        <v>2.1</v>
      </c>
      <c r="AK20" s="43">
        <v>7.2</v>
      </c>
      <c r="AL20" s="44">
        <v>18</v>
      </c>
      <c r="AM20" s="9">
        <v>6.2</v>
      </c>
      <c r="AN20" s="9" t="s">
        <v>112</v>
      </c>
    </row>
    <row r="21" spans="1:40" ht="13" x14ac:dyDescent="0.25">
      <c r="A21" s="109" t="s">
        <v>88</v>
      </c>
      <c r="B21" s="110"/>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f t="shared" si="2"/>
        <v>228</v>
      </c>
      <c r="N21" s="21">
        <f t="shared" si="2"/>
        <v>228</v>
      </c>
      <c r="O21" s="21">
        <f t="shared" si="2"/>
        <v>228</v>
      </c>
      <c r="P21" s="21">
        <f t="shared" si="2"/>
        <v>228</v>
      </c>
      <c r="Q21" s="21">
        <f t="shared" si="2"/>
        <v>228</v>
      </c>
      <c r="R21" s="21">
        <f t="shared" si="2"/>
        <v>228</v>
      </c>
      <c r="S21" s="21">
        <f t="shared" si="2"/>
        <v>228</v>
      </c>
      <c r="T21" s="21">
        <f t="shared" si="2"/>
        <v>228</v>
      </c>
      <c r="U21" s="21">
        <f t="shared" si="2"/>
        <v>228</v>
      </c>
      <c r="V21" s="21">
        <f t="shared" si="2"/>
        <v>228</v>
      </c>
      <c r="AI21" s="55" t="s">
        <v>100</v>
      </c>
      <c r="AJ21" s="58">
        <v>11</v>
      </c>
      <c r="AK21" s="57">
        <v>12</v>
      </c>
      <c r="AL21" s="22">
        <v>19</v>
      </c>
      <c r="AM21" s="9">
        <v>6.7</v>
      </c>
      <c r="AN21" s="9" t="s">
        <v>135</v>
      </c>
    </row>
    <row r="22" spans="1:40" ht="13" x14ac:dyDescent="0.25">
      <c r="A22" s="111" t="s">
        <v>89</v>
      </c>
      <c r="B22" s="112"/>
      <c r="C22" s="13">
        <f>$E31</f>
        <v>2.0442824999999999E-4</v>
      </c>
      <c r="D22" s="13">
        <f>$E32</f>
        <v>2.0442824999999999E-4</v>
      </c>
      <c r="E22" s="13">
        <f>$E33</f>
        <v>2.0442824999999999E-4</v>
      </c>
      <c r="F22" s="13">
        <f>$E34</f>
        <v>2.0442824999999999E-4</v>
      </c>
      <c r="G22" s="13">
        <f>$E35</f>
        <v>2.0442824999999999E-4</v>
      </c>
      <c r="H22" s="13">
        <f>$E36</f>
        <v>2.0442824999999999E-4</v>
      </c>
      <c r="I22" s="13">
        <f>$E37</f>
        <v>2.0442824999999999E-4</v>
      </c>
      <c r="J22" s="13">
        <f>$E38</f>
        <v>2.0442824999999999E-4</v>
      </c>
      <c r="K22" s="13">
        <f>$E39</f>
        <v>2.0442824999999999E-4</v>
      </c>
      <c r="L22" s="13">
        <f>$E40</f>
        <v>2.0442824999999999E-4</v>
      </c>
      <c r="M22" s="13">
        <f>$E41</f>
        <v>2.0442824999999999E-4</v>
      </c>
      <c r="N22" s="13">
        <f>$E42</f>
        <v>2.0442824999999999E-4</v>
      </c>
      <c r="O22" s="13">
        <f>$E43</f>
        <v>2.0442824999999999E-4</v>
      </c>
      <c r="P22" s="13">
        <f>$E44</f>
        <v>2.0442824999999999E-4</v>
      </c>
      <c r="Q22" s="13">
        <f>$E45</f>
        <v>2.0442824999999999E-4</v>
      </c>
      <c r="R22" s="13">
        <f>$E46</f>
        <v>2.0442824999999999E-4</v>
      </c>
      <c r="S22" s="13">
        <f>$E47</f>
        <v>2.0442824999999999E-4</v>
      </c>
      <c r="T22" s="13">
        <f>$E48</f>
        <v>2.0442824999999999E-4</v>
      </c>
      <c r="U22" s="13">
        <f>$E49</f>
        <v>2.0442824999999999E-4</v>
      </c>
      <c r="V22" s="13">
        <f>$E50</f>
        <v>2.0442824999999999E-4</v>
      </c>
      <c r="AI22" s="55" t="s">
        <v>102</v>
      </c>
      <c r="AJ22" s="56">
        <v>1.2</v>
      </c>
      <c r="AK22" s="57">
        <v>5</v>
      </c>
      <c r="AL22" s="22">
        <v>20</v>
      </c>
      <c r="AM22" s="9">
        <v>6.7</v>
      </c>
      <c r="AN22" s="9" t="s">
        <v>135</v>
      </c>
    </row>
    <row r="23" spans="1:40" ht="13" x14ac:dyDescent="0.25">
      <c r="A23" s="111" t="s">
        <v>92</v>
      </c>
      <c r="B23" s="112"/>
      <c r="C23" s="13">
        <f>C22-C21</f>
        <v>-227.99979557175001</v>
      </c>
      <c r="D23" s="13">
        <f t="shared" ref="D23:V23" si="3">D22-D21</f>
        <v>-227.99979557175001</v>
      </c>
      <c r="E23" s="13">
        <f t="shared" si="3"/>
        <v>-227.99979557175001</v>
      </c>
      <c r="F23" s="13">
        <f t="shared" si="3"/>
        <v>-227.99979557175001</v>
      </c>
      <c r="G23" s="13">
        <f t="shared" si="3"/>
        <v>-227.99979557175001</v>
      </c>
      <c r="H23" s="13">
        <f t="shared" si="3"/>
        <v>-227.99979557175001</v>
      </c>
      <c r="I23" s="13">
        <f t="shared" si="3"/>
        <v>-227.99979557175001</v>
      </c>
      <c r="J23" s="13">
        <f t="shared" si="3"/>
        <v>-227.99979557175001</v>
      </c>
      <c r="K23" s="13">
        <f t="shared" si="3"/>
        <v>-227.99979557175001</v>
      </c>
      <c r="L23" s="13">
        <f t="shared" si="3"/>
        <v>-227.99979557175001</v>
      </c>
      <c r="M23" s="13">
        <f t="shared" si="3"/>
        <v>-227.99979557175001</v>
      </c>
      <c r="N23" s="13">
        <f t="shared" si="3"/>
        <v>-227.99979557175001</v>
      </c>
      <c r="O23" s="13">
        <f t="shared" si="3"/>
        <v>-227.99979557175001</v>
      </c>
      <c r="P23" s="13">
        <f t="shared" si="3"/>
        <v>-227.99979557175001</v>
      </c>
      <c r="Q23" s="13">
        <f t="shared" si="3"/>
        <v>-227.99979557175001</v>
      </c>
      <c r="R23" s="13">
        <f t="shared" si="3"/>
        <v>-227.99979557175001</v>
      </c>
      <c r="S23" s="13">
        <f t="shared" si="3"/>
        <v>-227.99979557175001</v>
      </c>
      <c r="T23" s="13">
        <f t="shared" si="3"/>
        <v>-227.99979557175001</v>
      </c>
      <c r="U23" s="13">
        <f t="shared" si="3"/>
        <v>-227.99979557175001</v>
      </c>
      <c r="V23" s="13">
        <f t="shared" si="3"/>
        <v>-227.99979557175001</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str">
        <f t="shared" si="4"/>
        <v>DECREASE</v>
      </c>
      <c r="V24" s="19" t="str">
        <f t="shared" si="4"/>
        <v>DECREASE</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54</v>
      </c>
      <c r="R27" s="96"/>
      <c r="S27" s="96" t="s">
        <v>55</v>
      </c>
      <c r="T27" s="96"/>
      <c r="U27" s="96"/>
    </row>
    <row r="28" spans="1:40" x14ac:dyDescent="0.35">
      <c r="A28" s="97"/>
      <c r="B28" s="17">
        <v>7.8</v>
      </c>
      <c r="C28" s="12">
        <v>0.61699999999999999</v>
      </c>
      <c r="D28" s="12">
        <v>4.6399999999999997E-2</v>
      </c>
      <c r="E28" s="12">
        <v>8.6999999999999994E-3</v>
      </c>
      <c r="F28" s="12">
        <v>422</v>
      </c>
      <c r="G28" s="12">
        <v>9.82</v>
      </c>
      <c r="H28" s="12">
        <v>125</v>
      </c>
      <c r="I28" s="12">
        <v>22.7</v>
      </c>
      <c r="J28" s="12">
        <v>0.11</v>
      </c>
      <c r="K28" s="16">
        <v>0.51</v>
      </c>
      <c r="L28" s="12">
        <v>35.700000000000003</v>
      </c>
      <c r="M28" s="12">
        <v>12.3</v>
      </c>
      <c r="N28" s="12">
        <v>3180</v>
      </c>
      <c r="O28" s="12">
        <v>393000</v>
      </c>
      <c r="P28" s="12"/>
      <c r="Q28" s="12">
        <v>14200</v>
      </c>
      <c r="R28" s="12"/>
      <c r="S28" s="12">
        <v>15.7</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250</v>
      </c>
      <c r="C31" s="68">
        <f>IF(C$27="%w/w SAR",((C$28*10)*$B31),IF(C$27="%w/w DM",(((C$28*10)*($B$28/100))*$B31),IF(C$27="kg/t SAR",(C$28*$B31),IF(C$27="kg/t DM",((C$28*($B$28/100))*$B31),IF(C$27="mg/kg SAR",((C$28*0.001)*$B31),IF(C$27="mg/kg DM",(((C$28*0.001)*($B$28/100))*$B31),0))))))</f>
        <v>120.31500000000001</v>
      </c>
      <c r="D31" s="68">
        <f>(IF(D$27="%w/w SAR",((D$28*10)*$B31),IF(D$27="%w/w DM",(((D$28*10)*($B$28/100))*$B31),IF(D$27="kg/t SAR",(D$28*$B31),IF(D$27="kg/t DM",((D$28*($B$28/100))*$B31),IF(D$27="mg/kg SAR",((D$28*0.001)*$B31),IF(D$27="mg/kg DM",(((D$28*0.001)*($B$28/100))*$B31),"0")))))))*2.291</f>
        <v>20.728967999999995</v>
      </c>
      <c r="E31" s="68">
        <f>(IF(E$27="%w/w SAR",((E$28*10)*$B31),IF(E$27="%w/w DM",(((E$28*10)*($B$28/100))*$B31),IF(E$27="kg/t SAR",(E$28*$B31),IF(E$27="kg/t DM",((E$28*($B$28/100))*$B31),IF(E$27="mg/kg SAR",((E$28*0.001)*$B31),IF(E$27="mg/kg DM",(((E$28*0.001)*($B$28/100))*$B31),"0")))))))*1.205</f>
        <v>2.0442824999999999E-4</v>
      </c>
      <c r="F31" s="68">
        <f>(IF(F$27="%w/w SAR",((F$28*10)*$B31),IF(F$27="%w/w DM",(((F$28*10)*($B$28/100))*$B31),IF(F$27="kg/t SAR",(F$28*$B31),IF(F$27="kg/t DM",((F$28*($B$28/100))*$B31),IF(F$27="mg/kg SAR",((F$28*0.001)*$B31),IF(F$27="mg/kg DM",(((F$28*0.001)*($B$28/100))*$B31),"0")))))))*1.658</f>
        <v>13.643682</v>
      </c>
      <c r="G31" s="68">
        <f t="shared" ref="G31:P46" si="5">IF(G$27="%w/w SAR",((G$28*10)*$B31),IF(G$27="%w/w DM",(((G$28*10)*($B$28/100))*$B31),IF(G$27="kg/t SAR",(G$28*$B31),IF(G$27="kg/t DM",((G$28*($B$28/100))*$B31),IF(G$27="mg/kg SAR",((G$28*0.001)*$B31),IF(G$27="mg/kg DM",(((G$28*0.001)*($B$28/100))*$B31),0))))))</f>
        <v>0.19149000000000002</v>
      </c>
      <c r="H31" s="68">
        <f t="shared" si="5"/>
        <v>2.4375</v>
      </c>
      <c r="I31" s="68">
        <f t="shared" si="5"/>
        <v>0.44265000000000004</v>
      </c>
      <c r="J31" s="68">
        <f t="shared" si="5"/>
        <v>2.1450000000000002E-3</v>
      </c>
      <c r="K31" s="68">
        <f t="shared" si="5"/>
        <v>9.9450000000000007E-3</v>
      </c>
      <c r="L31" s="68">
        <f t="shared" si="5"/>
        <v>0.69615000000000005</v>
      </c>
      <c r="M31" s="68">
        <f t="shared" si="5"/>
        <v>0.23985000000000001</v>
      </c>
      <c r="N31" s="68">
        <f t="shared" si="5"/>
        <v>62.010000000000005</v>
      </c>
      <c r="O31" s="68">
        <f t="shared" si="5"/>
        <v>7663.5</v>
      </c>
      <c r="P31" s="68">
        <f t="shared" si="5"/>
        <v>0</v>
      </c>
      <c r="Q31" s="68">
        <f>(IF(Q$27="%w/w SAR",((Q$28*10)*$B31),IF(Q$27="%w/w DM",(((Q$28*10)*($B$28/100))*$B31),IF(Q$27="kg/t SAR",(Q$28*$B31),IF(Q$27="kg/t DM",((Q$28*($B$28/100))*$B31),IF(Q$27="mg/kg SAR",((Q$28*0.001)*$B31),IF(Q$27="mg/kg DM",(((Q$28*0.001)*($B$28/100))*$B31),0)))))))*2.5</f>
        <v>8875.0000000000018</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0.30614999999999998</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250</v>
      </c>
      <c r="C32" s="68">
        <f t="shared" ref="C32:C50" si="6">IF(C$27="%w/w SAR",((C$28*10)*$B32),IF(C$27="%w/w DM",(((C$28*10)*($B$28/100))*$B32),IF(C$27="kg/t SAR",(C$28*$B32),IF(C$27="kg/t DM",((C$28*($B$28/100))*$B32),IF(C$27="mg/kg SAR",((C$28*0.001)*$B32),IF(C$27="mg/kg DM",(((C$28*0.001)*($B$28/100))*$B32),0))))))</f>
        <v>120.31500000000001</v>
      </c>
      <c r="D32" s="68">
        <f t="shared" ref="D32:D50" si="7">(IF(D$27="%w/w SAR",((D$28*10)*$B32),IF(D$27="%w/w DM",(((D$28*10)*($B$28/100))*$B32),IF(D$27="kg/t SAR",(D$28*$B32),IF(D$27="kg/t DM",((D$28*($B$28/100))*$B32),IF(D$27="mg/kg SAR",((D$28*0.001)*$B32),IF(D$27="mg/kg DM",(((D$28*0.001)*($B$28/100))*$B32),"0")))))))*2.291</f>
        <v>20.728967999999995</v>
      </c>
      <c r="E32" s="68">
        <f t="shared" ref="E32:E50" si="8">(IF(E$27="%w/w SAR",((E$28*10)*$B32),IF(E$27="%w/w DM",(((E$28*10)*($B$28/100))*$B32),IF(E$27="kg/t SAR",(E$28*$B32),IF(E$27="kg/t DM",((E$28*($B$28/100))*$B32),IF(E$27="mg/kg SAR",((E$28*0.001)*$B32),IF(E$27="mg/kg DM",(((E$28*0.001)*($B$28/100))*$B32),"0")))))))*1.205</f>
        <v>2.0442824999999999E-4</v>
      </c>
      <c r="F32" s="68">
        <f t="shared" ref="F32:F50" si="9">(IF(F$27="%w/w SAR",((F$28*10)*$B32),IF(F$27="%w/w DM",(((F$28*10)*($B$28/100))*$B32),IF(F$27="kg/t SAR",(F$28*$B32),IF(F$27="kg/t DM",((F$28*($B$28/100))*$B32),IF(F$27="mg/kg SAR",((F$28*0.001)*$B32),IF(F$27="mg/kg DM",(((F$28*0.001)*($B$28/100))*$B32),"0")))))))*1.658</f>
        <v>13.643682</v>
      </c>
      <c r="G32" s="68">
        <f t="shared" si="5"/>
        <v>0.19149000000000002</v>
      </c>
      <c r="H32" s="68">
        <f t="shared" si="5"/>
        <v>2.4375</v>
      </c>
      <c r="I32" s="68">
        <f t="shared" si="5"/>
        <v>0.44265000000000004</v>
      </c>
      <c r="J32" s="68">
        <f t="shared" si="5"/>
        <v>2.1450000000000002E-3</v>
      </c>
      <c r="K32" s="68">
        <f t="shared" si="5"/>
        <v>9.9450000000000007E-3</v>
      </c>
      <c r="L32" s="68">
        <f t="shared" si="5"/>
        <v>0.69615000000000005</v>
      </c>
      <c r="M32" s="68">
        <f t="shared" si="5"/>
        <v>0.23985000000000001</v>
      </c>
      <c r="N32" s="68">
        <f t="shared" si="5"/>
        <v>62.010000000000005</v>
      </c>
      <c r="O32" s="68">
        <f t="shared" si="5"/>
        <v>7663.5</v>
      </c>
      <c r="P32" s="68">
        <f t="shared" si="5"/>
        <v>0</v>
      </c>
      <c r="Q32" s="68">
        <f t="shared" ref="Q32:Q50" si="10">(IF(Q$27="%w/w SAR",((Q$28*10)*$B32),IF(Q$27="%w/w DM",(((Q$28*10)*($B$28/100))*$B32),IF(Q$27="kg/t SAR",(Q$28*$B32),IF(Q$27="kg/t DM",((Q$28*($B$28/100))*$B32),IF(Q$27="mg/kg SAR",((Q$28*0.001)*$B32),IF(Q$27="mg/kg DM",(((Q$28*0.001)*($B$28/100))*$B32),0)))))))*2.5</f>
        <v>8875.0000000000018</v>
      </c>
      <c r="R32" s="68">
        <f t="shared" ref="R32:U50" si="11">IF(R$27="%w/w SAR",((R$28*10)*$B32),IF(R$27="%w/w DM",(((R$28*10)*($B$28/100))*$B32),IF(R$27="kg/t SAR",(R$28*$B32),IF(R$27="kg/t DM",((R$28*($B$28/100))*$B32),IF(R$27="mg/kg SAR",((R$28*0.001)*$B32),IF(R$27="mg/kg DM",(((R$28*0.001)*($B$28/100))*$B32),0))))))</f>
        <v>0</v>
      </c>
      <c r="S32" s="68">
        <f t="shared" si="11"/>
        <v>0.30614999999999998</v>
      </c>
      <c r="T32" s="68">
        <f t="shared" si="11"/>
        <v>0</v>
      </c>
      <c r="U32" s="68">
        <f t="shared" si="11"/>
        <v>0</v>
      </c>
    </row>
    <row r="33" spans="1:21" s="51" customFormat="1" ht="13" x14ac:dyDescent="0.35">
      <c r="A33" s="10">
        <f>E8</f>
        <v>3</v>
      </c>
      <c r="B33" s="12">
        <v>250</v>
      </c>
      <c r="C33" s="68">
        <f t="shared" si="6"/>
        <v>120.31500000000001</v>
      </c>
      <c r="D33" s="68">
        <f t="shared" si="7"/>
        <v>20.728967999999995</v>
      </c>
      <c r="E33" s="68">
        <f t="shared" si="8"/>
        <v>2.0442824999999999E-4</v>
      </c>
      <c r="F33" s="68">
        <f t="shared" si="9"/>
        <v>13.643682</v>
      </c>
      <c r="G33" s="68">
        <f t="shared" si="5"/>
        <v>0.19149000000000002</v>
      </c>
      <c r="H33" s="68">
        <f t="shared" si="5"/>
        <v>2.4375</v>
      </c>
      <c r="I33" s="68">
        <f t="shared" si="5"/>
        <v>0.44265000000000004</v>
      </c>
      <c r="J33" s="68">
        <f t="shared" si="5"/>
        <v>2.1450000000000002E-3</v>
      </c>
      <c r="K33" s="68">
        <f t="shared" si="5"/>
        <v>9.9450000000000007E-3</v>
      </c>
      <c r="L33" s="68">
        <f t="shared" si="5"/>
        <v>0.69615000000000005</v>
      </c>
      <c r="M33" s="68">
        <f t="shared" si="5"/>
        <v>0.23985000000000001</v>
      </c>
      <c r="N33" s="68">
        <f t="shared" si="5"/>
        <v>62.010000000000005</v>
      </c>
      <c r="O33" s="68">
        <f t="shared" si="5"/>
        <v>7663.5</v>
      </c>
      <c r="P33" s="68">
        <f t="shared" si="5"/>
        <v>0</v>
      </c>
      <c r="Q33" s="68">
        <f t="shared" si="10"/>
        <v>8875.0000000000018</v>
      </c>
      <c r="R33" s="68">
        <f t="shared" si="11"/>
        <v>0</v>
      </c>
      <c r="S33" s="68">
        <f t="shared" si="11"/>
        <v>0.30614999999999998</v>
      </c>
      <c r="T33" s="68">
        <f t="shared" si="11"/>
        <v>0</v>
      </c>
      <c r="U33" s="68">
        <f t="shared" si="11"/>
        <v>0</v>
      </c>
    </row>
    <row r="34" spans="1:21" s="51" customFormat="1" ht="13" x14ac:dyDescent="0.35">
      <c r="A34" s="10">
        <f>F8</f>
        <v>4</v>
      </c>
      <c r="B34" s="12">
        <v>250</v>
      </c>
      <c r="C34" s="68">
        <f t="shared" si="6"/>
        <v>120.31500000000001</v>
      </c>
      <c r="D34" s="68">
        <f t="shared" si="7"/>
        <v>20.728967999999995</v>
      </c>
      <c r="E34" s="68">
        <f t="shared" si="8"/>
        <v>2.0442824999999999E-4</v>
      </c>
      <c r="F34" s="68">
        <f t="shared" si="9"/>
        <v>13.643682</v>
      </c>
      <c r="G34" s="68">
        <f t="shared" si="5"/>
        <v>0.19149000000000002</v>
      </c>
      <c r="H34" s="68">
        <f t="shared" si="5"/>
        <v>2.4375</v>
      </c>
      <c r="I34" s="68">
        <f t="shared" si="5"/>
        <v>0.44265000000000004</v>
      </c>
      <c r="J34" s="68">
        <f t="shared" si="5"/>
        <v>2.1450000000000002E-3</v>
      </c>
      <c r="K34" s="68">
        <f t="shared" si="5"/>
        <v>9.9450000000000007E-3</v>
      </c>
      <c r="L34" s="68">
        <f t="shared" si="5"/>
        <v>0.69615000000000005</v>
      </c>
      <c r="M34" s="68">
        <f t="shared" si="5"/>
        <v>0.23985000000000001</v>
      </c>
      <c r="N34" s="68">
        <f t="shared" si="5"/>
        <v>62.010000000000005</v>
      </c>
      <c r="O34" s="68">
        <f t="shared" si="5"/>
        <v>7663.5</v>
      </c>
      <c r="P34" s="68">
        <f t="shared" si="5"/>
        <v>0</v>
      </c>
      <c r="Q34" s="68">
        <f t="shared" si="10"/>
        <v>8875.0000000000018</v>
      </c>
      <c r="R34" s="68">
        <f t="shared" si="11"/>
        <v>0</v>
      </c>
      <c r="S34" s="68">
        <f t="shared" si="11"/>
        <v>0.30614999999999998</v>
      </c>
      <c r="T34" s="68">
        <f t="shared" si="11"/>
        <v>0</v>
      </c>
      <c r="U34" s="68">
        <f t="shared" si="11"/>
        <v>0</v>
      </c>
    </row>
    <row r="35" spans="1:21" s="51" customFormat="1" ht="13" x14ac:dyDescent="0.35">
      <c r="A35" s="10">
        <f>G8</f>
        <v>5</v>
      </c>
      <c r="B35" s="12">
        <v>250</v>
      </c>
      <c r="C35" s="68">
        <f t="shared" si="6"/>
        <v>120.31500000000001</v>
      </c>
      <c r="D35" s="68">
        <f t="shared" si="7"/>
        <v>20.728967999999995</v>
      </c>
      <c r="E35" s="68">
        <f t="shared" si="8"/>
        <v>2.0442824999999999E-4</v>
      </c>
      <c r="F35" s="68">
        <f t="shared" si="9"/>
        <v>13.643682</v>
      </c>
      <c r="G35" s="68">
        <f t="shared" si="5"/>
        <v>0.19149000000000002</v>
      </c>
      <c r="H35" s="68">
        <f t="shared" si="5"/>
        <v>2.4375</v>
      </c>
      <c r="I35" s="68">
        <f t="shared" si="5"/>
        <v>0.44265000000000004</v>
      </c>
      <c r="J35" s="68">
        <f t="shared" si="5"/>
        <v>2.1450000000000002E-3</v>
      </c>
      <c r="K35" s="68">
        <f t="shared" si="5"/>
        <v>9.9450000000000007E-3</v>
      </c>
      <c r="L35" s="68">
        <f t="shared" si="5"/>
        <v>0.69615000000000005</v>
      </c>
      <c r="M35" s="68">
        <f t="shared" si="5"/>
        <v>0.23985000000000001</v>
      </c>
      <c r="N35" s="68">
        <f t="shared" si="5"/>
        <v>62.010000000000005</v>
      </c>
      <c r="O35" s="68">
        <f t="shared" si="5"/>
        <v>7663.5</v>
      </c>
      <c r="P35" s="68">
        <f t="shared" si="5"/>
        <v>0</v>
      </c>
      <c r="Q35" s="68">
        <f t="shared" si="10"/>
        <v>8875.0000000000018</v>
      </c>
      <c r="R35" s="68">
        <f t="shared" si="11"/>
        <v>0</v>
      </c>
      <c r="S35" s="68">
        <f t="shared" si="11"/>
        <v>0.30614999999999998</v>
      </c>
      <c r="T35" s="68">
        <f t="shared" si="11"/>
        <v>0</v>
      </c>
      <c r="U35" s="68">
        <f t="shared" si="11"/>
        <v>0</v>
      </c>
    </row>
    <row r="36" spans="1:21" s="51" customFormat="1" ht="13" x14ac:dyDescent="0.35">
      <c r="A36" s="10">
        <f>H8</f>
        <v>6</v>
      </c>
      <c r="B36" s="12">
        <v>250</v>
      </c>
      <c r="C36" s="68">
        <f t="shared" si="6"/>
        <v>120.31500000000001</v>
      </c>
      <c r="D36" s="68">
        <f t="shared" si="7"/>
        <v>20.728967999999995</v>
      </c>
      <c r="E36" s="68">
        <f t="shared" si="8"/>
        <v>2.0442824999999999E-4</v>
      </c>
      <c r="F36" s="68">
        <f t="shared" si="9"/>
        <v>13.643682</v>
      </c>
      <c r="G36" s="68">
        <f t="shared" si="5"/>
        <v>0.19149000000000002</v>
      </c>
      <c r="H36" s="68">
        <f t="shared" si="5"/>
        <v>2.4375</v>
      </c>
      <c r="I36" s="68">
        <f t="shared" si="5"/>
        <v>0.44265000000000004</v>
      </c>
      <c r="J36" s="68">
        <f t="shared" si="5"/>
        <v>2.1450000000000002E-3</v>
      </c>
      <c r="K36" s="68">
        <f t="shared" si="5"/>
        <v>9.9450000000000007E-3</v>
      </c>
      <c r="L36" s="68">
        <f t="shared" si="5"/>
        <v>0.69615000000000005</v>
      </c>
      <c r="M36" s="68">
        <f t="shared" si="5"/>
        <v>0.23985000000000001</v>
      </c>
      <c r="N36" s="68">
        <f t="shared" si="5"/>
        <v>62.010000000000005</v>
      </c>
      <c r="O36" s="68">
        <f t="shared" si="5"/>
        <v>7663.5</v>
      </c>
      <c r="P36" s="68">
        <f t="shared" si="5"/>
        <v>0</v>
      </c>
      <c r="Q36" s="68">
        <f t="shared" si="10"/>
        <v>8875.0000000000018</v>
      </c>
      <c r="R36" s="68">
        <f t="shared" si="11"/>
        <v>0</v>
      </c>
      <c r="S36" s="68">
        <f t="shared" si="11"/>
        <v>0.30614999999999998</v>
      </c>
      <c r="T36" s="68">
        <f t="shared" si="11"/>
        <v>0</v>
      </c>
      <c r="U36" s="68">
        <f t="shared" si="11"/>
        <v>0</v>
      </c>
    </row>
    <row r="37" spans="1:21" s="51" customFormat="1" ht="13" x14ac:dyDescent="0.35">
      <c r="A37" s="10">
        <f>I8</f>
        <v>7</v>
      </c>
      <c r="B37" s="12">
        <v>250</v>
      </c>
      <c r="C37" s="68">
        <f t="shared" si="6"/>
        <v>120.31500000000001</v>
      </c>
      <c r="D37" s="68">
        <f t="shared" si="7"/>
        <v>20.728967999999995</v>
      </c>
      <c r="E37" s="68">
        <f t="shared" si="8"/>
        <v>2.0442824999999999E-4</v>
      </c>
      <c r="F37" s="68">
        <f t="shared" si="9"/>
        <v>13.643682</v>
      </c>
      <c r="G37" s="68">
        <f t="shared" si="5"/>
        <v>0.19149000000000002</v>
      </c>
      <c r="H37" s="68">
        <f t="shared" si="5"/>
        <v>2.4375</v>
      </c>
      <c r="I37" s="68">
        <f t="shared" si="5"/>
        <v>0.44265000000000004</v>
      </c>
      <c r="J37" s="68">
        <f t="shared" si="5"/>
        <v>2.1450000000000002E-3</v>
      </c>
      <c r="K37" s="68">
        <f t="shared" si="5"/>
        <v>9.9450000000000007E-3</v>
      </c>
      <c r="L37" s="68">
        <f t="shared" si="5"/>
        <v>0.69615000000000005</v>
      </c>
      <c r="M37" s="68">
        <f t="shared" si="5"/>
        <v>0.23985000000000001</v>
      </c>
      <c r="N37" s="68">
        <f t="shared" si="5"/>
        <v>62.010000000000005</v>
      </c>
      <c r="O37" s="68">
        <f t="shared" si="5"/>
        <v>7663.5</v>
      </c>
      <c r="P37" s="68">
        <f t="shared" si="5"/>
        <v>0</v>
      </c>
      <c r="Q37" s="68">
        <f t="shared" si="10"/>
        <v>8875.0000000000018</v>
      </c>
      <c r="R37" s="68">
        <f t="shared" si="11"/>
        <v>0</v>
      </c>
      <c r="S37" s="68">
        <f t="shared" si="11"/>
        <v>0.30614999999999998</v>
      </c>
      <c r="T37" s="68">
        <f t="shared" si="11"/>
        <v>0</v>
      </c>
      <c r="U37" s="68">
        <f t="shared" si="11"/>
        <v>0</v>
      </c>
    </row>
    <row r="38" spans="1:21" s="51" customFormat="1" ht="13" x14ac:dyDescent="0.35">
      <c r="A38" s="10">
        <f>J8</f>
        <v>8</v>
      </c>
      <c r="B38" s="12">
        <v>250</v>
      </c>
      <c r="C38" s="68">
        <f t="shared" si="6"/>
        <v>120.31500000000001</v>
      </c>
      <c r="D38" s="68">
        <f t="shared" si="7"/>
        <v>20.728967999999995</v>
      </c>
      <c r="E38" s="68">
        <f t="shared" si="8"/>
        <v>2.0442824999999999E-4</v>
      </c>
      <c r="F38" s="68">
        <f t="shared" si="9"/>
        <v>13.643682</v>
      </c>
      <c r="G38" s="68">
        <f t="shared" si="5"/>
        <v>0.19149000000000002</v>
      </c>
      <c r="H38" s="68">
        <f t="shared" si="5"/>
        <v>2.4375</v>
      </c>
      <c r="I38" s="68">
        <f t="shared" si="5"/>
        <v>0.44265000000000004</v>
      </c>
      <c r="J38" s="68">
        <f t="shared" si="5"/>
        <v>2.1450000000000002E-3</v>
      </c>
      <c r="K38" s="68">
        <f t="shared" si="5"/>
        <v>9.9450000000000007E-3</v>
      </c>
      <c r="L38" s="68">
        <f t="shared" si="5"/>
        <v>0.69615000000000005</v>
      </c>
      <c r="M38" s="68">
        <f t="shared" si="5"/>
        <v>0.23985000000000001</v>
      </c>
      <c r="N38" s="68">
        <f t="shared" si="5"/>
        <v>62.010000000000005</v>
      </c>
      <c r="O38" s="68">
        <f t="shared" si="5"/>
        <v>7663.5</v>
      </c>
      <c r="P38" s="68">
        <f t="shared" si="5"/>
        <v>0</v>
      </c>
      <c r="Q38" s="68">
        <f t="shared" si="10"/>
        <v>8875.0000000000018</v>
      </c>
      <c r="R38" s="68">
        <f t="shared" si="11"/>
        <v>0</v>
      </c>
      <c r="S38" s="68">
        <f t="shared" si="11"/>
        <v>0.30614999999999998</v>
      </c>
      <c r="T38" s="68">
        <f t="shared" si="11"/>
        <v>0</v>
      </c>
      <c r="U38" s="68">
        <f t="shared" si="11"/>
        <v>0</v>
      </c>
    </row>
    <row r="39" spans="1:21" s="51" customFormat="1" ht="13" x14ac:dyDescent="0.35">
      <c r="A39" s="10">
        <f>K8</f>
        <v>9</v>
      </c>
      <c r="B39" s="12">
        <v>250</v>
      </c>
      <c r="C39" s="68">
        <f t="shared" si="6"/>
        <v>120.31500000000001</v>
      </c>
      <c r="D39" s="68">
        <f t="shared" si="7"/>
        <v>20.728967999999995</v>
      </c>
      <c r="E39" s="68">
        <f t="shared" si="8"/>
        <v>2.0442824999999999E-4</v>
      </c>
      <c r="F39" s="68">
        <f t="shared" si="9"/>
        <v>13.643682</v>
      </c>
      <c r="G39" s="68">
        <f t="shared" si="5"/>
        <v>0.19149000000000002</v>
      </c>
      <c r="H39" s="68">
        <f t="shared" si="5"/>
        <v>2.4375</v>
      </c>
      <c r="I39" s="68">
        <f t="shared" si="5"/>
        <v>0.44265000000000004</v>
      </c>
      <c r="J39" s="68">
        <f t="shared" si="5"/>
        <v>2.1450000000000002E-3</v>
      </c>
      <c r="K39" s="68">
        <f t="shared" si="5"/>
        <v>9.9450000000000007E-3</v>
      </c>
      <c r="L39" s="68">
        <f t="shared" si="5"/>
        <v>0.69615000000000005</v>
      </c>
      <c r="M39" s="68">
        <f t="shared" si="5"/>
        <v>0.23985000000000001</v>
      </c>
      <c r="N39" s="68">
        <f t="shared" si="5"/>
        <v>62.010000000000005</v>
      </c>
      <c r="O39" s="68">
        <f t="shared" si="5"/>
        <v>7663.5</v>
      </c>
      <c r="P39" s="68">
        <f t="shared" si="5"/>
        <v>0</v>
      </c>
      <c r="Q39" s="68">
        <f t="shared" si="10"/>
        <v>8875.0000000000018</v>
      </c>
      <c r="R39" s="68">
        <f t="shared" si="11"/>
        <v>0</v>
      </c>
      <c r="S39" s="68">
        <f t="shared" si="11"/>
        <v>0.30614999999999998</v>
      </c>
      <c r="T39" s="68">
        <f t="shared" si="11"/>
        <v>0</v>
      </c>
      <c r="U39" s="68">
        <f t="shared" si="11"/>
        <v>0</v>
      </c>
    </row>
    <row r="40" spans="1:21" s="51" customFormat="1" ht="13" x14ac:dyDescent="0.35">
      <c r="A40" s="10">
        <f>L8</f>
        <v>10</v>
      </c>
      <c r="B40" s="12">
        <v>250</v>
      </c>
      <c r="C40" s="68">
        <f t="shared" si="6"/>
        <v>120.31500000000001</v>
      </c>
      <c r="D40" s="68">
        <f t="shared" si="7"/>
        <v>20.728967999999995</v>
      </c>
      <c r="E40" s="68">
        <f t="shared" si="8"/>
        <v>2.0442824999999999E-4</v>
      </c>
      <c r="F40" s="68">
        <f t="shared" si="9"/>
        <v>13.643682</v>
      </c>
      <c r="G40" s="68">
        <f t="shared" si="5"/>
        <v>0.19149000000000002</v>
      </c>
      <c r="H40" s="68">
        <f t="shared" si="5"/>
        <v>2.4375</v>
      </c>
      <c r="I40" s="68">
        <f t="shared" si="5"/>
        <v>0.44265000000000004</v>
      </c>
      <c r="J40" s="68">
        <f t="shared" si="5"/>
        <v>2.1450000000000002E-3</v>
      </c>
      <c r="K40" s="68">
        <f t="shared" si="5"/>
        <v>9.9450000000000007E-3</v>
      </c>
      <c r="L40" s="68">
        <f t="shared" si="5"/>
        <v>0.69615000000000005</v>
      </c>
      <c r="M40" s="68">
        <f t="shared" si="5"/>
        <v>0.23985000000000001</v>
      </c>
      <c r="N40" s="68">
        <f t="shared" si="5"/>
        <v>62.010000000000005</v>
      </c>
      <c r="O40" s="68">
        <f t="shared" si="5"/>
        <v>7663.5</v>
      </c>
      <c r="P40" s="68">
        <f t="shared" si="5"/>
        <v>0</v>
      </c>
      <c r="Q40" s="68">
        <f t="shared" si="10"/>
        <v>8875.0000000000018</v>
      </c>
      <c r="R40" s="68">
        <f t="shared" si="11"/>
        <v>0</v>
      </c>
      <c r="S40" s="68">
        <f t="shared" si="11"/>
        <v>0.30614999999999998</v>
      </c>
      <c r="T40" s="68">
        <f t="shared" si="11"/>
        <v>0</v>
      </c>
      <c r="U40" s="68">
        <f t="shared" si="11"/>
        <v>0</v>
      </c>
    </row>
    <row r="41" spans="1:21" s="51" customFormat="1" ht="13" x14ac:dyDescent="0.35">
      <c r="A41" s="10">
        <f>M8</f>
        <v>11</v>
      </c>
      <c r="B41" s="12">
        <v>250</v>
      </c>
      <c r="C41" s="68">
        <f t="shared" si="6"/>
        <v>120.31500000000001</v>
      </c>
      <c r="D41" s="68">
        <f t="shared" si="7"/>
        <v>20.728967999999995</v>
      </c>
      <c r="E41" s="68">
        <f t="shared" si="8"/>
        <v>2.0442824999999999E-4</v>
      </c>
      <c r="F41" s="68">
        <f t="shared" si="9"/>
        <v>13.643682</v>
      </c>
      <c r="G41" s="68">
        <f t="shared" si="5"/>
        <v>0.19149000000000002</v>
      </c>
      <c r="H41" s="68">
        <f t="shared" si="5"/>
        <v>2.4375</v>
      </c>
      <c r="I41" s="68">
        <f t="shared" si="5"/>
        <v>0.44265000000000004</v>
      </c>
      <c r="J41" s="68">
        <f t="shared" si="5"/>
        <v>2.1450000000000002E-3</v>
      </c>
      <c r="K41" s="68">
        <f t="shared" si="5"/>
        <v>9.9450000000000007E-3</v>
      </c>
      <c r="L41" s="68">
        <f t="shared" si="5"/>
        <v>0.69615000000000005</v>
      </c>
      <c r="M41" s="68">
        <f t="shared" si="5"/>
        <v>0.23985000000000001</v>
      </c>
      <c r="N41" s="68">
        <f t="shared" si="5"/>
        <v>62.010000000000005</v>
      </c>
      <c r="O41" s="68">
        <f t="shared" si="5"/>
        <v>7663.5</v>
      </c>
      <c r="P41" s="68">
        <f t="shared" si="5"/>
        <v>0</v>
      </c>
      <c r="Q41" s="68">
        <f t="shared" si="10"/>
        <v>8875.0000000000018</v>
      </c>
      <c r="R41" s="68">
        <f t="shared" si="11"/>
        <v>0</v>
      </c>
      <c r="S41" s="68">
        <f t="shared" si="11"/>
        <v>0.30614999999999998</v>
      </c>
      <c r="T41" s="68">
        <f t="shared" si="11"/>
        <v>0</v>
      </c>
      <c r="U41" s="68">
        <f t="shared" si="11"/>
        <v>0</v>
      </c>
    </row>
    <row r="42" spans="1:21" s="51" customFormat="1" ht="13" x14ac:dyDescent="0.35">
      <c r="A42" s="10">
        <f>N8</f>
        <v>12</v>
      </c>
      <c r="B42" s="12">
        <v>250</v>
      </c>
      <c r="C42" s="68">
        <f t="shared" si="6"/>
        <v>120.31500000000001</v>
      </c>
      <c r="D42" s="68">
        <f t="shared" si="7"/>
        <v>20.728967999999995</v>
      </c>
      <c r="E42" s="68">
        <f t="shared" si="8"/>
        <v>2.0442824999999999E-4</v>
      </c>
      <c r="F42" s="68">
        <f t="shared" si="9"/>
        <v>13.643682</v>
      </c>
      <c r="G42" s="68">
        <f t="shared" si="5"/>
        <v>0.19149000000000002</v>
      </c>
      <c r="H42" s="68">
        <f t="shared" si="5"/>
        <v>2.4375</v>
      </c>
      <c r="I42" s="68">
        <f t="shared" si="5"/>
        <v>0.44265000000000004</v>
      </c>
      <c r="J42" s="68">
        <f t="shared" si="5"/>
        <v>2.1450000000000002E-3</v>
      </c>
      <c r="K42" s="68">
        <f t="shared" si="5"/>
        <v>9.9450000000000007E-3</v>
      </c>
      <c r="L42" s="68">
        <f t="shared" si="5"/>
        <v>0.69615000000000005</v>
      </c>
      <c r="M42" s="68">
        <f t="shared" si="5"/>
        <v>0.23985000000000001</v>
      </c>
      <c r="N42" s="68">
        <f t="shared" si="5"/>
        <v>62.010000000000005</v>
      </c>
      <c r="O42" s="68">
        <f t="shared" si="5"/>
        <v>7663.5</v>
      </c>
      <c r="P42" s="68">
        <f t="shared" si="5"/>
        <v>0</v>
      </c>
      <c r="Q42" s="68">
        <f t="shared" si="10"/>
        <v>8875.0000000000018</v>
      </c>
      <c r="R42" s="68">
        <f t="shared" si="11"/>
        <v>0</v>
      </c>
      <c r="S42" s="68">
        <f t="shared" si="11"/>
        <v>0.30614999999999998</v>
      </c>
      <c r="T42" s="68">
        <f t="shared" si="11"/>
        <v>0</v>
      </c>
      <c r="U42" s="68">
        <f t="shared" si="11"/>
        <v>0</v>
      </c>
    </row>
    <row r="43" spans="1:21" s="51" customFormat="1" ht="13" x14ac:dyDescent="0.35">
      <c r="A43" s="10">
        <f>O8</f>
        <v>13</v>
      </c>
      <c r="B43" s="12">
        <v>250</v>
      </c>
      <c r="C43" s="68">
        <f t="shared" si="6"/>
        <v>120.31500000000001</v>
      </c>
      <c r="D43" s="68">
        <f t="shared" si="7"/>
        <v>20.728967999999995</v>
      </c>
      <c r="E43" s="68">
        <f t="shared" si="8"/>
        <v>2.0442824999999999E-4</v>
      </c>
      <c r="F43" s="68">
        <f t="shared" si="9"/>
        <v>13.643682</v>
      </c>
      <c r="G43" s="68">
        <f t="shared" si="5"/>
        <v>0.19149000000000002</v>
      </c>
      <c r="H43" s="68">
        <f t="shared" si="5"/>
        <v>2.4375</v>
      </c>
      <c r="I43" s="68">
        <f t="shared" si="5"/>
        <v>0.44265000000000004</v>
      </c>
      <c r="J43" s="68">
        <f t="shared" si="5"/>
        <v>2.1450000000000002E-3</v>
      </c>
      <c r="K43" s="68">
        <f t="shared" si="5"/>
        <v>9.9450000000000007E-3</v>
      </c>
      <c r="L43" s="68">
        <f t="shared" si="5"/>
        <v>0.69615000000000005</v>
      </c>
      <c r="M43" s="68">
        <f t="shared" si="5"/>
        <v>0.23985000000000001</v>
      </c>
      <c r="N43" s="68">
        <f t="shared" si="5"/>
        <v>62.010000000000005</v>
      </c>
      <c r="O43" s="68">
        <f t="shared" si="5"/>
        <v>7663.5</v>
      </c>
      <c r="P43" s="68">
        <f t="shared" si="5"/>
        <v>0</v>
      </c>
      <c r="Q43" s="68">
        <f t="shared" si="10"/>
        <v>8875.0000000000018</v>
      </c>
      <c r="R43" s="68">
        <f t="shared" si="11"/>
        <v>0</v>
      </c>
      <c r="S43" s="68">
        <f t="shared" si="11"/>
        <v>0.30614999999999998</v>
      </c>
      <c r="T43" s="68">
        <f t="shared" si="11"/>
        <v>0</v>
      </c>
      <c r="U43" s="68">
        <f t="shared" si="11"/>
        <v>0</v>
      </c>
    </row>
    <row r="44" spans="1:21" s="51" customFormat="1" ht="13" x14ac:dyDescent="0.35">
      <c r="A44" s="10">
        <f>P8</f>
        <v>15</v>
      </c>
      <c r="B44" s="12">
        <v>250</v>
      </c>
      <c r="C44" s="68">
        <f t="shared" si="6"/>
        <v>120.31500000000001</v>
      </c>
      <c r="D44" s="68">
        <f t="shared" si="7"/>
        <v>20.728967999999995</v>
      </c>
      <c r="E44" s="68">
        <f t="shared" si="8"/>
        <v>2.0442824999999999E-4</v>
      </c>
      <c r="F44" s="68">
        <f t="shared" si="9"/>
        <v>13.643682</v>
      </c>
      <c r="G44" s="68">
        <f t="shared" si="5"/>
        <v>0.19149000000000002</v>
      </c>
      <c r="H44" s="68">
        <f t="shared" si="5"/>
        <v>2.4375</v>
      </c>
      <c r="I44" s="68">
        <f t="shared" si="5"/>
        <v>0.44265000000000004</v>
      </c>
      <c r="J44" s="68">
        <f t="shared" si="5"/>
        <v>2.1450000000000002E-3</v>
      </c>
      <c r="K44" s="68">
        <f t="shared" si="5"/>
        <v>9.9450000000000007E-3</v>
      </c>
      <c r="L44" s="68">
        <f t="shared" si="5"/>
        <v>0.69615000000000005</v>
      </c>
      <c r="M44" s="68">
        <f t="shared" si="5"/>
        <v>0.23985000000000001</v>
      </c>
      <c r="N44" s="68">
        <f t="shared" si="5"/>
        <v>62.010000000000005</v>
      </c>
      <c r="O44" s="68">
        <f t="shared" si="5"/>
        <v>7663.5</v>
      </c>
      <c r="P44" s="68">
        <f t="shared" si="5"/>
        <v>0</v>
      </c>
      <c r="Q44" s="68">
        <f t="shared" si="10"/>
        <v>8875.0000000000018</v>
      </c>
      <c r="R44" s="68">
        <f t="shared" si="11"/>
        <v>0</v>
      </c>
      <c r="S44" s="68">
        <f t="shared" si="11"/>
        <v>0.30614999999999998</v>
      </c>
      <c r="T44" s="68">
        <f t="shared" si="11"/>
        <v>0</v>
      </c>
      <c r="U44" s="68">
        <f t="shared" si="11"/>
        <v>0</v>
      </c>
    </row>
    <row r="45" spans="1:21" s="51" customFormat="1" ht="13" x14ac:dyDescent="0.35">
      <c r="A45" s="10">
        <f>Q8</f>
        <v>16</v>
      </c>
      <c r="B45" s="12">
        <v>250</v>
      </c>
      <c r="C45" s="68">
        <f t="shared" si="6"/>
        <v>120.31500000000001</v>
      </c>
      <c r="D45" s="68">
        <f t="shared" si="7"/>
        <v>20.728967999999995</v>
      </c>
      <c r="E45" s="68">
        <f t="shared" si="8"/>
        <v>2.0442824999999999E-4</v>
      </c>
      <c r="F45" s="68">
        <f t="shared" si="9"/>
        <v>13.643682</v>
      </c>
      <c r="G45" s="68">
        <f t="shared" si="5"/>
        <v>0.19149000000000002</v>
      </c>
      <c r="H45" s="68">
        <f t="shared" si="5"/>
        <v>2.4375</v>
      </c>
      <c r="I45" s="68">
        <f t="shared" si="5"/>
        <v>0.44265000000000004</v>
      </c>
      <c r="J45" s="68">
        <f t="shared" si="5"/>
        <v>2.1450000000000002E-3</v>
      </c>
      <c r="K45" s="68">
        <f t="shared" si="5"/>
        <v>9.9450000000000007E-3</v>
      </c>
      <c r="L45" s="68">
        <f t="shared" si="5"/>
        <v>0.69615000000000005</v>
      </c>
      <c r="M45" s="68">
        <f t="shared" si="5"/>
        <v>0.23985000000000001</v>
      </c>
      <c r="N45" s="68">
        <f t="shared" si="5"/>
        <v>62.010000000000005</v>
      </c>
      <c r="O45" s="68">
        <f t="shared" si="5"/>
        <v>7663.5</v>
      </c>
      <c r="P45" s="68">
        <f t="shared" si="5"/>
        <v>0</v>
      </c>
      <c r="Q45" s="68">
        <f t="shared" si="10"/>
        <v>8875.0000000000018</v>
      </c>
      <c r="R45" s="68">
        <f t="shared" si="11"/>
        <v>0</v>
      </c>
      <c r="S45" s="68">
        <f t="shared" si="11"/>
        <v>0.30614999999999998</v>
      </c>
      <c r="T45" s="68">
        <f t="shared" si="11"/>
        <v>0</v>
      </c>
      <c r="U45" s="68">
        <f t="shared" si="11"/>
        <v>0</v>
      </c>
    </row>
    <row r="46" spans="1:21" s="51" customFormat="1" ht="13" x14ac:dyDescent="0.35">
      <c r="A46" s="10">
        <f>R8</f>
        <v>21</v>
      </c>
      <c r="B46" s="12">
        <v>250</v>
      </c>
      <c r="C46" s="68">
        <f t="shared" si="6"/>
        <v>120.31500000000001</v>
      </c>
      <c r="D46" s="68">
        <f t="shared" si="7"/>
        <v>20.728967999999995</v>
      </c>
      <c r="E46" s="68">
        <f t="shared" si="8"/>
        <v>2.0442824999999999E-4</v>
      </c>
      <c r="F46" s="68">
        <f t="shared" si="9"/>
        <v>13.643682</v>
      </c>
      <c r="G46" s="68">
        <f t="shared" si="5"/>
        <v>0.19149000000000002</v>
      </c>
      <c r="H46" s="68">
        <f t="shared" si="5"/>
        <v>2.4375</v>
      </c>
      <c r="I46" s="68">
        <f t="shared" si="5"/>
        <v>0.44265000000000004</v>
      </c>
      <c r="J46" s="68">
        <f t="shared" si="5"/>
        <v>2.1450000000000002E-3</v>
      </c>
      <c r="K46" s="68">
        <f t="shared" si="5"/>
        <v>9.9450000000000007E-3</v>
      </c>
      <c r="L46" s="68">
        <f t="shared" si="5"/>
        <v>0.69615000000000005</v>
      </c>
      <c r="M46" s="68">
        <f t="shared" si="5"/>
        <v>0.23985000000000001</v>
      </c>
      <c r="N46" s="68">
        <f t="shared" si="5"/>
        <v>62.010000000000005</v>
      </c>
      <c r="O46" s="68">
        <f t="shared" si="5"/>
        <v>7663.5</v>
      </c>
      <c r="P46" s="68">
        <f t="shared" si="5"/>
        <v>0</v>
      </c>
      <c r="Q46" s="68">
        <f t="shared" si="10"/>
        <v>8875.0000000000018</v>
      </c>
      <c r="R46" s="68">
        <f t="shared" si="11"/>
        <v>0</v>
      </c>
      <c r="S46" s="68">
        <f t="shared" si="11"/>
        <v>0.30614999999999998</v>
      </c>
      <c r="T46" s="68">
        <f t="shared" si="11"/>
        <v>0</v>
      </c>
      <c r="U46" s="68">
        <f t="shared" si="11"/>
        <v>0</v>
      </c>
    </row>
    <row r="47" spans="1:21" s="51" customFormat="1" ht="13" x14ac:dyDescent="0.35">
      <c r="A47" s="10">
        <f>S8</f>
        <v>22</v>
      </c>
      <c r="B47" s="12">
        <v>250</v>
      </c>
      <c r="C47" s="68">
        <f t="shared" si="6"/>
        <v>120.31500000000001</v>
      </c>
      <c r="D47" s="68">
        <f t="shared" si="7"/>
        <v>20.728967999999995</v>
      </c>
      <c r="E47" s="68">
        <f t="shared" si="8"/>
        <v>2.0442824999999999E-4</v>
      </c>
      <c r="F47" s="68">
        <f t="shared" si="9"/>
        <v>13.643682</v>
      </c>
      <c r="G47" s="68">
        <f t="shared" ref="G47:P50" si="12">IF(G$27="%w/w SAR",((G$28*10)*$B47),IF(G$27="%w/w DM",(((G$28*10)*($B$28/100))*$B47),IF(G$27="kg/t SAR",(G$28*$B47),IF(G$27="kg/t DM",((G$28*($B$28/100))*$B47),IF(G$27="mg/kg SAR",((G$28*0.001)*$B47),IF(G$27="mg/kg DM",(((G$28*0.001)*($B$28/100))*$B47),0))))))</f>
        <v>0.19149000000000002</v>
      </c>
      <c r="H47" s="68">
        <f t="shared" si="12"/>
        <v>2.4375</v>
      </c>
      <c r="I47" s="68">
        <f t="shared" si="12"/>
        <v>0.44265000000000004</v>
      </c>
      <c r="J47" s="68">
        <f t="shared" si="12"/>
        <v>2.1450000000000002E-3</v>
      </c>
      <c r="K47" s="68">
        <f t="shared" si="12"/>
        <v>9.9450000000000007E-3</v>
      </c>
      <c r="L47" s="68">
        <f t="shared" si="12"/>
        <v>0.69615000000000005</v>
      </c>
      <c r="M47" s="68">
        <f t="shared" si="12"/>
        <v>0.23985000000000001</v>
      </c>
      <c r="N47" s="68">
        <f t="shared" si="12"/>
        <v>62.010000000000005</v>
      </c>
      <c r="O47" s="68">
        <f t="shared" si="12"/>
        <v>7663.5</v>
      </c>
      <c r="P47" s="68">
        <f t="shared" si="12"/>
        <v>0</v>
      </c>
      <c r="Q47" s="68">
        <f t="shared" si="10"/>
        <v>8875.0000000000018</v>
      </c>
      <c r="R47" s="68">
        <f t="shared" si="11"/>
        <v>0</v>
      </c>
      <c r="S47" s="68">
        <f t="shared" si="11"/>
        <v>0.30614999999999998</v>
      </c>
      <c r="T47" s="68">
        <f t="shared" si="11"/>
        <v>0</v>
      </c>
      <c r="U47" s="68">
        <f t="shared" si="11"/>
        <v>0</v>
      </c>
    </row>
    <row r="48" spans="1:21" s="51" customFormat="1" ht="13" x14ac:dyDescent="0.35">
      <c r="A48" s="10">
        <f>T8</f>
        <v>23</v>
      </c>
      <c r="B48" s="12">
        <v>250</v>
      </c>
      <c r="C48" s="68">
        <f t="shared" si="6"/>
        <v>120.31500000000001</v>
      </c>
      <c r="D48" s="68">
        <f t="shared" si="7"/>
        <v>20.728967999999995</v>
      </c>
      <c r="E48" s="68">
        <f t="shared" si="8"/>
        <v>2.0442824999999999E-4</v>
      </c>
      <c r="F48" s="68">
        <f t="shared" si="9"/>
        <v>13.643682</v>
      </c>
      <c r="G48" s="68">
        <f t="shared" si="12"/>
        <v>0.19149000000000002</v>
      </c>
      <c r="H48" s="68">
        <f t="shared" si="12"/>
        <v>2.4375</v>
      </c>
      <c r="I48" s="68">
        <f t="shared" si="12"/>
        <v>0.44265000000000004</v>
      </c>
      <c r="J48" s="68">
        <f t="shared" si="12"/>
        <v>2.1450000000000002E-3</v>
      </c>
      <c r="K48" s="68">
        <f t="shared" si="12"/>
        <v>9.9450000000000007E-3</v>
      </c>
      <c r="L48" s="68">
        <f t="shared" si="12"/>
        <v>0.69615000000000005</v>
      </c>
      <c r="M48" s="68">
        <f t="shared" si="12"/>
        <v>0.23985000000000001</v>
      </c>
      <c r="N48" s="68">
        <f t="shared" si="12"/>
        <v>62.010000000000005</v>
      </c>
      <c r="O48" s="68">
        <f t="shared" si="12"/>
        <v>7663.5</v>
      </c>
      <c r="P48" s="68">
        <f t="shared" si="12"/>
        <v>0</v>
      </c>
      <c r="Q48" s="68">
        <f t="shared" si="10"/>
        <v>8875.0000000000018</v>
      </c>
      <c r="R48" s="68">
        <f t="shared" si="11"/>
        <v>0</v>
      </c>
      <c r="S48" s="68">
        <f t="shared" si="11"/>
        <v>0.30614999999999998</v>
      </c>
      <c r="T48" s="68">
        <f t="shared" si="11"/>
        <v>0</v>
      </c>
      <c r="U48" s="68">
        <f t="shared" si="11"/>
        <v>0</v>
      </c>
    </row>
    <row r="49" spans="1:21" s="51" customFormat="1" ht="13" x14ac:dyDescent="0.35">
      <c r="A49" s="10">
        <f>U8</f>
        <v>7078</v>
      </c>
      <c r="B49" s="12">
        <v>250</v>
      </c>
      <c r="C49" s="68">
        <f t="shared" si="6"/>
        <v>120.31500000000001</v>
      </c>
      <c r="D49" s="68">
        <f t="shared" si="7"/>
        <v>20.728967999999995</v>
      </c>
      <c r="E49" s="68">
        <f t="shared" si="8"/>
        <v>2.0442824999999999E-4</v>
      </c>
      <c r="F49" s="68">
        <f t="shared" si="9"/>
        <v>13.643682</v>
      </c>
      <c r="G49" s="68">
        <f t="shared" si="12"/>
        <v>0.19149000000000002</v>
      </c>
      <c r="H49" s="68">
        <f t="shared" si="12"/>
        <v>2.4375</v>
      </c>
      <c r="I49" s="68">
        <f t="shared" si="12"/>
        <v>0.44265000000000004</v>
      </c>
      <c r="J49" s="68">
        <f t="shared" si="12"/>
        <v>2.1450000000000002E-3</v>
      </c>
      <c r="K49" s="68">
        <f t="shared" si="12"/>
        <v>9.9450000000000007E-3</v>
      </c>
      <c r="L49" s="68">
        <f t="shared" si="12"/>
        <v>0.69615000000000005</v>
      </c>
      <c r="M49" s="68">
        <f t="shared" si="12"/>
        <v>0.23985000000000001</v>
      </c>
      <c r="N49" s="68">
        <f t="shared" si="12"/>
        <v>62.010000000000005</v>
      </c>
      <c r="O49" s="68">
        <f t="shared" si="12"/>
        <v>7663.5</v>
      </c>
      <c r="P49" s="68">
        <f t="shared" si="12"/>
        <v>0</v>
      </c>
      <c r="Q49" s="68">
        <f t="shared" si="10"/>
        <v>8875.0000000000018</v>
      </c>
      <c r="R49" s="68">
        <f t="shared" si="11"/>
        <v>0</v>
      </c>
      <c r="S49" s="68">
        <f t="shared" si="11"/>
        <v>0.30614999999999998</v>
      </c>
      <c r="T49" s="68">
        <f t="shared" si="11"/>
        <v>0</v>
      </c>
      <c r="U49" s="68">
        <f t="shared" si="11"/>
        <v>0</v>
      </c>
    </row>
    <row r="50" spans="1:21" s="51" customFormat="1" ht="13.5" thickBot="1" x14ac:dyDescent="0.4">
      <c r="A50" s="11">
        <f>V8</f>
        <v>7058</v>
      </c>
      <c r="B50" s="12">
        <v>250</v>
      </c>
      <c r="C50" s="87">
        <f t="shared" si="6"/>
        <v>120.31500000000001</v>
      </c>
      <c r="D50" s="87">
        <f t="shared" si="7"/>
        <v>20.728967999999995</v>
      </c>
      <c r="E50" s="87">
        <f t="shared" si="8"/>
        <v>2.0442824999999999E-4</v>
      </c>
      <c r="F50" s="87">
        <f t="shared" si="9"/>
        <v>13.643682</v>
      </c>
      <c r="G50" s="87">
        <f t="shared" si="12"/>
        <v>0.19149000000000002</v>
      </c>
      <c r="H50" s="87">
        <f t="shared" si="12"/>
        <v>2.4375</v>
      </c>
      <c r="I50" s="87">
        <f t="shared" si="12"/>
        <v>0.44265000000000004</v>
      </c>
      <c r="J50" s="87">
        <f t="shared" si="12"/>
        <v>2.1450000000000002E-3</v>
      </c>
      <c r="K50" s="87">
        <f t="shared" si="12"/>
        <v>9.9450000000000007E-3</v>
      </c>
      <c r="L50" s="87">
        <f t="shared" si="12"/>
        <v>0.69615000000000005</v>
      </c>
      <c r="M50" s="87">
        <f t="shared" si="12"/>
        <v>0.23985000000000001</v>
      </c>
      <c r="N50" s="87">
        <f t="shared" si="12"/>
        <v>62.010000000000005</v>
      </c>
      <c r="O50" s="87">
        <f t="shared" si="12"/>
        <v>7663.5</v>
      </c>
      <c r="P50" s="87">
        <f t="shared" si="12"/>
        <v>0</v>
      </c>
      <c r="Q50" s="87">
        <f t="shared" si="10"/>
        <v>8875.0000000000018</v>
      </c>
      <c r="R50" s="87">
        <f t="shared" si="11"/>
        <v>0</v>
      </c>
      <c r="S50" s="87">
        <f t="shared" si="11"/>
        <v>0.30614999999999998</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21" ht="13" x14ac:dyDescent="0.35">
      <c r="A58" s="82"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str">
        <f>Q16&amp;" I "&amp;(VLOOKUP(Q14,Table24581114[],6,FALSE))</f>
        <v>Medium/Clay I Grass</v>
      </c>
      <c r="Q58" s="10" t="str">
        <f>R16&amp;" I "&amp;(VLOOKUP(R14,Table24581114[],6,FALSE))</f>
        <v>Medium/Clay I Grass</v>
      </c>
      <c r="R58" s="10" t="str">
        <f>S16&amp;" I "&amp;(VLOOKUP(S14,Table24581114[],6,FALSE))</f>
        <v>Medium/Clay I Grass</v>
      </c>
      <c r="S58" s="10" t="str">
        <f>T16&amp;" I "&amp;(VLOOKUP(T14,Table24581114[],6,FALSE))</f>
        <v>Medium/Clay I Grass</v>
      </c>
      <c r="T58" s="10" t="str">
        <f>U16&amp;" I "&amp;(VLOOKUP(U14,Table24581114[],6,FALSE))</f>
        <v>Medium/Clay I Grass</v>
      </c>
      <c r="U58" s="10" t="str">
        <f>V16&amp;" I "&amp;(VLOOKUP(V14,Table24581114[],6,FALSE))</f>
        <v>Medium/Clay I Grass</v>
      </c>
    </row>
    <row r="59" spans="1:21" ht="13" x14ac:dyDescent="0.3">
      <c r="A59" s="100" t="s">
        <v>132</v>
      </c>
      <c r="B59" s="67">
        <f>VLOOKUP(C$14,Table24581114[],5,FALSE)</f>
        <v>6.2</v>
      </c>
      <c r="C59" s="67">
        <f>VLOOKUP(D$14,Table24581114[],5,FALSE)</f>
        <v>6.2</v>
      </c>
      <c r="D59" s="67">
        <f>VLOOKUP(E$14,Table24581114[],5,FALSE)</f>
        <v>6.2</v>
      </c>
      <c r="E59" s="67">
        <f>VLOOKUP(F$14,Table24581114[],5,FALSE)</f>
        <v>6.2</v>
      </c>
      <c r="F59" s="67">
        <f>VLOOKUP(G$14,Table24581114[],5,FALSE)</f>
        <v>6.2</v>
      </c>
      <c r="G59" s="67">
        <f>VLOOKUP(H$14,Table24581114[],5,FALSE)</f>
        <v>6.2</v>
      </c>
      <c r="H59" s="67">
        <f>VLOOKUP(I$14,Table24581114[],5,FALSE)</f>
        <v>6.2</v>
      </c>
      <c r="I59" s="67">
        <f>VLOOKUP(J$14,Table24581114[],5,FALSE)</f>
        <v>6.2</v>
      </c>
      <c r="J59" s="67">
        <f>VLOOKUP(K$14,Table24581114[],5,FALSE)</f>
        <v>6.2</v>
      </c>
      <c r="K59" s="67">
        <f>VLOOKUP(L$14,Table24581114[],5,FALSE)</f>
        <v>6.2</v>
      </c>
      <c r="L59" s="67">
        <f>VLOOKUP(M$14,Table24581114[],5,FALSE)</f>
        <v>6.2</v>
      </c>
      <c r="M59" s="67">
        <f>VLOOKUP(N$14,Table24581114[],5,FALSE)</f>
        <v>6.2</v>
      </c>
      <c r="N59" s="67">
        <f>VLOOKUP(O$14,Table24581114[],5,FALSE)</f>
        <v>6.2</v>
      </c>
      <c r="O59" s="67">
        <f>VLOOKUP(P$14,Table24581114[],5,FALSE)</f>
        <v>6.2</v>
      </c>
      <c r="P59" s="67">
        <f>VLOOKUP(Q$14,Table24581114[],5,FALSE)</f>
        <v>6.2</v>
      </c>
      <c r="Q59" s="67">
        <f>VLOOKUP(R$14,Table24581114[],5,FALSE)</f>
        <v>6.2</v>
      </c>
      <c r="R59" s="67">
        <f>VLOOKUP(S$14,Table24581114[],5,FALSE)</f>
        <v>6.2</v>
      </c>
      <c r="S59" s="67">
        <f>VLOOKUP(T$14,Table24581114[],5,FALSE)</f>
        <v>6.2</v>
      </c>
      <c r="T59" s="67">
        <f>VLOOKUP(U$14,Table24581114[],5,FALSE)</f>
        <v>6.2</v>
      </c>
      <c r="U59" s="67">
        <f>VLOOKUP(V$14,Table24581114[],5,FALSE)</f>
        <v>6.2</v>
      </c>
    </row>
    <row r="60" spans="1:21" ht="13" x14ac:dyDescent="0.3">
      <c r="A60" s="100" t="s">
        <v>4</v>
      </c>
      <c r="B60" s="67">
        <f>C10</f>
        <v>7.1</v>
      </c>
      <c r="C60" s="67">
        <f t="shared" ref="C60:U60" si="14">D10</f>
        <v>6.9</v>
      </c>
      <c r="D60" s="67">
        <f t="shared" si="14"/>
        <v>7.7</v>
      </c>
      <c r="E60" s="67">
        <f t="shared" si="14"/>
        <v>6.9</v>
      </c>
      <c r="F60" s="67">
        <f t="shared" si="14"/>
        <v>6.9</v>
      </c>
      <c r="G60" s="67">
        <f t="shared" si="14"/>
        <v>6.3</v>
      </c>
      <c r="H60" s="67">
        <f t="shared" si="14"/>
        <v>7.9</v>
      </c>
      <c r="I60" s="67">
        <f t="shared" si="14"/>
        <v>6.8</v>
      </c>
      <c r="J60" s="67">
        <f t="shared" si="14"/>
        <v>6.7</v>
      </c>
      <c r="K60" s="67">
        <f t="shared" si="14"/>
        <v>6.8</v>
      </c>
      <c r="L60" s="67">
        <f t="shared" si="14"/>
        <v>6.9</v>
      </c>
      <c r="M60" s="67">
        <f t="shared" si="14"/>
        <v>7</v>
      </c>
      <c r="N60" s="67">
        <f t="shared" si="14"/>
        <v>7</v>
      </c>
      <c r="O60" s="67">
        <f t="shared" si="14"/>
        <v>6.8</v>
      </c>
      <c r="P60" s="67">
        <f t="shared" si="14"/>
        <v>6.9</v>
      </c>
      <c r="Q60" s="67">
        <f t="shared" si="14"/>
        <v>6.7</v>
      </c>
      <c r="R60" s="67">
        <f t="shared" si="14"/>
        <v>6.3</v>
      </c>
      <c r="S60" s="67">
        <f t="shared" si="14"/>
        <v>6</v>
      </c>
      <c r="T60" s="67">
        <f t="shared" si="14"/>
        <v>6.8</v>
      </c>
      <c r="U60" s="67">
        <f t="shared" si="14"/>
        <v>6.9</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f t="shared" si="15"/>
        <v>6</v>
      </c>
      <c r="U61" s="67">
        <f t="shared" si="15"/>
        <v>6</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250</v>
      </c>
      <c r="O62" s="68">
        <f>B44</f>
        <v>250</v>
      </c>
      <c r="P62" s="68">
        <f>B45</f>
        <v>250</v>
      </c>
      <c r="Q62" s="68">
        <f>B46</f>
        <v>250</v>
      </c>
      <c r="R62" s="68">
        <f>B47</f>
        <v>250</v>
      </c>
      <c r="S62" s="68">
        <f>B48</f>
        <v>250</v>
      </c>
      <c r="T62" s="68">
        <f>B49</f>
        <v>250</v>
      </c>
      <c r="U62" s="68">
        <f>B50</f>
        <v>250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-5.3999999999999968</v>
      </c>
      <c r="C64" s="68">
        <f t="shared" ref="C64:U64" si="17">(C59-C60)*C61</f>
        <v>-4.2000000000000011</v>
      </c>
      <c r="D64" s="68">
        <f t="shared" si="17"/>
        <v>-9</v>
      </c>
      <c r="E64" s="68">
        <f t="shared" si="17"/>
        <v>-4.2000000000000011</v>
      </c>
      <c r="F64" s="68">
        <f t="shared" si="17"/>
        <v>-4.2000000000000011</v>
      </c>
      <c r="G64" s="68">
        <f t="shared" si="17"/>
        <v>-0.59999999999999787</v>
      </c>
      <c r="H64" s="68">
        <f t="shared" si="17"/>
        <v>-10.200000000000001</v>
      </c>
      <c r="I64" s="68">
        <f t="shared" si="17"/>
        <v>-3.5999999999999979</v>
      </c>
      <c r="J64" s="68">
        <f t="shared" si="17"/>
        <v>-3</v>
      </c>
      <c r="K64" s="68">
        <f t="shared" si="17"/>
        <v>-3.5999999999999979</v>
      </c>
      <c r="L64" s="68">
        <f t="shared" si="17"/>
        <v>-4.2000000000000011</v>
      </c>
      <c r="M64" s="68">
        <f t="shared" si="17"/>
        <v>-4.7999999999999989</v>
      </c>
      <c r="N64" s="68">
        <f t="shared" si="17"/>
        <v>-4.7999999999999989</v>
      </c>
      <c r="O64" s="68">
        <f t="shared" si="17"/>
        <v>-3.5999999999999979</v>
      </c>
      <c r="P64" s="68">
        <f t="shared" si="17"/>
        <v>-4.2000000000000011</v>
      </c>
      <c r="Q64" s="68">
        <f t="shared" si="17"/>
        <v>-3</v>
      </c>
      <c r="R64" s="68">
        <f t="shared" si="17"/>
        <v>-0.59999999999999787</v>
      </c>
      <c r="S64" s="68">
        <f t="shared" si="17"/>
        <v>1.2000000000000011</v>
      </c>
      <c r="T64" s="68">
        <f t="shared" si="17"/>
        <v>-3.5999999999999979</v>
      </c>
      <c r="U64" s="68">
        <f t="shared" si="17"/>
        <v>-4.2000000000000011</v>
      </c>
    </row>
    <row r="65" spans="1:21" ht="52" x14ac:dyDescent="0.3">
      <c r="A65" s="101" t="s">
        <v>157</v>
      </c>
      <c r="B65" s="68">
        <f>B63-B64</f>
        <v>5.3999999999999968</v>
      </c>
      <c r="C65" s="68">
        <f t="shared" ref="C65:U65" si="18">C63-C64</f>
        <v>4.2000000000000011</v>
      </c>
      <c r="D65" s="68">
        <f t="shared" si="18"/>
        <v>9</v>
      </c>
      <c r="E65" s="68">
        <f t="shared" si="18"/>
        <v>4.2000000000000011</v>
      </c>
      <c r="F65" s="68">
        <f t="shared" si="18"/>
        <v>4.2000000000000011</v>
      </c>
      <c r="G65" s="68">
        <f t="shared" si="18"/>
        <v>0.59999999999999787</v>
      </c>
      <c r="H65" s="68">
        <f t="shared" si="18"/>
        <v>10.200000000000001</v>
      </c>
      <c r="I65" s="68">
        <f t="shared" si="18"/>
        <v>3.5999999999999979</v>
      </c>
      <c r="J65" s="68">
        <f t="shared" si="18"/>
        <v>3</v>
      </c>
      <c r="K65" s="68">
        <f t="shared" si="18"/>
        <v>3.5999999999999979</v>
      </c>
      <c r="L65" s="68">
        <f t="shared" si="18"/>
        <v>4.2000000000000011</v>
      </c>
      <c r="M65" s="68">
        <f t="shared" si="18"/>
        <v>4.7999999999999989</v>
      </c>
      <c r="N65" s="68">
        <f t="shared" si="18"/>
        <v>4.7999999999999989</v>
      </c>
      <c r="O65" s="68">
        <f t="shared" si="18"/>
        <v>3.5999999999999979</v>
      </c>
      <c r="P65" s="68">
        <f t="shared" si="18"/>
        <v>4.2000000000000011</v>
      </c>
      <c r="Q65" s="68">
        <f t="shared" si="18"/>
        <v>3</v>
      </c>
      <c r="R65" s="68">
        <f t="shared" si="18"/>
        <v>0.59999999999999787</v>
      </c>
      <c r="S65" s="68">
        <f t="shared" si="18"/>
        <v>-1.2000000000000011</v>
      </c>
      <c r="T65" s="68">
        <f t="shared" si="18"/>
        <v>3.5999999999999979</v>
      </c>
      <c r="U65" s="68">
        <f t="shared" si="18"/>
        <v>4.2000000000000011</v>
      </c>
    </row>
    <row r="66" spans="1:21" ht="26"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str">
        <f t="shared" si="19"/>
        <v>OVER</v>
      </c>
      <c r="N66" s="69" t="str">
        <f t="shared" si="19"/>
        <v>OVER</v>
      </c>
      <c r="O66" s="69" t="str">
        <f t="shared" si="19"/>
        <v>OVER</v>
      </c>
      <c r="P66" s="69" t="str">
        <f t="shared" si="19"/>
        <v>OVER</v>
      </c>
      <c r="Q66" s="69" t="str">
        <f t="shared" si="19"/>
        <v>OVER</v>
      </c>
      <c r="R66" s="69" t="str">
        <f t="shared" si="19"/>
        <v>OVER</v>
      </c>
      <c r="S66" s="69" t="str">
        <f t="shared" si="19"/>
        <v>UNDER</v>
      </c>
      <c r="T66" s="69" t="str">
        <f t="shared" si="19"/>
        <v>OVER</v>
      </c>
      <c r="U66" s="69" t="str">
        <f t="shared" si="19"/>
        <v>OVER</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3" priority="36" operator="greaterThan">
      <formula>$B$51</formula>
    </cfRule>
  </conditionalFormatting>
  <conditionalFormatting sqref="B66:U66">
    <cfRule type="cellIs" dxfId="82" priority="11" operator="equal">
      <formula>"UNDER"</formula>
    </cfRule>
    <cfRule type="cellIs" dxfId="81" priority="12" operator="equal">
      <formula>"OVER"</formula>
    </cfRule>
  </conditionalFormatting>
  <conditionalFormatting sqref="C31:C50">
    <cfRule type="cellIs" dxfId="80" priority="35" operator="greaterThan">
      <formula>$C$51</formula>
    </cfRule>
  </conditionalFormatting>
  <conditionalFormatting sqref="C17:V19">
    <cfRule type="cellIs" dxfId="79" priority="32" operator="equal">
      <formula>0</formula>
    </cfRule>
  </conditionalFormatting>
  <conditionalFormatting sqref="C20:V21">
    <cfRule type="cellIs" dxfId="78" priority="37" operator="equal">
      <formula>"DECREASE"</formula>
    </cfRule>
    <cfRule type="cellIs" dxfId="77" priority="38" operator="equal">
      <formula>"INCREASE"</formula>
    </cfRule>
  </conditionalFormatting>
  <conditionalFormatting sqref="C21:V21">
    <cfRule type="cellIs" dxfId="76" priority="13" operator="equal">
      <formula>0</formula>
    </cfRule>
  </conditionalFormatting>
  <conditionalFormatting sqref="C22:V23">
    <cfRule type="cellIs" dxfId="75" priority="17" operator="equal">
      <formula>0</formula>
    </cfRule>
  </conditionalFormatting>
  <conditionalFormatting sqref="C24:V24">
    <cfRule type="cellIs" dxfId="74" priority="18" operator="equal">
      <formula>"DECREASE"</formula>
    </cfRule>
    <cfRule type="cellIs" dxfId="73" priority="19"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3" operator="between">
      <formula>0.1</formula>
      <formula>5</formula>
    </cfRule>
  </conditionalFormatting>
  <conditionalFormatting sqref="I2">
    <cfRule type="cellIs" dxfId="69" priority="2" operator="greaterThan">
      <formula>5000.1</formula>
    </cfRule>
  </conditionalFormatting>
  <conditionalFormatting sqref="I3">
    <cfRule type="cellIs" dxfId="68" priority="1" operator="greaterThan">
      <formula>40000.01</formula>
    </cfRule>
  </conditionalFormatting>
  <conditionalFormatting sqref="I31:I50">
    <cfRule type="cellIs" dxfId="67" priority="29" operator="greaterThan">
      <formula>$I$51</formula>
    </cfRule>
  </conditionalFormatting>
  <conditionalFormatting sqref="J31:J50">
    <cfRule type="cellIs" dxfId="66" priority="8" operator="greaterThan">
      <formula>$J$51</formula>
    </cfRule>
  </conditionalFormatting>
  <conditionalFormatting sqref="K31:K50">
    <cfRule type="cellIs" dxfId="65" priority="28" operator="greaterThan">
      <formula>$K$51</formula>
    </cfRule>
  </conditionalFormatting>
  <conditionalFormatting sqref="L3">
    <cfRule type="cellIs" dxfId="64" priority="4" operator="lessThan">
      <formula>30</formula>
    </cfRule>
    <cfRule type="cellIs" dxfId="63" priority="5" operator="greaterThanOrEqual">
      <formula>30</formula>
    </cfRule>
  </conditionalFormatting>
  <conditionalFormatting sqref="L31:L50">
    <cfRule type="cellIs" dxfId="62" priority="27" operator="greaterThan">
      <formula>$L$51</formula>
    </cfRule>
  </conditionalFormatting>
  <conditionalFormatting sqref="M31:M50">
    <cfRule type="cellIs" dxfId="61" priority="26" operator="greaterThan">
      <formula>$M$51</formula>
    </cfRule>
  </conditionalFormatting>
  <conditionalFormatting sqref="P31:P50">
    <cfRule type="cellIs" dxfId="60" priority="25" operator="greaterThan">
      <formula>$P$51</formula>
    </cfRule>
  </conditionalFormatting>
  <conditionalFormatting sqref="R31:R50">
    <cfRule type="cellIs" dxfId="59" priority="24" operator="greaterThan">
      <formula>$R$51</formula>
    </cfRule>
  </conditionalFormatting>
  <conditionalFormatting sqref="S31:S50">
    <cfRule type="cellIs" dxfId="58" priority="23" operator="greaterThan">
      <formula>$S$51</formula>
    </cfRule>
  </conditionalFormatting>
  <conditionalFormatting sqref="T31:T50">
    <cfRule type="cellIs" dxfId="57" priority="22" operator="greaterThan">
      <formula>$T$51</formula>
    </cfRule>
  </conditionalFormatting>
  <conditionalFormatting sqref="U31:U50">
    <cfRule type="cellIs" dxfId="56" priority="21"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abSelected="1" topLeftCell="C1" zoomScale="90" zoomScaleNormal="90" workbookViewId="0">
      <selection activeCell="T28" sqref="T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'Bryn Cowlyd'!C1:D1</f>
        <v>PAN-026782</v>
      </c>
      <c r="D1" s="128"/>
      <c r="E1" s="83" t="s">
        <v>45</v>
      </c>
      <c r="F1" s="32">
        <f>'Bryn Cowlyd'!F1</f>
        <v>49.3</v>
      </c>
      <c r="G1" s="107" t="s">
        <v>43</v>
      </c>
      <c r="H1" s="108"/>
      <c r="I1" s="86">
        <v>6.3</v>
      </c>
      <c r="J1" s="106" t="s">
        <v>153</v>
      </c>
      <c r="K1" s="106"/>
      <c r="L1" s="86">
        <v>65.900000000000006</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'Bryn Cowlyd'!C2:D2</f>
        <v>EPR/GP3792SK</v>
      </c>
      <c r="D2" s="130"/>
      <c r="E2" s="83" t="s">
        <v>109</v>
      </c>
      <c r="F2" s="86" t="s">
        <v>167</v>
      </c>
      <c r="G2" s="125" t="s">
        <v>110</v>
      </c>
      <c r="H2" s="126"/>
      <c r="I2" s="86"/>
      <c r="J2" s="106" t="s">
        <v>158</v>
      </c>
      <c r="K2" s="106"/>
      <c r="L2" s="86">
        <v>0.61199999999999999</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'Bryn Cowlyd'!C3:D3</f>
        <v xml:space="preserve">Byproduct recovery LTD </v>
      </c>
      <c r="D3" s="130"/>
      <c r="E3" s="83" t="s">
        <v>108</v>
      </c>
      <c r="F3" s="24" t="s">
        <v>78</v>
      </c>
      <c r="G3" s="106" t="s">
        <v>159</v>
      </c>
      <c r="H3" s="106"/>
      <c r="I3" s="86"/>
      <c r="J3" s="107" t="s">
        <v>154</v>
      </c>
      <c r="K3" s="108"/>
      <c r="L3" s="86">
        <f>(L1/(L2*10000))*100</f>
        <v>1.076797385620915</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'Bryn Cowlyd'!C4:D4</f>
        <v xml:space="preserve">Farchwel, Talybont, Conwy, LL32 8UY </v>
      </c>
      <c r="D4" s="128"/>
      <c r="E4" s="84" t="s">
        <v>1</v>
      </c>
      <c r="F4" s="86" t="s">
        <v>173</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'Bryn Cowlyd'!C5:D5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f>'Bryn Cowlyd'!C8</f>
        <v>1</v>
      </c>
      <c r="D8" s="52">
        <f>'Bryn Cowlyd'!D8</f>
        <v>2</v>
      </c>
      <c r="E8" s="52">
        <f>'Bryn Cowlyd'!E8</f>
        <v>3</v>
      </c>
      <c r="F8" s="52">
        <f>'Bryn Cowlyd'!F8</f>
        <v>4</v>
      </c>
      <c r="G8" s="52">
        <f>'Bryn Cowlyd'!G8</f>
        <v>5</v>
      </c>
      <c r="H8" s="52">
        <f>'Bryn Cowlyd'!H8</f>
        <v>6</v>
      </c>
      <c r="I8" s="52">
        <f>'Bryn Cowlyd'!I8</f>
        <v>7</v>
      </c>
      <c r="J8" s="52">
        <f>'Bryn Cowlyd'!J8</f>
        <v>8</v>
      </c>
      <c r="K8" s="52">
        <f>'Bryn Cowlyd'!K8</f>
        <v>9</v>
      </c>
      <c r="L8" s="52">
        <f>'Bryn Cowlyd'!L8</f>
        <v>10</v>
      </c>
      <c r="M8" s="52">
        <f>'Bryn Cowlyd'!M8</f>
        <v>11</v>
      </c>
      <c r="N8" s="52">
        <f>'Bryn Cowlyd'!N8</f>
        <v>12</v>
      </c>
      <c r="O8" s="52">
        <f>'Bryn Cowlyd'!O8</f>
        <v>13</v>
      </c>
      <c r="P8" s="52">
        <f>'Bryn Cowlyd'!P8</f>
        <v>15</v>
      </c>
      <c r="Q8" s="52">
        <f>'Bryn Cowlyd'!Q8</f>
        <v>16</v>
      </c>
      <c r="R8" s="52">
        <f>'Bryn Cowlyd'!R8</f>
        <v>21</v>
      </c>
      <c r="S8" s="52">
        <f>'Bryn Cowlyd'!S8</f>
        <v>22</v>
      </c>
      <c r="T8" s="52">
        <f>'Bryn Cowlyd'!T8</f>
        <v>23</v>
      </c>
      <c r="U8" s="52">
        <f>'Bryn Cowlyd'!U8</f>
        <v>7078</v>
      </c>
      <c r="V8" s="52">
        <f>'Bryn Cowlyd'!V8</f>
        <v>7058</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'Bryn Cowlyd'!C9</f>
        <v>M</v>
      </c>
      <c r="D9" s="52" t="str">
        <f>'Bryn Cowlyd'!D9</f>
        <v>M</v>
      </c>
      <c r="E9" s="52" t="str">
        <f>'Bryn Cowlyd'!E9</f>
        <v>M</v>
      </c>
      <c r="F9" s="52" t="str">
        <f>'Bryn Cowlyd'!F9</f>
        <v>M</v>
      </c>
      <c r="G9" s="52" t="str">
        <f>'Bryn Cowlyd'!G9</f>
        <v>M</v>
      </c>
      <c r="H9" s="52" t="str">
        <f>'Bryn Cowlyd'!H9</f>
        <v>M</v>
      </c>
      <c r="I9" s="52" t="str">
        <f>'Bryn Cowlyd'!I9</f>
        <v>M</v>
      </c>
      <c r="J9" s="52" t="str">
        <f>'Bryn Cowlyd'!J9</f>
        <v>M</v>
      </c>
      <c r="K9" s="52" t="str">
        <f>'Bryn Cowlyd'!K9</f>
        <v>M</v>
      </c>
      <c r="L9" s="52" t="str">
        <f>'Bryn Cowlyd'!L9</f>
        <v>M</v>
      </c>
      <c r="M9" s="52" t="str">
        <f>'Bryn Cowlyd'!M9</f>
        <v>M</v>
      </c>
      <c r="N9" s="52" t="str">
        <f>'Bryn Cowlyd'!N9</f>
        <v>M</v>
      </c>
      <c r="O9" s="52" t="str">
        <f>'Bryn Cowlyd'!O9</f>
        <v>M</v>
      </c>
      <c r="P9" s="52" t="str">
        <f>'Bryn Cowlyd'!P9</f>
        <v>M</v>
      </c>
      <c r="Q9" s="52" t="str">
        <f>'Bryn Cowlyd'!Q9</f>
        <v>M</v>
      </c>
      <c r="R9" s="52" t="str">
        <f>'Bryn Cowlyd'!R9</f>
        <v>M</v>
      </c>
      <c r="S9" s="52" t="str">
        <f>'Bryn Cowlyd'!S9</f>
        <v>M</v>
      </c>
      <c r="T9" s="52" t="str">
        <f>'Bryn Cowlyd'!T9</f>
        <v>M</v>
      </c>
      <c r="U9" s="52" t="str">
        <f>'Bryn Cowlyd'!U9</f>
        <v>M</v>
      </c>
      <c r="V9" s="52" t="str">
        <f>'Bryn Cowlyd'!V9</f>
        <v>M</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'Bryn Cowlyd'!C10</f>
        <v>7.1</v>
      </c>
      <c r="D10" s="52">
        <f>'Bryn Cowlyd'!D10</f>
        <v>6.9</v>
      </c>
      <c r="E10" s="52">
        <f>'Bryn Cowlyd'!E10</f>
        <v>7.7</v>
      </c>
      <c r="F10" s="52">
        <f>'Bryn Cowlyd'!F10</f>
        <v>6.9</v>
      </c>
      <c r="G10" s="52">
        <f>'Bryn Cowlyd'!G10</f>
        <v>6.9</v>
      </c>
      <c r="H10" s="52">
        <f>'Bryn Cowlyd'!H10</f>
        <v>6.3</v>
      </c>
      <c r="I10" s="52">
        <f>'Bryn Cowlyd'!I10</f>
        <v>7.9</v>
      </c>
      <c r="J10" s="52">
        <f>'Bryn Cowlyd'!J10</f>
        <v>6.8</v>
      </c>
      <c r="K10" s="52">
        <f>'Bryn Cowlyd'!K10</f>
        <v>6.7</v>
      </c>
      <c r="L10" s="52">
        <f>'Bryn Cowlyd'!L10</f>
        <v>6.8</v>
      </c>
      <c r="M10" s="52">
        <f>'Bryn Cowlyd'!M10</f>
        <v>6.9</v>
      </c>
      <c r="N10" s="52">
        <f>'Bryn Cowlyd'!N10</f>
        <v>7</v>
      </c>
      <c r="O10" s="52">
        <f>'Bryn Cowlyd'!O10</f>
        <v>7</v>
      </c>
      <c r="P10" s="52">
        <f>'Bryn Cowlyd'!P10</f>
        <v>6.8</v>
      </c>
      <c r="Q10" s="52">
        <f>'Bryn Cowlyd'!Q10</f>
        <v>6.9</v>
      </c>
      <c r="R10" s="52">
        <f>'Bryn Cowlyd'!R10</f>
        <v>6.7</v>
      </c>
      <c r="S10" s="52">
        <f>'Bryn Cowlyd'!S10</f>
        <v>6.3</v>
      </c>
      <c r="T10" s="52">
        <f>'Bryn Cowlyd'!T10</f>
        <v>6</v>
      </c>
      <c r="U10" s="52">
        <f>'Bryn Cowlyd'!U10</f>
        <v>6.8</v>
      </c>
      <c r="V10" s="52">
        <f>'Bryn Cowlyd'!V10</f>
        <v>6.9</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'Bryn Cowlyd'!C11</f>
        <v>2</v>
      </c>
      <c r="D11" s="52">
        <f>'Bryn Cowlyd'!D11</f>
        <v>2</v>
      </c>
      <c r="E11" s="52">
        <f>'Bryn Cowlyd'!E11</f>
        <v>2</v>
      </c>
      <c r="F11" s="52">
        <f>'Bryn Cowlyd'!F11</f>
        <v>1</v>
      </c>
      <c r="G11" s="52">
        <f>'Bryn Cowlyd'!G11</f>
        <v>1</v>
      </c>
      <c r="H11" s="52">
        <f>'Bryn Cowlyd'!H11</f>
        <v>1</v>
      </c>
      <c r="I11" s="52">
        <f>'Bryn Cowlyd'!I11</f>
        <v>2</v>
      </c>
      <c r="J11" s="52">
        <f>'Bryn Cowlyd'!J11</f>
        <v>1</v>
      </c>
      <c r="K11" s="52">
        <f>'Bryn Cowlyd'!K11</f>
        <v>1</v>
      </c>
      <c r="L11" s="52">
        <f>'Bryn Cowlyd'!L11</f>
        <v>1</v>
      </c>
      <c r="M11" s="52">
        <f>'Bryn Cowlyd'!M11</f>
        <v>1</v>
      </c>
      <c r="N11" s="52">
        <f>'Bryn Cowlyd'!N11</f>
        <v>2</v>
      </c>
      <c r="O11" s="52">
        <f>'Bryn Cowlyd'!O11</f>
        <v>3</v>
      </c>
      <c r="P11" s="52">
        <f>'Bryn Cowlyd'!P11</f>
        <v>3</v>
      </c>
      <c r="Q11" s="52">
        <f>'Bryn Cowlyd'!Q11</f>
        <v>2</v>
      </c>
      <c r="R11" s="52">
        <f>'Bryn Cowlyd'!R11</f>
        <v>2</v>
      </c>
      <c r="S11" s="52">
        <f>'Bryn Cowlyd'!S11</f>
        <v>2</v>
      </c>
      <c r="T11" s="52">
        <f>'Bryn Cowlyd'!T11</f>
        <v>2</v>
      </c>
      <c r="U11" s="52">
        <f>'Bryn Cowlyd'!U11</f>
        <v>1</v>
      </c>
      <c r="V11" s="52">
        <f>'Bryn Cowlyd'!V11</f>
        <v>1</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'Bryn Cowlyd'!C12</f>
        <v>1</v>
      </c>
      <c r="D12" s="52">
        <f>'Bryn Cowlyd'!D12</f>
        <v>2</v>
      </c>
      <c r="E12" s="52">
        <f>'Bryn Cowlyd'!E12</f>
        <v>1</v>
      </c>
      <c r="F12" s="52">
        <f>'Bryn Cowlyd'!F12</f>
        <v>1</v>
      </c>
      <c r="G12" s="52">
        <f>'Bryn Cowlyd'!G12</f>
        <v>0</v>
      </c>
      <c r="H12" s="52">
        <f>'Bryn Cowlyd'!H12</f>
        <v>1</v>
      </c>
      <c r="I12" s="52">
        <f>'Bryn Cowlyd'!I12</f>
        <v>1</v>
      </c>
      <c r="J12" s="52">
        <f>'Bryn Cowlyd'!J12</f>
        <v>1</v>
      </c>
      <c r="K12" s="52">
        <f>'Bryn Cowlyd'!K12</f>
        <v>1</v>
      </c>
      <c r="L12" s="52">
        <f>'Bryn Cowlyd'!L12</f>
        <v>1</v>
      </c>
      <c r="M12" s="52">
        <f>'Bryn Cowlyd'!M12</f>
        <v>1</v>
      </c>
      <c r="N12" s="52">
        <f>'Bryn Cowlyd'!N12</f>
        <v>0</v>
      </c>
      <c r="O12" s="52">
        <f>'Bryn Cowlyd'!O12</f>
        <v>2</v>
      </c>
      <c r="P12" s="52">
        <f>'Bryn Cowlyd'!P12</f>
        <v>2</v>
      </c>
      <c r="Q12" s="52">
        <f>'Bryn Cowlyd'!Q12</f>
        <v>1</v>
      </c>
      <c r="R12" s="52">
        <f>'Bryn Cowlyd'!R12</f>
        <v>2</v>
      </c>
      <c r="S12" s="52">
        <f>'Bryn Cowlyd'!S12</f>
        <v>2</v>
      </c>
      <c r="T12" s="52">
        <f>'Bryn Cowlyd'!T12</f>
        <v>2</v>
      </c>
      <c r="U12" s="52">
        <f>'Bryn Cowlyd'!U12</f>
        <v>1</v>
      </c>
      <c r="V12" s="52">
        <f>'Bryn Cowlyd'!V12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'Bryn Cowlyd'!C13</f>
        <v>2</v>
      </c>
      <c r="D13" s="52">
        <f>'Bryn Cowlyd'!D13</f>
        <v>2</v>
      </c>
      <c r="E13" s="52">
        <f>'Bryn Cowlyd'!E13</f>
        <v>2</v>
      </c>
      <c r="F13" s="52">
        <f>'Bryn Cowlyd'!F13</f>
        <v>2</v>
      </c>
      <c r="G13" s="52">
        <f>'Bryn Cowlyd'!G13</f>
        <v>2</v>
      </c>
      <c r="H13" s="52">
        <f>'Bryn Cowlyd'!H13</f>
        <v>2</v>
      </c>
      <c r="I13" s="52">
        <f>'Bryn Cowlyd'!I13</f>
        <v>1</v>
      </c>
      <c r="J13" s="52">
        <f>'Bryn Cowlyd'!J13</f>
        <v>2</v>
      </c>
      <c r="K13" s="52">
        <f>'Bryn Cowlyd'!K13</f>
        <v>2</v>
      </c>
      <c r="L13" s="52">
        <f>'Bryn Cowlyd'!L13</f>
        <v>2</v>
      </c>
      <c r="M13" s="52">
        <f>'Bryn Cowlyd'!M13</f>
        <v>2</v>
      </c>
      <c r="N13" s="52">
        <f>'Bryn Cowlyd'!N13</f>
        <v>1</v>
      </c>
      <c r="O13" s="52">
        <f>'Bryn Cowlyd'!O13</f>
        <v>3</v>
      </c>
      <c r="P13" s="52">
        <f>'Bryn Cowlyd'!P13</f>
        <v>3</v>
      </c>
      <c r="Q13" s="52">
        <f>'Bryn Cowlyd'!Q13</f>
        <v>2</v>
      </c>
      <c r="R13" s="52">
        <f>'Bryn Cowlyd'!R13</f>
        <v>3</v>
      </c>
      <c r="S13" s="52">
        <f>'Bryn Cowlyd'!S13</f>
        <v>3</v>
      </c>
      <c r="T13" s="52">
        <f>'Bryn Cowlyd'!T13</f>
        <v>3</v>
      </c>
      <c r="U13" s="52">
        <f>'Bryn Cowlyd'!U13</f>
        <v>2</v>
      </c>
      <c r="V13" s="52">
        <f>'Bryn Cowlyd'!V13</f>
        <v>2</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'Bryn Cowlyd'!C14</f>
        <v xml:space="preserve">Grass Silage (25% DM) </v>
      </c>
      <c r="D14" s="91" t="str">
        <f>'Bryn Cowlyd'!D14</f>
        <v xml:space="preserve">Grass Silage (25% DM) </v>
      </c>
      <c r="E14" s="91" t="str">
        <f>'Bryn Cowlyd'!E14</f>
        <v xml:space="preserve">Grass Silage (25% DM) </v>
      </c>
      <c r="F14" s="91" t="str">
        <f>'Bryn Cowlyd'!F14</f>
        <v xml:space="preserve">Grass Silage (25% DM) </v>
      </c>
      <c r="G14" s="91" t="str">
        <f>'Bryn Cowlyd'!G14</f>
        <v xml:space="preserve">Grass Silage (25% DM) </v>
      </c>
      <c r="H14" s="91" t="str">
        <f>'Bryn Cowlyd'!H14</f>
        <v xml:space="preserve">Grass Silage (25% DM) </v>
      </c>
      <c r="I14" s="91" t="str">
        <f>'Bryn Cowlyd'!I14</f>
        <v xml:space="preserve">Grass Silage (25% DM) </v>
      </c>
      <c r="J14" s="91" t="str">
        <f>'Bryn Cowlyd'!J14</f>
        <v xml:space="preserve">Grass Silage (25% DM) </v>
      </c>
      <c r="K14" s="91" t="str">
        <f>'Bryn Cowlyd'!K14</f>
        <v xml:space="preserve">Grass Silage (25% DM) </v>
      </c>
      <c r="L14" s="91" t="str">
        <f>'Bryn Cowlyd'!L14</f>
        <v xml:space="preserve">Grass Silage (25% DM) </v>
      </c>
      <c r="M14" s="91" t="str">
        <f>'Bryn Cowlyd'!M14</f>
        <v xml:space="preserve">Grass Silage (25% DM) </v>
      </c>
      <c r="N14" s="91" t="str">
        <f>'Bryn Cowlyd'!N14</f>
        <v xml:space="preserve">Grass Silage (25% DM) </v>
      </c>
      <c r="O14" s="91" t="str">
        <f>'Bryn Cowlyd'!O14</f>
        <v xml:space="preserve">Grass Silage (25% DM) </v>
      </c>
      <c r="P14" s="91" t="str">
        <f>'Bryn Cowlyd'!P14</f>
        <v xml:space="preserve">Grass Silage (25% DM) </v>
      </c>
      <c r="Q14" s="91" t="str">
        <f>'Bryn Cowlyd'!Q14</f>
        <v xml:space="preserve">Grass Silage (25% DM) </v>
      </c>
      <c r="R14" s="91" t="str">
        <f>'Bryn Cowlyd'!R14</f>
        <v xml:space="preserve">Grass Silage (25% DM) </v>
      </c>
      <c r="S14" s="91" t="str">
        <f>'Bryn Cowlyd'!S14</f>
        <v xml:space="preserve">Grass Silage (25% DM) </v>
      </c>
      <c r="T14" s="91" t="str">
        <f>'Bryn Cowlyd'!T14</f>
        <v xml:space="preserve">Grass Silage (25% DM) </v>
      </c>
      <c r="U14" s="91" t="str">
        <f>'Bryn Cowlyd'!U14</f>
        <v xml:space="preserve">Grass Silage (25% DM) </v>
      </c>
      <c r="V14" s="91" t="str">
        <f>'Bryn Cowlyd'!V14</f>
        <v xml:space="preserve">Grass Silage (25% DM) </v>
      </c>
      <c r="AD14" s="23" t="s">
        <v>138</v>
      </c>
      <c r="AE14" s="23">
        <v>6</v>
      </c>
      <c r="AI14" s="46" t="s">
        <v>119</v>
      </c>
      <c r="AJ14" s="47">
        <v>0.8</v>
      </c>
      <c r="AK14" s="48">
        <v>1.7</v>
      </c>
      <c r="AL14" s="9">
        <v>12</v>
      </c>
      <c r="AM14" s="9">
        <v>6.7</v>
      </c>
      <c r="AN14" s="9" t="s">
        <v>135</v>
      </c>
    </row>
    <row r="15" spans="1:41" ht="13" x14ac:dyDescent="0.25">
      <c r="A15" s="117" t="s">
        <v>9</v>
      </c>
      <c r="B15" s="117"/>
      <c r="C15" s="52">
        <f>'Bryn Cowlyd'!C15</f>
        <v>38</v>
      </c>
      <c r="D15" s="52">
        <f>'Bryn Cowlyd'!D15</f>
        <v>38</v>
      </c>
      <c r="E15" s="52">
        <f>'Bryn Cowlyd'!E15</f>
        <v>38</v>
      </c>
      <c r="F15" s="52">
        <f>'Bryn Cowlyd'!F15</f>
        <v>38</v>
      </c>
      <c r="G15" s="52">
        <f>'Bryn Cowlyd'!G15</f>
        <v>38</v>
      </c>
      <c r="H15" s="52">
        <f>'Bryn Cowlyd'!H15</f>
        <v>38</v>
      </c>
      <c r="I15" s="52">
        <f>'Bryn Cowlyd'!I15</f>
        <v>38</v>
      </c>
      <c r="J15" s="52">
        <f>'Bryn Cowlyd'!J15</f>
        <v>38</v>
      </c>
      <c r="K15" s="52">
        <f>'Bryn Cowlyd'!K15</f>
        <v>38</v>
      </c>
      <c r="L15" s="52">
        <f>'Bryn Cowlyd'!L15</f>
        <v>38</v>
      </c>
      <c r="M15" s="52">
        <f>'Bryn Cowlyd'!M15</f>
        <v>38</v>
      </c>
      <c r="N15" s="52">
        <f>'Bryn Cowlyd'!N15</f>
        <v>38</v>
      </c>
      <c r="O15" s="52">
        <f>'Bryn Cowlyd'!O15</f>
        <v>38</v>
      </c>
      <c r="P15" s="52">
        <f>'Bryn Cowlyd'!P15</f>
        <v>38</v>
      </c>
      <c r="Q15" s="52">
        <f>'Bryn Cowlyd'!Q15</f>
        <v>38</v>
      </c>
      <c r="R15" s="52">
        <f>'Bryn Cowlyd'!R15</f>
        <v>38</v>
      </c>
      <c r="S15" s="52">
        <f>'Bryn Cowlyd'!S15</f>
        <v>38</v>
      </c>
      <c r="T15" s="52">
        <f>'Bryn Cowlyd'!T15</f>
        <v>38</v>
      </c>
      <c r="U15" s="52">
        <f>'Bryn Cowlyd'!U15</f>
        <v>38</v>
      </c>
      <c r="V15" s="52">
        <f>'Bryn Cowlyd'!V15</f>
        <v>38</v>
      </c>
      <c r="AD15" s="23" t="s">
        <v>144</v>
      </c>
      <c r="AE15" s="23">
        <v>7</v>
      </c>
      <c r="AI15" s="46" t="s">
        <v>101</v>
      </c>
      <c r="AJ15" s="54">
        <v>1.8</v>
      </c>
      <c r="AK15" s="48">
        <v>5.4</v>
      </c>
      <c r="AL15" s="9">
        <v>13</v>
      </c>
      <c r="AM15" s="9">
        <v>6.7</v>
      </c>
      <c r="AN15" s="9" t="s">
        <v>135</v>
      </c>
    </row>
    <row r="16" spans="1:41" ht="13.5" thickBot="1" x14ac:dyDescent="0.3">
      <c r="A16" s="119" t="s">
        <v>44</v>
      </c>
      <c r="B16" s="119"/>
      <c r="C16" s="92" t="str">
        <f>'Bryn Cowlyd'!C16</f>
        <v>Medium/Clay</v>
      </c>
      <c r="D16" s="92" t="str">
        <f>'Bryn Cowlyd'!D16</f>
        <v>Medium/Clay</v>
      </c>
      <c r="E16" s="92" t="str">
        <f>'Bryn Cowlyd'!E16</f>
        <v>Medium/Clay</v>
      </c>
      <c r="F16" s="92" t="str">
        <f>'Bryn Cowlyd'!F16</f>
        <v>Medium/Clay</v>
      </c>
      <c r="G16" s="92" t="str">
        <f>'Bryn Cowlyd'!G16</f>
        <v>Medium/Clay</v>
      </c>
      <c r="H16" s="92" t="str">
        <f>'Bryn Cowlyd'!H16</f>
        <v>Medium/Clay</v>
      </c>
      <c r="I16" s="92" t="str">
        <f>'Bryn Cowlyd'!I16</f>
        <v>Medium/Clay</v>
      </c>
      <c r="J16" s="92" t="str">
        <f>'Bryn Cowlyd'!J16</f>
        <v>Medium/Clay</v>
      </c>
      <c r="K16" s="92" t="str">
        <f>'Bryn Cowlyd'!K16</f>
        <v>Medium/Clay</v>
      </c>
      <c r="L16" s="92" t="str">
        <f>'Bryn Cowlyd'!L16</f>
        <v>Medium/Clay</v>
      </c>
      <c r="M16" s="92" t="str">
        <f>'Bryn Cowlyd'!M16</f>
        <v>Medium/Clay</v>
      </c>
      <c r="N16" s="92" t="str">
        <f>'Bryn Cowlyd'!N16</f>
        <v>Medium/Clay</v>
      </c>
      <c r="O16" s="92" t="str">
        <f>'Bryn Cowlyd'!O16</f>
        <v>Medium/Clay</v>
      </c>
      <c r="P16" s="92" t="str">
        <f>'Bryn Cowlyd'!P16</f>
        <v>Medium/Clay</v>
      </c>
      <c r="Q16" s="92" t="str">
        <f>'Bryn Cowlyd'!Q16</f>
        <v>Medium/Clay</v>
      </c>
      <c r="R16" s="92" t="str">
        <f>'Bryn Cowlyd'!R16</f>
        <v>Medium/Clay</v>
      </c>
      <c r="S16" s="92" t="str">
        <f>'Bryn Cowlyd'!S16</f>
        <v>Medium/Clay</v>
      </c>
      <c r="T16" s="92" t="str">
        <f>'Bryn Cowlyd'!T16</f>
        <v>Medium/Clay</v>
      </c>
      <c r="U16" s="92" t="str">
        <f>'Bryn Cowlyd'!U16</f>
        <v>Medium/Clay</v>
      </c>
      <c r="V16" s="92" t="str">
        <f>'Bryn Cowlyd'!V16</f>
        <v>Medium/Clay</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f t="shared" si="0"/>
        <v>64.599999999999994</v>
      </c>
      <c r="N17" s="21">
        <f t="shared" si="0"/>
        <v>64.599999999999994</v>
      </c>
      <c r="O17" s="21">
        <f t="shared" si="0"/>
        <v>64.599999999999994</v>
      </c>
      <c r="P17" s="21">
        <f t="shared" si="0"/>
        <v>64.599999999999994</v>
      </c>
      <c r="Q17" s="21">
        <f t="shared" si="0"/>
        <v>64.599999999999994</v>
      </c>
      <c r="R17" s="21">
        <f t="shared" si="0"/>
        <v>64.599999999999994</v>
      </c>
      <c r="S17" s="21">
        <f t="shared" si="0"/>
        <v>64.599999999999994</v>
      </c>
      <c r="T17" s="21">
        <f t="shared" si="0"/>
        <v>64.599999999999994</v>
      </c>
      <c r="U17" s="21">
        <f t="shared" si="0"/>
        <v>64.599999999999994</v>
      </c>
      <c r="V17" s="21">
        <f t="shared" si="0"/>
        <v>64.599999999999994</v>
      </c>
      <c r="AD17" s="45" t="s">
        <v>146</v>
      </c>
      <c r="AE17" s="23">
        <v>10</v>
      </c>
      <c r="AI17" s="41" t="s">
        <v>115</v>
      </c>
      <c r="AJ17" s="42">
        <v>1.4</v>
      </c>
      <c r="AK17" s="43">
        <v>4.8</v>
      </c>
      <c r="AL17" s="44">
        <v>15</v>
      </c>
      <c r="AM17" s="9">
        <v>6.2</v>
      </c>
      <c r="AN17" s="9" t="s">
        <v>112</v>
      </c>
    </row>
    <row r="18" spans="1:40" ht="13" x14ac:dyDescent="0.25">
      <c r="A18" s="111" t="s">
        <v>23</v>
      </c>
      <c r="B18" s="112"/>
      <c r="C18" s="13">
        <f>$D31</f>
        <v>26.833910250000006</v>
      </c>
      <c r="D18" s="13">
        <f>$D32</f>
        <v>26.833910250000006</v>
      </c>
      <c r="E18" s="13">
        <f>$D33</f>
        <v>26.833910250000006</v>
      </c>
      <c r="F18" s="13">
        <f>$D34</f>
        <v>26.833910250000006</v>
      </c>
      <c r="G18" s="13">
        <f>$D35</f>
        <v>26.833910250000006</v>
      </c>
      <c r="H18" s="13">
        <f>$D36</f>
        <v>26.833910250000006</v>
      </c>
      <c r="I18" s="13">
        <f>$D37</f>
        <v>26.833910250000006</v>
      </c>
      <c r="J18" s="13">
        <f>$D38</f>
        <v>26.833910250000006</v>
      </c>
      <c r="K18" s="13">
        <f>$D39</f>
        <v>26.833910250000006</v>
      </c>
      <c r="L18" s="13">
        <f>$D40</f>
        <v>26.833910250000006</v>
      </c>
      <c r="M18" s="13">
        <f>$D41</f>
        <v>26.833910250000006</v>
      </c>
      <c r="N18" s="13">
        <f>$D42</f>
        <v>26.833910250000006</v>
      </c>
      <c r="O18" s="13">
        <f>$D43</f>
        <v>26.833910250000006</v>
      </c>
      <c r="P18" s="13">
        <f>$D44</f>
        <v>26.833910250000006</v>
      </c>
      <c r="Q18" s="13">
        <f>$D45</f>
        <v>26.833910250000006</v>
      </c>
      <c r="R18" s="13">
        <f>$D46</f>
        <v>26.833910250000006</v>
      </c>
      <c r="S18" s="13">
        <f>$D47</f>
        <v>26.833910250000006</v>
      </c>
      <c r="T18" s="13">
        <f>$D48</f>
        <v>26.833910250000006</v>
      </c>
      <c r="U18" s="13">
        <f>$D49</f>
        <v>26.833910250000006</v>
      </c>
      <c r="V18" s="18">
        <f>$D50</f>
        <v>26.833910250000006</v>
      </c>
      <c r="AD18" s="45" t="s">
        <v>147</v>
      </c>
      <c r="AE18" s="23">
        <v>16</v>
      </c>
      <c r="AI18" s="41" t="s">
        <v>106</v>
      </c>
      <c r="AJ18" s="42">
        <v>5.9</v>
      </c>
      <c r="AK18" s="43">
        <v>18</v>
      </c>
      <c r="AL18" s="44">
        <v>16</v>
      </c>
      <c r="AM18" s="9">
        <v>6.2</v>
      </c>
      <c r="AN18" s="9" t="s">
        <v>112</v>
      </c>
    </row>
    <row r="19" spans="1:40" ht="13" x14ac:dyDescent="0.25">
      <c r="A19" s="111" t="s">
        <v>90</v>
      </c>
      <c r="B19" s="112"/>
      <c r="C19" s="13">
        <f>C18-C17</f>
        <v>-37.766089749999992</v>
      </c>
      <c r="D19" s="13">
        <f t="shared" ref="D19:V19" si="1">D18-D17</f>
        <v>-37.766089749999992</v>
      </c>
      <c r="E19" s="13">
        <f t="shared" si="1"/>
        <v>-37.766089749999992</v>
      </c>
      <c r="F19" s="13">
        <f t="shared" si="1"/>
        <v>-37.766089749999992</v>
      </c>
      <c r="G19" s="13">
        <f t="shared" si="1"/>
        <v>-37.766089749999992</v>
      </c>
      <c r="H19" s="13">
        <f t="shared" si="1"/>
        <v>-37.766089749999992</v>
      </c>
      <c r="I19" s="13">
        <f t="shared" si="1"/>
        <v>-37.766089749999992</v>
      </c>
      <c r="J19" s="13">
        <f t="shared" si="1"/>
        <v>-37.766089749999992</v>
      </c>
      <c r="K19" s="13">
        <f t="shared" si="1"/>
        <v>-37.766089749999992</v>
      </c>
      <c r="L19" s="13">
        <f t="shared" si="1"/>
        <v>-37.766089749999992</v>
      </c>
      <c r="M19" s="13">
        <f t="shared" si="1"/>
        <v>-37.766089749999992</v>
      </c>
      <c r="N19" s="13">
        <f t="shared" si="1"/>
        <v>-37.766089749999992</v>
      </c>
      <c r="O19" s="13">
        <f t="shared" si="1"/>
        <v>-37.766089749999992</v>
      </c>
      <c r="P19" s="13">
        <f t="shared" si="1"/>
        <v>-37.766089749999992</v>
      </c>
      <c r="Q19" s="13">
        <f t="shared" si="1"/>
        <v>-37.766089749999992</v>
      </c>
      <c r="R19" s="13">
        <f t="shared" si="1"/>
        <v>-37.766089749999992</v>
      </c>
      <c r="S19" s="13">
        <f t="shared" si="1"/>
        <v>-37.766089749999992</v>
      </c>
      <c r="T19" s="13">
        <f t="shared" si="1"/>
        <v>-37.766089749999992</v>
      </c>
      <c r="U19" s="13">
        <f t="shared" si="1"/>
        <v>-37.766089749999992</v>
      </c>
      <c r="V19" s="18">
        <f t="shared" si="1"/>
        <v>-37.766089749999992</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DECREASE</v>
      </c>
      <c r="V20" s="20" t="str">
        <f>IF($B50="","",IF(V$19&gt;=0,"INCREASE","DECREASE"))</f>
        <v>DECREASE</v>
      </c>
      <c r="AI20" s="41" t="s">
        <v>114</v>
      </c>
      <c r="AJ20" s="42">
        <v>2.1</v>
      </c>
      <c r="AK20" s="43">
        <v>7.2</v>
      </c>
      <c r="AL20" s="44">
        <v>18</v>
      </c>
      <c r="AM20" s="9">
        <v>6.2</v>
      </c>
      <c r="AN20" s="9" t="s">
        <v>112</v>
      </c>
    </row>
    <row r="21" spans="1:40" ht="13" x14ac:dyDescent="0.25">
      <c r="A21" s="109" t="s">
        <v>88</v>
      </c>
      <c r="B21" s="110"/>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f t="shared" si="2"/>
        <v>228</v>
      </c>
      <c r="N21" s="21">
        <f t="shared" si="2"/>
        <v>228</v>
      </c>
      <c r="O21" s="21">
        <f t="shared" si="2"/>
        <v>228</v>
      </c>
      <c r="P21" s="21">
        <f t="shared" si="2"/>
        <v>228</v>
      </c>
      <c r="Q21" s="21">
        <f t="shared" si="2"/>
        <v>228</v>
      </c>
      <c r="R21" s="21">
        <f t="shared" si="2"/>
        <v>228</v>
      </c>
      <c r="S21" s="21">
        <f t="shared" si="2"/>
        <v>228</v>
      </c>
      <c r="T21" s="21">
        <f t="shared" si="2"/>
        <v>228</v>
      </c>
      <c r="U21" s="21">
        <f t="shared" si="2"/>
        <v>228</v>
      </c>
      <c r="V21" s="21">
        <f t="shared" si="2"/>
        <v>228</v>
      </c>
      <c r="AI21" s="55" t="s">
        <v>100</v>
      </c>
      <c r="AJ21" s="58">
        <v>11</v>
      </c>
      <c r="AK21" s="57">
        <v>12</v>
      </c>
      <c r="AL21" s="22">
        <v>19</v>
      </c>
      <c r="AM21" s="9">
        <v>6.7</v>
      </c>
      <c r="AN21" s="9" t="s">
        <v>135</v>
      </c>
    </row>
    <row r="22" spans="1:40" ht="13" x14ac:dyDescent="0.25">
      <c r="A22" s="111" t="s">
        <v>89</v>
      </c>
      <c r="B22" s="112"/>
      <c r="C22" s="13">
        <f>$E31</f>
        <v>1.8499762500000003E-4</v>
      </c>
      <c r="D22" s="13">
        <f>$E32</f>
        <v>1.8499762500000003E-4</v>
      </c>
      <c r="E22" s="13">
        <f>$E33</f>
        <v>1.8499762500000003E-4</v>
      </c>
      <c r="F22" s="13">
        <f>$E34</f>
        <v>1.8499762500000003E-4</v>
      </c>
      <c r="G22" s="13">
        <f>$E35</f>
        <v>1.8499762500000003E-4</v>
      </c>
      <c r="H22" s="13">
        <f>$E36</f>
        <v>1.8499762500000003E-4</v>
      </c>
      <c r="I22" s="13">
        <f>$E37</f>
        <v>1.8499762500000003E-4</v>
      </c>
      <c r="J22" s="13">
        <f>$E38</f>
        <v>1.8499762500000003E-4</v>
      </c>
      <c r="K22" s="13">
        <f>$E39</f>
        <v>1.8499762500000003E-4</v>
      </c>
      <c r="L22" s="13">
        <f>$E40</f>
        <v>1.8499762500000003E-4</v>
      </c>
      <c r="M22" s="13">
        <f>$E41</f>
        <v>1.8499762500000003E-4</v>
      </c>
      <c r="N22" s="13">
        <f>$E42</f>
        <v>1.8499762500000003E-4</v>
      </c>
      <c r="O22" s="13">
        <f>$E43</f>
        <v>1.8499762500000003E-4</v>
      </c>
      <c r="P22" s="13">
        <f>$E44</f>
        <v>1.8499762500000003E-4</v>
      </c>
      <c r="Q22" s="13">
        <f>$E45</f>
        <v>1.8499762500000003E-4</v>
      </c>
      <c r="R22" s="13">
        <f>$E46</f>
        <v>1.8499762500000003E-4</v>
      </c>
      <c r="S22" s="13">
        <f>$E47</f>
        <v>1.8499762500000003E-4</v>
      </c>
      <c r="T22" s="13">
        <f>$E48</f>
        <v>1.8499762500000003E-4</v>
      </c>
      <c r="U22" s="13">
        <f>$E49</f>
        <v>1.8499762500000003E-4</v>
      </c>
      <c r="V22" s="13">
        <f>$E50</f>
        <v>1.8499762500000003E-4</v>
      </c>
      <c r="AI22" s="55" t="s">
        <v>102</v>
      </c>
      <c r="AJ22" s="56">
        <v>1.2</v>
      </c>
      <c r="AK22" s="57">
        <v>5</v>
      </c>
      <c r="AL22" s="22">
        <v>20</v>
      </c>
      <c r="AM22" s="9">
        <v>6.7</v>
      </c>
      <c r="AN22" s="9" t="s">
        <v>135</v>
      </c>
    </row>
    <row r="23" spans="1:40" ht="13" x14ac:dyDescent="0.25">
      <c r="A23" s="111" t="s">
        <v>92</v>
      </c>
      <c r="B23" s="112"/>
      <c r="C23" s="13">
        <f>C22-C21</f>
        <v>-227.99981500237499</v>
      </c>
      <c r="D23" s="13">
        <f t="shared" ref="D23:V23" si="3">D22-D21</f>
        <v>-227.99981500237499</v>
      </c>
      <c r="E23" s="13">
        <f t="shared" si="3"/>
        <v>-227.99981500237499</v>
      </c>
      <c r="F23" s="13">
        <f t="shared" si="3"/>
        <v>-227.99981500237499</v>
      </c>
      <c r="G23" s="13">
        <f t="shared" si="3"/>
        <v>-227.99981500237499</v>
      </c>
      <c r="H23" s="13">
        <f t="shared" si="3"/>
        <v>-227.99981500237499</v>
      </c>
      <c r="I23" s="13">
        <f t="shared" si="3"/>
        <v>-227.99981500237499</v>
      </c>
      <c r="J23" s="13">
        <f t="shared" si="3"/>
        <v>-227.99981500237499</v>
      </c>
      <c r="K23" s="13">
        <f t="shared" si="3"/>
        <v>-227.99981500237499</v>
      </c>
      <c r="L23" s="13">
        <f t="shared" si="3"/>
        <v>-227.99981500237499</v>
      </c>
      <c r="M23" s="13">
        <f t="shared" si="3"/>
        <v>-227.99981500237499</v>
      </c>
      <c r="N23" s="13">
        <f t="shared" si="3"/>
        <v>-227.99981500237499</v>
      </c>
      <c r="O23" s="13">
        <f t="shared" si="3"/>
        <v>-227.99981500237499</v>
      </c>
      <c r="P23" s="13">
        <f t="shared" si="3"/>
        <v>-227.99981500237499</v>
      </c>
      <c r="Q23" s="13">
        <f t="shared" si="3"/>
        <v>-227.99981500237499</v>
      </c>
      <c r="R23" s="13">
        <f t="shared" si="3"/>
        <v>-227.99981500237499</v>
      </c>
      <c r="S23" s="13">
        <f t="shared" si="3"/>
        <v>-227.99981500237499</v>
      </c>
      <c r="T23" s="13">
        <f t="shared" si="3"/>
        <v>-227.99981500237499</v>
      </c>
      <c r="U23" s="13">
        <f t="shared" si="3"/>
        <v>-227.99981500237499</v>
      </c>
      <c r="V23" s="13">
        <f t="shared" si="3"/>
        <v>-227.99981500237499</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str">
        <f t="shared" si="4"/>
        <v>DECREASE</v>
      </c>
      <c r="V24" s="19" t="str">
        <f t="shared" si="4"/>
        <v>DECREASE</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6.9</v>
      </c>
      <c r="C28" s="12">
        <v>0.61199999999999999</v>
      </c>
      <c r="D28" s="12">
        <v>6.7900000000000002E-2</v>
      </c>
      <c r="E28" s="12">
        <v>8.8999999999999999E-3</v>
      </c>
      <c r="F28" s="12">
        <v>300</v>
      </c>
      <c r="G28" s="12">
        <v>7.8</v>
      </c>
      <c r="H28" s="12">
        <v>259</v>
      </c>
      <c r="I28" s="12">
        <v>31.1</v>
      </c>
      <c r="J28" s="12">
        <v>0.15</v>
      </c>
      <c r="K28" s="16">
        <v>0.57999999999999996</v>
      </c>
      <c r="L28" s="12">
        <v>28.2</v>
      </c>
      <c r="M28" s="12">
        <v>20.5</v>
      </c>
      <c r="N28" s="12">
        <v>2910</v>
      </c>
      <c r="O28" s="12">
        <v>418000</v>
      </c>
      <c r="P28" s="12"/>
      <c r="Q28" s="12">
        <v>4550</v>
      </c>
      <c r="R28" s="12"/>
      <c r="S28" s="12">
        <v>31.2</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250</v>
      </c>
      <c r="C31" s="68">
        <f>IF(C$27="%w/w SAR",((C$28*10)*$B31),IF(C$27="%w/w DM",(((C$28*10)*($B$28/100))*$B31),IF(C$27="kg/t SAR",(C$28*$B31),IF(C$27="kg/t DM",((C$28*($B$28/100))*$B31),IF(C$27="mg/kg SAR",((C$28*0.001)*$B31),IF(C$27="mg/kg DM",(((C$28*0.001)*($B$28/100))*$B31),0))))))</f>
        <v>105.57000000000001</v>
      </c>
      <c r="D31" s="68">
        <f>(IF(D$27="%w/w SAR",((D$28*10)*$B31),IF(D$27="%w/w DM",(((D$28*10)*($B$28/100))*$B31),IF(D$27="kg/t SAR",(D$28*$B31),IF(D$27="kg/t DM",((D$28*($B$28/100))*$B31),IF(D$27="mg/kg SAR",((D$28*0.001)*$B31),IF(D$27="mg/kg DM",(((D$28*0.001)*($B$28/100))*$B31),"0")))))))*2.291</f>
        <v>26.833910250000006</v>
      </c>
      <c r="E31" s="68">
        <f>(IF(E$27="%w/w SAR",((E$28*10)*$B31),IF(E$27="%w/w DM",(((E$28*10)*($B$28/100))*$B31),IF(E$27="kg/t SAR",(E$28*$B31),IF(E$27="kg/t DM",((E$28*($B$28/100))*$B31),IF(E$27="mg/kg SAR",((E$28*0.001)*$B31),IF(E$27="mg/kg DM",(((E$28*0.001)*($B$28/100))*$B31),"0")))))))*1.205</f>
        <v>1.8499762500000003E-4</v>
      </c>
      <c r="F31" s="68">
        <f>(IF(F$27="%w/w SAR",((F$28*10)*$B31),IF(F$27="%w/w DM",(((F$28*10)*($B$28/100))*$B31),IF(F$27="kg/t SAR",(F$28*$B31),IF(F$27="kg/t DM",((F$28*($B$28/100))*$B31),IF(F$27="mg/kg SAR",((F$28*0.001)*$B31),IF(F$27="mg/kg DM",(((F$28*0.001)*($B$28/100))*$B31),"0")))))))*1.658</f>
        <v>8.5801499999999997</v>
      </c>
      <c r="G31" s="68">
        <f t="shared" ref="G31:P46" si="5">IF(G$27="%w/w SAR",((G$28*10)*$B31),IF(G$27="%w/w DM",(((G$28*10)*($B$28/100))*$B31),IF(G$27="kg/t SAR",(G$28*$B31),IF(G$27="kg/t DM",((G$28*($B$28/100))*$B31),IF(G$27="mg/kg SAR",((G$28*0.001)*$B31),IF(G$27="mg/kg DM",(((G$28*0.001)*($B$28/100))*$B31),0))))))</f>
        <v>0.13455000000000003</v>
      </c>
      <c r="H31" s="68">
        <f t="shared" si="5"/>
        <v>4.4677500000000006</v>
      </c>
      <c r="I31" s="68">
        <f t="shared" si="5"/>
        <v>0.53647500000000015</v>
      </c>
      <c r="J31" s="68">
        <f t="shared" si="5"/>
        <v>2.5875E-3</v>
      </c>
      <c r="K31" s="68">
        <f t="shared" si="5"/>
        <v>1.0005000000000002E-2</v>
      </c>
      <c r="L31" s="68">
        <f t="shared" si="5"/>
        <v>0.48645000000000005</v>
      </c>
      <c r="M31" s="68">
        <f t="shared" si="5"/>
        <v>0.35362500000000002</v>
      </c>
      <c r="N31" s="68">
        <f t="shared" si="5"/>
        <v>50.197500000000005</v>
      </c>
      <c r="O31" s="68">
        <f t="shared" si="5"/>
        <v>7210.5000000000009</v>
      </c>
      <c r="P31" s="68">
        <f t="shared" si="5"/>
        <v>0</v>
      </c>
      <c r="Q31" s="68">
        <f>(IF(Q$27="%w/w SAR",((Q$28*10)*$B31),IF(Q$27="%w/w DM",(((Q$28*10)*($B$28/100))*$B31),IF(Q$27="kg/t SAR",(Q$28*$B31),IF(Q$27="kg/t DM",((Q$28*($B$28/100))*$B31),IF(Q$27="mg/kg SAR",((Q$28*0.001)*$B31),IF(Q$27="mg/kg DM",(((Q$28*0.001)*($B$28/100))*$B31),0)))))))*2.5</f>
        <v>196.21875</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0.53820000000000012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250</v>
      </c>
      <c r="C32" s="68">
        <f t="shared" ref="C32:C50" si="6">IF(C$27="%w/w SAR",((C$28*10)*$B32),IF(C$27="%w/w DM",(((C$28*10)*($B$28/100))*$B32),IF(C$27="kg/t SAR",(C$28*$B32),IF(C$27="kg/t DM",((C$28*($B$28/100))*$B32),IF(C$27="mg/kg SAR",((C$28*0.001)*$B32),IF(C$27="mg/kg DM",(((C$28*0.001)*($B$28/100))*$B32),0))))))</f>
        <v>105.57000000000001</v>
      </c>
      <c r="D32" s="68">
        <f t="shared" ref="D32:D50" si="7">(IF(D$27="%w/w SAR",((D$28*10)*$B32),IF(D$27="%w/w DM",(((D$28*10)*($B$28/100))*$B32),IF(D$27="kg/t SAR",(D$28*$B32),IF(D$27="kg/t DM",((D$28*($B$28/100))*$B32),IF(D$27="mg/kg SAR",((D$28*0.001)*$B32),IF(D$27="mg/kg DM",(((D$28*0.001)*($B$28/100))*$B32),"0")))))))*2.291</f>
        <v>26.833910250000006</v>
      </c>
      <c r="E32" s="68">
        <f t="shared" ref="E32:E50" si="8">(IF(E$27="%w/w SAR",((E$28*10)*$B32),IF(E$27="%w/w DM",(((E$28*10)*($B$28/100))*$B32),IF(E$27="kg/t SAR",(E$28*$B32),IF(E$27="kg/t DM",((E$28*($B$28/100))*$B32),IF(E$27="mg/kg SAR",((E$28*0.001)*$B32),IF(E$27="mg/kg DM",(((E$28*0.001)*($B$28/100))*$B32),"0")))))))*1.205</f>
        <v>1.8499762500000003E-4</v>
      </c>
      <c r="F32" s="68">
        <f t="shared" ref="F32:F50" si="9">(IF(F$27="%w/w SAR",((F$28*10)*$B32),IF(F$27="%w/w DM",(((F$28*10)*($B$28/100))*$B32),IF(F$27="kg/t SAR",(F$28*$B32),IF(F$27="kg/t DM",((F$28*($B$28/100))*$B32),IF(F$27="mg/kg SAR",((F$28*0.001)*$B32),IF(F$27="mg/kg DM",(((F$28*0.001)*($B$28/100))*$B32),"0")))))))*1.658</f>
        <v>8.5801499999999997</v>
      </c>
      <c r="G32" s="68">
        <f t="shared" si="5"/>
        <v>0.13455000000000003</v>
      </c>
      <c r="H32" s="68">
        <f t="shared" si="5"/>
        <v>4.4677500000000006</v>
      </c>
      <c r="I32" s="68">
        <f t="shared" si="5"/>
        <v>0.53647500000000015</v>
      </c>
      <c r="J32" s="68">
        <f t="shared" si="5"/>
        <v>2.5875E-3</v>
      </c>
      <c r="K32" s="68">
        <f t="shared" si="5"/>
        <v>1.0005000000000002E-2</v>
      </c>
      <c r="L32" s="68">
        <f t="shared" si="5"/>
        <v>0.48645000000000005</v>
      </c>
      <c r="M32" s="68">
        <f t="shared" si="5"/>
        <v>0.35362500000000002</v>
      </c>
      <c r="N32" s="68">
        <f t="shared" si="5"/>
        <v>50.197500000000005</v>
      </c>
      <c r="O32" s="68">
        <f t="shared" si="5"/>
        <v>7210.5000000000009</v>
      </c>
      <c r="P32" s="68">
        <f t="shared" si="5"/>
        <v>0</v>
      </c>
      <c r="Q32" s="68">
        <f t="shared" ref="Q32:Q50" si="10">(IF(Q$27="%w/w SAR",((Q$28*10)*$B32),IF(Q$27="%w/w DM",(((Q$28*10)*($B$28/100))*$B32),IF(Q$27="kg/t SAR",(Q$28*$B32),IF(Q$27="kg/t DM",((Q$28*($B$28/100))*$B32),IF(Q$27="mg/kg SAR",((Q$28*0.001)*$B32),IF(Q$27="mg/kg DM",(((Q$28*0.001)*($B$28/100))*$B32),0)))))))*2.5</f>
        <v>196.21875</v>
      </c>
      <c r="R32" s="68">
        <f t="shared" ref="R32:U50" si="11">IF(R$27="%w/w SAR",((R$28*10)*$B32),IF(R$27="%w/w DM",(((R$28*10)*($B$28/100))*$B32),IF(R$27="kg/t SAR",(R$28*$B32),IF(R$27="kg/t DM",((R$28*($B$28/100))*$B32),IF(R$27="mg/kg SAR",((R$28*0.001)*$B32),IF(R$27="mg/kg DM",(((R$28*0.001)*($B$28/100))*$B32),0))))))</f>
        <v>0</v>
      </c>
      <c r="S32" s="68">
        <f t="shared" si="11"/>
        <v>0.53820000000000012</v>
      </c>
      <c r="T32" s="68">
        <f t="shared" si="11"/>
        <v>0</v>
      </c>
      <c r="U32" s="68">
        <f t="shared" si="11"/>
        <v>0</v>
      </c>
    </row>
    <row r="33" spans="1:21" s="51" customFormat="1" ht="13" x14ac:dyDescent="0.35">
      <c r="A33" s="10">
        <f>E8</f>
        <v>3</v>
      </c>
      <c r="B33" s="12">
        <v>250</v>
      </c>
      <c r="C33" s="68">
        <f t="shared" si="6"/>
        <v>105.57000000000001</v>
      </c>
      <c r="D33" s="68">
        <f t="shared" si="7"/>
        <v>26.833910250000006</v>
      </c>
      <c r="E33" s="68">
        <f t="shared" si="8"/>
        <v>1.8499762500000003E-4</v>
      </c>
      <c r="F33" s="68">
        <f t="shared" si="9"/>
        <v>8.5801499999999997</v>
      </c>
      <c r="G33" s="68">
        <f t="shared" si="5"/>
        <v>0.13455000000000003</v>
      </c>
      <c r="H33" s="68">
        <f t="shared" si="5"/>
        <v>4.4677500000000006</v>
      </c>
      <c r="I33" s="68">
        <f t="shared" si="5"/>
        <v>0.53647500000000015</v>
      </c>
      <c r="J33" s="68">
        <f t="shared" si="5"/>
        <v>2.5875E-3</v>
      </c>
      <c r="K33" s="68">
        <f t="shared" si="5"/>
        <v>1.0005000000000002E-2</v>
      </c>
      <c r="L33" s="68">
        <f t="shared" si="5"/>
        <v>0.48645000000000005</v>
      </c>
      <c r="M33" s="68">
        <f t="shared" si="5"/>
        <v>0.35362500000000002</v>
      </c>
      <c r="N33" s="68">
        <f t="shared" si="5"/>
        <v>50.197500000000005</v>
      </c>
      <c r="O33" s="68">
        <f t="shared" si="5"/>
        <v>7210.5000000000009</v>
      </c>
      <c r="P33" s="68">
        <f t="shared" si="5"/>
        <v>0</v>
      </c>
      <c r="Q33" s="68">
        <f t="shared" si="10"/>
        <v>196.21875</v>
      </c>
      <c r="R33" s="68">
        <f t="shared" si="11"/>
        <v>0</v>
      </c>
      <c r="S33" s="68">
        <f t="shared" si="11"/>
        <v>0.53820000000000012</v>
      </c>
      <c r="T33" s="68">
        <f t="shared" si="11"/>
        <v>0</v>
      </c>
      <c r="U33" s="68">
        <f t="shared" si="11"/>
        <v>0</v>
      </c>
    </row>
    <row r="34" spans="1:21" s="51" customFormat="1" ht="13" x14ac:dyDescent="0.35">
      <c r="A34" s="10">
        <f>F8</f>
        <v>4</v>
      </c>
      <c r="B34" s="12">
        <v>250</v>
      </c>
      <c r="C34" s="68">
        <f t="shared" si="6"/>
        <v>105.57000000000001</v>
      </c>
      <c r="D34" s="68">
        <f t="shared" si="7"/>
        <v>26.833910250000006</v>
      </c>
      <c r="E34" s="68">
        <f t="shared" si="8"/>
        <v>1.8499762500000003E-4</v>
      </c>
      <c r="F34" s="68">
        <f t="shared" si="9"/>
        <v>8.5801499999999997</v>
      </c>
      <c r="G34" s="68">
        <f t="shared" si="5"/>
        <v>0.13455000000000003</v>
      </c>
      <c r="H34" s="68">
        <f t="shared" si="5"/>
        <v>4.4677500000000006</v>
      </c>
      <c r="I34" s="68">
        <f t="shared" si="5"/>
        <v>0.53647500000000015</v>
      </c>
      <c r="J34" s="68">
        <f t="shared" si="5"/>
        <v>2.5875E-3</v>
      </c>
      <c r="K34" s="68">
        <f t="shared" si="5"/>
        <v>1.0005000000000002E-2</v>
      </c>
      <c r="L34" s="68">
        <f t="shared" si="5"/>
        <v>0.48645000000000005</v>
      </c>
      <c r="M34" s="68">
        <f t="shared" si="5"/>
        <v>0.35362500000000002</v>
      </c>
      <c r="N34" s="68">
        <f t="shared" si="5"/>
        <v>50.197500000000005</v>
      </c>
      <c r="O34" s="68">
        <f t="shared" si="5"/>
        <v>7210.5000000000009</v>
      </c>
      <c r="P34" s="68">
        <f t="shared" si="5"/>
        <v>0</v>
      </c>
      <c r="Q34" s="68">
        <f t="shared" si="10"/>
        <v>196.21875</v>
      </c>
      <c r="R34" s="68">
        <f t="shared" si="11"/>
        <v>0</v>
      </c>
      <c r="S34" s="68">
        <f t="shared" si="11"/>
        <v>0.53820000000000012</v>
      </c>
      <c r="T34" s="68">
        <f t="shared" si="11"/>
        <v>0</v>
      </c>
      <c r="U34" s="68">
        <f t="shared" si="11"/>
        <v>0</v>
      </c>
    </row>
    <row r="35" spans="1:21" s="51" customFormat="1" ht="13" x14ac:dyDescent="0.35">
      <c r="A35" s="10">
        <f>G8</f>
        <v>5</v>
      </c>
      <c r="B35" s="12">
        <v>250</v>
      </c>
      <c r="C35" s="68">
        <f t="shared" si="6"/>
        <v>105.57000000000001</v>
      </c>
      <c r="D35" s="68">
        <f t="shared" si="7"/>
        <v>26.833910250000006</v>
      </c>
      <c r="E35" s="68">
        <f t="shared" si="8"/>
        <v>1.8499762500000003E-4</v>
      </c>
      <c r="F35" s="68">
        <f t="shared" si="9"/>
        <v>8.5801499999999997</v>
      </c>
      <c r="G35" s="68">
        <f t="shared" si="5"/>
        <v>0.13455000000000003</v>
      </c>
      <c r="H35" s="68">
        <f t="shared" si="5"/>
        <v>4.4677500000000006</v>
      </c>
      <c r="I35" s="68">
        <f t="shared" si="5"/>
        <v>0.53647500000000015</v>
      </c>
      <c r="J35" s="68">
        <f t="shared" si="5"/>
        <v>2.5875E-3</v>
      </c>
      <c r="K35" s="68">
        <f t="shared" si="5"/>
        <v>1.0005000000000002E-2</v>
      </c>
      <c r="L35" s="68">
        <f t="shared" si="5"/>
        <v>0.48645000000000005</v>
      </c>
      <c r="M35" s="68">
        <f t="shared" si="5"/>
        <v>0.35362500000000002</v>
      </c>
      <c r="N35" s="68">
        <f t="shared" si="5"/>
        <v>50.197500000000005</v>
      </c>
      <c r="O35" s="68">
        <f t="shared" si="5"/>
        <v>7210.5000000000009</v>
      </c>
      <c r="P35" s="68">
        <f t="shared" si="5"/>
        <v>0</v>
      </c>
      <c r="Q35" s="68">
        <f t="shared" si="10"/>
        <v>196.21875</v>
      </c>
      <c r="R35" s="68">
        <f t="shared" si="11"/>
        <v>0</v>
      </c>
      <c r="S35" s="68">
        <f t="shared" si="11"/>
        <v>0.53820000000000012</v>
      </c>
      <c r="T35" s="68">
        <f t="shared" si="11"/>
        <v>0</v>
      </c>
      <c r="U35" s="68">
        <f t="shared" si="11"/>
        <v>0</v>
      </c>
    </row>
    <row r="36" spans="1:21" s="51" customFormat="1" ht="13" x14ac:dyDescent="0.35">
      <c r="A36" s="10">
        <f>H8</f>
        <v>6</v>
      </c>
      <c r="B36" s="12">
        <v>250</v>
      </c>
      <c r="C36" s="68">
        <f t="shared" si="6"/>
        <v>105.57000000000001</v>
      </c>
      <c r="D36" s="68">
        <f t="shared" si="7"/>
        <v>26.833910250000006</v>
      </c>
      <c r="E36" s="68">
        <f t="shared" si="8"/>
        <v>1.8499762500000003E-4</v>
      </c>
      <c r="F36" s="68">
        <f t="shared" si="9"/>
        <v>8.5801499999999997</v>
      </c>
      <c r="G36" s="68">
        <f t="shared" si="5"/>
        <v>0.13455000000000003</v>
      </c>
      <c r="H36" s="68">
        <f t="shared" si="5"/>
        <v>4.4677500000000006</v>
      </c>
      <c r="I36" s="68">
        <f t="shared" si="5"/>
        <v>0.53647500000000015</v>
      </c>
      <c r="J36" s="68">
        <f t="shared" si="5"/>
        <v>2.5875E-3</v>
      </c>
      <c r="K36" s="68">
        <f t="shared" si="5"/>
        <v>1.0005000000000002E-2</v>
      </c>
      <c r="L36" s="68">
        <f t="shared" si="5"/>
        <v>0.48645000000000005</v>
      </c>
      <c r="M36" s="68">
        <f t="shared" si="5"/>
        <v>0.35362500000000002</v>
      </c>
      <c r="N36" s="68">
        <f t="shared" si="5"/>
        <v>50.197500000000005</v>
      </c>
      <c r="O36" s="68">
        <f t="shared" si="5"/>
        <v>7210.5000000000009</v>
      </c>
      <c r="P36" s="68">
        <f t="shared" si="5"/>
        <v>0</v>
      </c>
      <c r="Q36" s="68">
        <f t="shared" si="10"/>
        <v>196.21875</v>
      </c>
      <c r="R36" s="68">
        <f t="shared" si="11"/>
        <v>0</v>
      </c>
      <c r="S36" s="68">
        <f t="shared" si="11"/>
        <v>0.53820000000000012</v>
      </c>
      <c r="T36" s="68">
        <f t="shared" si="11"/>
        <v>0</v>
      </c>
      <c r="U36" s="68">
        <f t="shared" si="11"/>
        <v>0</v>
      </c>
    </row>
    <row r="37" spans="1:21" s="51" customFormat="1" ht="13" x14ac:dyDescent="0.35">
      <c r="A37" s="10">
        <f>I8</f>
        <v>7</v>
      </c>
      <c r="B37" s="12">
        <v>250</v>
      </c>
      <c r="C37" s="68">
        <f t="shared" si="6"/>
        <v>105.57000000000001</v>
      </c>
      <c r="D37" s="68">
        <f t="shared" si="7"/>
        <v>26.833910250000006</v>
      </c>
      <c r="E37" s="68">
        <f t="shared" si="8"/>
        <v>1.8499762500000003E-4</v>
      </c>
      <c r="F37" s="68">
        <f t="shared" si="9"/>
        <v>8.5801499999999997</v>
      </c>
      <c r="G37" s="68">
        <f t="shared" si="5"/>
        <v>0.13455000000000003</v>
      </c>
      <c r="H37" s="68">
        <f t="shared" si="5"/>
        <v>4.4677500000000006</v>
      </c>
      <c r="I37" s="68">
        <f t="shared" si="5"/>
        <v>0.53647500000000015</v>
      </c>
      <c r="J37" s="68">
        <f t="shared" si="5"/>
        <v>2.5875E-3</v>
      </c>
      <c r="K37" s="68">
        <f t="shared" si="5"/>
        <v>1.0005000000000002E-2</v>
      </c>
      <c r="L37" s="68">
        <f t="shared" si="5"/>
        <v>0.48645000000000005</v>
      </c>
      <c r="M37" s="68">
        <f t="shared" si="5"/>
        <v>0.35362500000000002</v>
      </c>
      <c r="N37" s="68">
        <f t="shared" si="5"/>
        <v>50.197500000000005</v>
      </c>
      <c r="O37" s="68">
        <f t="shared" si="5"/>
        <v>7210.5000000000009</v>
      </c>
      <c r="P37" s="68">
        <f t="shared" si="5"/>
        <v>0</v>
      </c>
      <c r="Q37" s="68">
        <f t="shared" si="10"/>
        <v>196.21875</v>
      </c>
      <c r="R37" s="68">
        <f t="shared" si="11"/>
        <v>0</v>
      </c>
      <c r="S37" s="68">
        <f t="shared" si="11"/>
        <v>0.53820000000000012</v>
      </c>
      <c r="T37" s="68">
        <f t="shared" si="11"/>
        <v>0</v>
      </c>
      <c r="U37" s="68">
        <f t="shared" si="11"/>
        <v>0</v>
      </c>
    </row>
    <row r="38" spans="1:21" s="51" customFormat="1" ht="13" x14ac:dyDescent="0.35">
      <c r="A38" s="10">
        <f>J8</f>
        <v>8</v>
      </c>
      <c r="B38" s="12">
        <v>250</v>
      </c>
      <c r="C38" s="68">
        <f t="shared" si="6"/>
        <v>105.57000000000001</v>
      </c>
      <c r="D38" s="68">
        <f t="shared" si="7"/>
        <v>26.833910250000006</v>
      </c>
      <c r="E38" s="68">
        <f t="shared" si="8"/>
        <v>1.8499762500000003E-4</v>
      </c>
      <c r="F38" s="68">
        <f t="shared" si="9"/>
        <v>8.5801499999999997</v>
      </c>
      <c r="G38" s="68">
        <f t="shared" si="5"/>
        <v>0.13455000000000003</v>
      </c>
      <c r="H38" s="68">
        <f t="shared" si="5"/>
        <v>4.4677500000000006</v>
      </c>
      <c r="I38" s="68">
        <f t="shared" si="5"/>
        <v>0.53647500000000015</v>
      </c>
      <c r="J38" s="68">
        <f t="shared" si="5"/>
        <v>2.5875E-3</v>
      </c>
      <c r="K38" s="68">
        <f t="shared" si="5"/>
        <v>1.0005000000000002E-2</v>
      </c>
      <c r="L38" s="68">
        <f t="shared" si="5"/>
        <v>0.48645000000000005</v>
      </c>
      <c r="M38" s="68">
        <f t="shared" si="5"/>
        <v>0.35362500000000002</v>
      </c>
      <c r="N38" s="68">
        <f t="shared" si="5"/>
        <v>50.197500000000005</v>
      </c>
      <c r="O38" s="68">
        <f t="shared" si="5"/>
        <v>7210.5000000000009</v>
      </c>
      <c r="P38" s="68">
        <f t="shared" si="5"/>
        <v>0</v>
      </c>
      <c r="Q38" s="68">
        <f t="shared" si="10"/>
        <v>196.21875</v>
      </c>
      <c r="R38" s="68">
        <f t="shared" si="11"/>
        <v>0</v>
      </c>
      <c r="S38" s="68">
        <f t="shared" si="11"/>
        <v>0.53820000000000012</v>
      </c>
      <c r="T38" s="68">
        <f t="shared" si="11"/>
        <v>0</v>
      </c>
      <c r="U38" s="68">
        <f t="shared" si="11"/>
        <v>0</v>
      </c>
    </row>
    <row r="39" spans="1:21" s="51" customFormat="1" ht="13" x14ac:dyDescent="0.35">
      <c r="A39" s="10">
        <f>K8</f>
        <v>9</v>
      </c>
      <c r="B39" s="12">
        <v>250</v>
      </c>
      <c r="C39" s="68">
        <f t="shared" si="6"/>
        <v>105.57000000000001</v>
      </c>
      <c r="D39" s="68">
        <f t="shared" si="7"/>
        <v>26.833910250000006</v>
      </c>
      <c r="E39" s="68">
        <f t="shared" si="8"/>
        <v>1.8499762500000003E-4</v>
      </c>
      <c r="F39" s="68">
        <f t="shared" si="9"/>
        <v>8.5801499999999997</v>
      </c>
      <c r="G39" s="68">
        <f t="shared" si="5"/>
        <v>0.13455000000000003</v>
      </c>
      <c r="H39" s="68">
        <f t="shared" si="5"/>
        <v>4.4677500000000006</v>
      </c>
      <c r="I39" s="68">
        <f t="shared" si="5"/>
        <v>0.53647500000000015</v>
      </c>
      <c r="J39" s="68">
        <f t="shared" si="5"/>
        <v>2.5875E-3</v>
      </c>
      <c r="K39" s="68">
        <f t="shared" si="5"/>
        <v>1.0005000000000002E-2</v>
      </c>
      <c r="L39" s="68">
        <f t="shared" si="5"/>
        <v>0.48645000000000005</v>
      </c>
      <c r="M39" s="68">
        <f t="shared" si="5"/>
        <v>0.35362500000000002</v>
      </c>
      <c r="N39" s="68">
        <f t="shared" si="5"/>
        <v>50.197500000000005</v>
      </c>
      <c r="O39" s="68">
        <f t="shared" si="5"/>
        <v>7210.5000000000009</v>
      </c>
      <c r="P39" s="68">
        <f t="shared" si="5"/>
        <v>0</v>
      </c>
      <c r="Q39" s="68">
        <f t="shared" si="10"/>
        <v>196.21875</v>
      </c>
      <c r="R39" s="68">
        <f t="shared" si="11"/>
        <v>0</v>
      </c>
      <c r="S39" s="68">
        <f t="shared" si="11"/>
        <v>0.53820000000000012</v>
      </c>
      <c r="T39" s="68">
        <f t="shared" si="11"/>
        <v>0</v>
      </c>
      <c r="U39" s="68">
        <f t="shared" si="11"/>
        <v>0</v>
      </c>
    </row>
    <row r="40" spans="1:21" s="51" customFormat="1" ht="13" x14ac:dyDescent="0.35">
      <c r="A40" s="10">
        <f>L8</f>
        <v>10</v>
      </c>
      <c r="B40" s="12">
        <v>250</v>
      </c>
      <c r="C40" s="68">
        <f t="shared" si="6"/>
        <v>105.57000000000001</v>
      </c>
      <c r="D40" s="68">
        <f t="shared" si="7"/>
        <v>26.833910250000006</v>
      </c>
      <c r="E40" s="68">
        <f t="shared" si="8"/>
        <v>1.8499762500000003E-4</v>
      </c>
      <c r="F40" s="68">
        <f t="shared" si="9"/>
        <v>8.5801499999999997</v>
      </c>
      <c r="G40" s="68">
        <f t="shared" si="5"/>
        <v>0.13455000000000003</v>
      </c>
      <c r="H40" s="68">
        <f t="shared" si="5"/>
        <v>4.4677500000000006</v>
      </c>
      <c r="I40" s="68">
        <f t="shared" si="5"/>
        <v>0.53647500000000015</v>
      </c>
      <c r="J40" s="68">
        <f t="shared" si="5"/>
        <v>2.5875E-3</v>
      </c>
      <c r="K40" s="68">
        <f t="shared" si="5"/>
        <v>1.0005000000000002E-2</v>
      </c>
      <c r="L40" s="68">
        <f t="shared" si="5"/>
        <v>0.48645000000000005</v>
      </c>
      <c r="M40" s="68">
        <f t="shared" si="5"/>
        <v>0.35362500000000002</v>
      </c>
      <c r="N40" s="68">
        <f t="shared" si="5"/>
        <v>50.197500000000005</v>
      </c>
      <c r="O40" s="68">
        <f t="shared" si="5"/>
        <v>7210.5000000000009</v>
      </c>
      <c r="P40" s="68">
        <f t="shared" si="5"/>
        <v>0</v>
      </c>
      <c r="Q40" s="68">
        <f t="shared" si="10"/>
        <v>196.21875</v>
      </c>
      <c r="R40" s="68">
        <f t="shared" si="11"/>
        <v>0</v>
      </c>
      <c r="S40" s="68">
        <f t="shared" si="11"/>
        <v>0.53820000000000012</v>
      </c>
      <c r="T40" s="68">
        <f t="shared" si="11"/>
        <v>0</v>
      </c>
      <c r="U40" s="68">
        <f t="shared" si="11"/>
        <v>0</v>
      </c>
    </row>
    <row r="41" spans="1:21" s="51" customFormat="1" ht="13" x14ac:dyDescent="0.35">
      <c r="A41" s="10">
        <f>M8</f>
        <v>11</v>
      </c>
      <c r="B41" s="12">
        <v>250</v>
      </c>
      <c r="C41" s="68">
        <f t="shared" si="6"/>
        <v>105.57000000000001</v>
      </c>
      <c r="D41" s="68">
        <f t="shared" si="7"/>
        <v>26.833910250000006</v>
      </c>
      <c r="E41" s="68">
        <f t="shared" si="8"/>
        <v>1.8499762500000003E-4</v>
      </c>
      <c r="F41" s="68">
        <f t="shared" si="9"/>
        <v>8.5801499999999997</v>
      </c>
      <c r="G41" s="68">
        <f t="shared" si="5"/>
        <v>0.13455000000000003</v>
      </c>
      <c r="H41" s="68">
        <f t="shared" si="5"/>
        <v>4.4677500000000006</v>
      </c>
      <c r="I41" s="68">
        <f t="shared" si="5"/>
        <v>0.53647500000000015</v>
      </c>
      <c r="J41" s="68">
        <f t="shared" si="5"/>
        <v>2.5875E-3</v>
      </c>
      <c r="K41" s="68">
        <f t="shared" si="5"/>
        <v>1.0005000000000002E-2</v>
      </c>
      <c r="L41" s="68">
        <f t="shared" si="5"/>
        <v>0.48645000000000005</v>
      </c>
      <c r="M41" s="68">
        <f t="shared" si="5"/>
        <v>0.35362500000000002</v>
      </c>
      <c r="N41" s="68">
        <f t="shared" si="5"/>
        <v>50.197500000000005</v>
      </c>
      <c r="O41" s="68">
        <f t="shared" si="5"/>
        <v>7210.5000000000009</v>
      </c>
      <c r="P41" s="68">
        <f t="shared" si="5"/>
        <v>0</v>
      </c>
      <c r="Q41" s="68">
        <f t="shared" si="10"/>
        <v>196.21875</v>
      </c>
      <c r="R41" s="68">
        <f t="shared" si="11"/>
        <v>0</v>
      </c>
      <c r="S41" s="68">
        <f t="shared" si="11"/>
        <v>0.53820000000000012</v>
      </c>
      <c r="T41" s="68">
        <f t="shared" si="11"/>
        <v>0</v>
      </c>
      <c r="U41" s="68">
        <f t="shared" si="11"/>
        <v>0</v>
      </c>
    </row>
    <row r="42" spans="1:21" s="51" customFormat="1" ht="13" x14ac:dyDescent="0.35">
      <c r="A42" s="10">
        <f>N8</f>
        <v>12</v>
      </c>
      <c r="B42" s="12">
        <v>250</v>
      </c>
      <c r="C42" s="68">
        <f t="shared" si="6"/>
        <v>105.57000000000001</v>
      </c>
      <c r="D42" s="68">
        <f t="shared" si="7"/>
        <v>26.833910250000006</v>
      </c>
      <c r="E42" s="68">
        <f t="shared" si="8"/>
        <v>1.8499762500000003E-4</v>
      </c>
      <c r="F42" s="68">
        <f t="shared" si="9"/>
        <v>8.5801499999999997</v>
      </c>
      <c r="G42" s="68">
        <f t="shared" si="5"/>
        <v>0.13455000000000003</v>
      </c>
      <c r="H42" s="68">
        <f t="shared" si="5"/>
        <v>4.4677500000000006</v>
      </c>
      <c r="I42" s="68">
        <f t="shared" si="5"/>
        <v>0.53647500000000015</v>
      </c>
      <c r="J42" s="68">
        <f t="shared" si="5"/>
        <v>2.5875E-3</v>
      </c>
      <c r="K42" s="68">
        <f t="shared" si="5"/>
        <v>1.0005000000000002E-2</v>
      </c>
      <c r="L42" s="68">
        <f t="shared" si="5"/>
        <v>0.48645000000000005</v>
      </c>
      <c r="M42" s="68">
        <f t="shared" si="5"/>
        <v>0.35362500000000002</v>
      </c>
      <c r="N42" s="68">
        <f t="shared" si="5"/>
        <v>50.197500000000005</v>
      </c>
      <c r="O42" s="68">
        <f t="shared" si="5"/>
        <v>7210.5000000000009</v>
      </c>
      <c r="P42" s="68">
        <f t="shared" si="5"/>
        <v>0</v>
      </c>
      <c r="Q42" s="68">
        <f t="shared" si="10"/>
        <v>196.21875</v>
      </c>
      <c r="R42" s="68">
        <f t="shared" si="11"/>
        <v>0</v>
      </c>
      <c r="S42" s="68">
        <f t="shared" si="11"/>
        <v>0.53820000000000012</v>
      </c>
      <c r="T42" s="68">
        <f t="shared" si="11"/>
        <v>0</v>
      </c>
      <c r="U42" s="68">
        <f t="shared" si="11"/>
        <v>0</v>
      </c>
    </row>
    <row r="43" spans="1:21" s="51" customFormat="1" ht="13" x14ac:dyDescent="0.35">
      <c r="A43" s="10">
        <f>O8</f>
        <v>13</v>
      </c>
      <c r="B43" s="12">
        <v>250</v>
      </c>
      <c r="C43" s="68">
        <f t="shared" si="6"/>
        <v>105.57000000000001</v>
      </c>
      <c r="D43" s="68">
        <f t="shared" si="7"/>
        <v>26.833910250000006</v>
      </c>
      <c r="E43" s="68">
        <f t="shared" si="8"/>
        <v>1.8499762500000003E-4</v>
      </c>
      <c r="F43" s="68">
        <f t="shared" si="9"/>
        <v>8.5801499999999997</v>
      </c>
      <c r="G43" s="68">
        <f t="shared" si="5"/>
        <v>0.13455000000000003</v>
      </c>
      <c r="H43" s="68">
        <f t="shared" si="5"/>
        <v>4.4677500000000006</v>
      </c>
      <c r="I43" s="68">
        <f t="shared" si="5"/>
        <v>0.53647500000000015</v>
      </c>
      <c r="J43" s="68">
        <f t="shared" si="5"/>
        <v>2.5875E-3</v>
      </c>
      <c r="K43" s="68">
        <f t="shared" si="5"/>
        <v>1.0005000000000002E-2</v>
      </c>
      <c r="L43" s="68">
        <f t="shared" si="5"/>
        <v>0.48645000000000005</v>
      </c>
      <c r="M43" s="68">
        <f t="shared" si="5"/>
        <v>0.35362500000000002</v>
      </c>
      <c r="N43" s="68">
        <f t="shared" si="5"/>
        <v>50.197500000000005</v>
      </c>
      <c r="O43" s="68">
        <f t="shared" si="5"/>
        <v>7210.5000000000009</v>
      </c>
      <c r="P43" s="68">
        <f t="shared" si="5"/>
        <v>0</v>
      </c>
      <c r="Q43" s="68">
        <f t="shared" si="10"/>
        <v>196.21875</v>
      </c>
      <c r="R43" s="68">
        <f t="shared" si="11"/>
        <v>0</v>
      </c>
      <c r="S43" s="68">
        <f t="shared" si="11"/>
        <v>0.53820000000000012</v>
      </c>
      <c r="T43" s="68">
        <f t="shared" si="11"/>
        <v>0</v>
      </c>
      <c r="U43" s="68">
        <f t="shared" si="11"/>
        <v>0</v>
      </c>
    </row>
    <row r="44" spans="1:21" s="51" customFormat="1" ht="13" x14ac:dyDescent="0.35">
      <c r="A44" s="10">
        <f>P8</f>
        <v>15</v>
      </c>
      <c r="B44" s="12">
        <v>250</v>
      </c>
      <c r="C44" s="68">
        <f t="shared" si="6"/>
        <v>105.57000000000001</v>
      </c>
      <c r="D44" s="68">
        <f t="shared" si="7"/>
        <v>26.833910250000006</v>
      </c>
      <c r="E44" s="68">
        <f t="shared" si="8"/>
        <v>1.8499762500000003E-4</v>
      </c>
      <c r="F44" s="68">
        <f t="shared" si="9"/>
        <v>8.5801499999999997</v>
      </c>
      <c r="G44" s="68">
        <f t="shared" si="5"/>
        <v>0.13455000000000003</v>
      </c>
      <c r="H44" s="68">
        <f t="shared" si="5"/>
        <v>4.4677500000000006</v>
      </c>
      <c r="I44" s="68">
        <f t="shared" si="5"/>
        <v>0.53647500000000015</v>
      </c>
      <c r="J44" s="68">
        <f t="shared" si="5"/>
        <v>2.5875E-3</v>
      </c>
      <c r="K44" s="68">
        <f t="shared" si="5"/>
        <v>1.0005000000000002E-2</v>
      </c>
      <c r="L44" s="68">
        <f t="shared" si="5"/>
        <v>0.48645000000000005</v>
      </c>
      <c r="M44" s="68">
        <f t="shared" si="5"/>
        <v>0.35362500000000002</v>
      </c>
      <c r="N44" s="68">
        <f t="shared" si="5"/>
        <v>50.197500000000005</v>
      </c>
      <c r="O44" s="68">
        <f t="shared" si="5"/>
        <v>7210.5000000000009</v>
      </c>
      <c r="P44" s="68">
        <f t="shared" si="5"/>
        <v>0</v>
      </c>
      <c r="Q44" s="68">
        <f t="shared" si="10"/>
        <v>196.21875</v>
      </c>
      <c r="R44" s="68">
        <f t="shared" si="11"/>
        <v>0</v>
      </c>
      <c r="S44" s="68">
        <f t="shared" si="11"/>
        <v>0.53820000000000012</v>
      </c>
      <c r="T44" s="68">
        <f t="shared" si="11"/>
        <v>0</v>
      </c>
      <c r="U44" s="68">
        <f t="shared" si="11"/>
        <v>0</v>
      </c>
    </row>
    <row r="45" spans="1:21" s="51" customFormat="1" ht="13" x14ac:dyDescent="0.35">
      <c r="A45" s="10">
        <f>Q8</f>
        <v>16</v>
      </c>
      <c r="B45" s="12">
        <v>250</v>
      </c>
      <c r="C45" s="68">
        <f t="shared" si="6"/>
        <v>105.57000000000001</v>
      </c>
      <c r="D45" s="68">
        <f t="shared" si="7"/>
        <v>26.833910250000006</v>
      </c>
      <c r="E45" s="68">
        <f t="shared" si="8"/>
        <v>1.8499762500000003E-4</v>
      </c>
      <c r="F45" s="68">
        <f t="shared" si="9"/>
        <v>8.5801499999999997</v>
      </c>
      <c r="G45" s="68">
        <f t="shared" si="5"/>
        <v>0.13455000000000003</v>
      </c>
      <c r="H45" s="68">
        <f t="shared" si="5"/>
        <v>4.4677500000000006</v>
      </c>
      <c r="I45" s="68">
        <f t="shared" si="5"/>
        <v>0.53647500000000015</v>
      </c>
      <c r="J45" s="68">
        <f t="shared" si="5"/>
        <v>2.5875E-3</v>
      </c>
      <c r="K45" s="68">
        <f t="shared" si="5"/>
        <v>1.0005000000000002E-2</v>
      </c>
      <c r="L45" s="68">
        <f t="shared" si="5"/>
        <v>0.48645000000000005</v>
      </c>
      <c r="M45" s="68">
        <f t="shared" si="5"/>
        <v>0.35362500000000002</v>
      </c>
      <c r="N45" s="68">
        <f t="shared" si="5"/>
        <v>50.197500000000005</v>
      </c>
      <c r="O45" s="68">
        <f t="shared" si="5"/>
        <v>7210.5000000000009</v>
      </c>
      <c r="P45" s="68">
        <f t="shared" si="5"/>
        <v>0</v>
      </c>
      <c r="Q45" s="68">
        <f t="shared" si="10"/>
        <v>196.21875</v>
      </c>
      <c r="R45" s="68">
        <f t="shared" si="11"/>
        <v>0</v>
      </c>
      <c r="S45" s="68">
        <f t="shared" si="11"/>
        <v>0.53820000000000012</v>
      </c>
      <c r="T45" s="68">
        <f t="shared" si="11"/>
        <v>0</v>
      </c>
      <c r="U45" s="68">
        <f t="shared" si="11"/>
        <v>0</v>
      </c>
    </row>
    <row r="46" spans="1:21" s="51" customFormat="1" ht="13" x14ac:dyDescent="0.35">
      <c r="A46" s="10">
        <f>R8</f>
        <v>21</v>
      </c>
      <c r="B46" s="12">
        <v>250</v>
      </c>
      <c r="C46" s="68">
        <f t="shared" si="6"/>
        <v>105.57000000000001</v>
      </c>
      <c r="D46" s="68">
        <f t="shared" si="7"/>
        <v>26.833910250000006</v>
      </c>
      <c r="E46" s="68">
        <f t="shared" si="8"/>
        <v>1.8499762500000003E-4</v>
      </c>
      <c r="F46" s="68">
        <f t="shared" si="9"/>
        <v>8.5801499999999997</v>
      </c>
      <c r="G46" s="68">
        <f t="shared" si="5"/>
        <v>0.13455000000000003</v>
      </c>
      <c r="H46" s="68">
        <f t="shared" si="5"/>
        <v>4.4677500000000006</v>
      </c>
      <c r="I46" s="68">
        <f t="shared" si="5"/>
        <v>0.53647500000000015</v>
      </c>
      <c r="J46" s="68">
        <f t="shared" si="5"/>
        <v>2.5875E-3</v>
      </c>
      <c r="K46" s="68">
        <f t="shared" si="5"/>
        <v>1.0005000000000002E-2</v>
      </c>
      <c r="L46" s="68">
        <f t="shared" si="5"/>
        <v>0.48645000000000005</v>
      </c>
      <c r="M46" s="68">
        <f t="shared" si="5"/>
        <v>0.35362500000000002</v>
      </c>
      <c r="N46" s="68">
        <f t="shared" si="5"/>
        <v>50.197500000000005</v>
      </c>
      <c r="O46" s="68">
        <f t="shared" si="5"/>
        <v>7210.5000000000009</v>
      </c>
      <c r="P46" s="68">
        <f t="shared" si="5"/>
        <v>0</v>
      </c>
      <c r="Q46" s="68">
        <f t="shared" si="10"/>
        <v>196.21875</v>
      </c>
      <c r="R46" s="68">
        <f t="shared" si="11"/>
        <v>0</v>
      </c>
      <c r="S46" s="68">
        <f t="shared" si="11"/>
        <v>0.53820000000000012</v>
      </c>
      <c r="T46" s="68">
        <f t="shared" si="11"/>
        <v>0</v>
      </c>
      <c r="U46" s="68">
        <f t="shared" si="11"/>
        <v>0</v>
      </c>
    </row>
    <row r="47" spans="1:21" s="51" customFormat="1" ht="13" x14ac:dyDescent="0.35">
      <c r="A47" s="10">
        <f>S8</f>
        <v>22</v>
      </c>
      <c r="B47" s="12">
        <v>250</v>
      </c>
      <c r="C47" s="68">
        <f t="shared" si="6"/>
        <v>105.57000000000001</v>
      </c>
      <c r="D47" s="68">
        <f t="shared" si="7"/>
        <v>26.833910250000006</v>
      </c>
      <c r="E47" s="68">
        <f t="shared" si="8"/>
        <v>1.8499762500000003E-4</v>
      </c>
      <c r="F47" s="68">
        <f t="shared" si="9"/>
        <v>8.5801499999999997</v>
      </c>
      <c r="G47" s="68">
        <f t="shared" ref="G47:P50" si="12">IF(G$27="%w/w SAR",((G$28*10)*$B47),IF(G$27="%w/w DM",(((G$28*10)*($B$28/100))*$B47),IF(G$27="kg/t SAR",(G$28*$B47),IF(G$27="kg/t DM",((G$28*($B$28/100))*$B47),IF(G$27="mg/kg SAR",((G$28*0.001)*$B47),IF(G$27="mg/kg DM",(((G$28*0.001)*($B$28/100))*$B47),0))))))</f>
        <v>0.13455000000000003</v>
      </c>
      <c r="H47" s="68">
        <f t="shared" si="12"/>
        <v>4.4677500000000006</v>
      </c>
      <c r="I47" s="68">
        <f t="shared" si="12"/>
        <v>0.53647500000000015</v>
      </c>
      <c r="J47" s="68">
        <f t="shared" si="12"/>
        <v>2.5875E-3</v>
      </c>
      <c r="K47" s="68">
        <f t="shared" si="12"/>
        <v>1.0005000000000002E-2</v>
      </c>
      <c r="L47" s="68">
        <f t="shared" si="12"/>
        <v>0.48645000000000005</v>
      </c>
      <c r="M47" s="68">
        <f t="shared" si="12"/>
        <v>0.35362500000000002</v>
      </c>
      <c r="N47" s="68">
        <f t="shared" si="12"/>
        <v>50.197500000000005</v>
      </c>
      <c r="O47" s="68">
        <f t="shared" si="12"/>
        <v>7210.5000000000009</v>
      </c>
      <c r="P47" s="68">
        <f t="shared" si="12"/>
        <v>0</v>
      </c>
      <c r="Q47" s="68">
        <f t="shared" si="10"/>
        <v>196.21875</v>
      </c>
      <c r="R47" s="68">
        <f t="shared" si="11"/>
        <v>0</v>
      </c>
      <c r="S47" s="68">
        <f t="shared" si="11"/>
        <v>0.53820000000000012</v>
      </c>
      <c r="T47" s="68">
        <f t="shared" si="11"/>
        <v>0</v>
      </c>
      <c r="U47" s="68">
        <f t="shared" si="11"/>
        <v>0</v>
      </c>
    </row>
    <row r="48" spans="1:21" s="51" customFormat="1" ht="13" x14ac:dyDescent="0.35">
      <c r="A48" s="10">
        <f>T8</f>
        <v>23</v>
      </c>
      <c r="B48" s="12">
        <v>250</v>
      </c>
      <c r="C48" s="68">
        <f t="shared" si="6"/>
        <v>105.57000000000001</v>
      </c>
      <c r="D48" s="68">
        <f t="shared" si="7"/>
        <v>26.833910250000006</v>
      </c>
      <c r="E48" s="68">
        <f t="shared" si="8"/>
        <v>1.8499762500000003E-4</v>
      </c>
      <c r="F48" s="68">
        <f t="shared" si="9"/>
        <v>8.5801499999999997</v>
      </c>
      <c r="G48" s="68">
        <f t="shared" si="12"/>
        <v>0.13455000000000003</v>
      </c>
      <c r="H48" s="68">
        <f t="shared" si="12"/>
        <v>4.4677500000000006</v>
      </c>
      <c r="I48" s="68">
        <f t="shared" si="12"/>
        <v>0.53647500000000015</v>
      </c>
      <c r="J48" s="68">
        <f t="shared" si="12"/>
        <v>2.5875E-3</v>
      </c>
      <c r="K48" s="68">
        <f t="shared" si="12"/>
        <v>1.0005000000000002E-2</v>
      </c>
      <c r="L48" s="68">
        <f t="shared" si="12"/>
        <v>0.48645000000000005</v>
      </c>
      <c r="M48" s="68">
        <f t="shared" si="12"/>
        <v>0.35362500000000002</v>
      </c>
      <c r="N48" s="68">
        <f t="shared" si="12"/>
        <v>50.197500000000005</v>
      </c>
      <c r="O48" s="68">
        <f t="shared" si="12"/>
        <v>7210.5000000000009</v>
      </c>
      <c r="P48" s="68">
        <f t="shared" si="12"/>
        <v>0</v>
      </c>
      <c r="Q48" s="68">
        <f t="shared" si="10"/>
        <v>196.21875</v>
      </c>
      <c r="R48" s="68">
        <f t="shared" si="11"/>
        <v>0</v>
      </c>
      <c r="S48" s="68">
        <f t="shared" si="11"/>
        <v>0.53820000000000012</v>
      </c>
      <c r="T48" s="68">
        <f t="shared" si="11"/>
        <v>0</v>
      </c>
      <c r="U48" s="68">
        <f t="shared" si="11"/>
        <v>0</v>
      </c>
    </row>
    <row r="49" spans="1:21" s="51" customFormat="1" ht="13" x14ac:dyDescent="0.35">
      <c r="A49" s="10">
        <f>U8</f>
        <v>7078</v>
      </c>
      <c r="B49" s="12">
        <v>250</v>
      </c>
      <c r="C49" s="68">
        <f t="shared" si="6"/>
        <v>105.57000000000001</v>
      </c>
      <c r="D49" s="68">
        <f t="shared" si="7"/>
        <v>26.833910250000006</v>
      </c>
      <c r="E49" s="68">
        <f t="shared" si="8"/>
        <v>1.8499762500000003E-4</v>
      </c>
      <c r="F49" s="68">
        <f t="shared" si="9"/>
        <v>8.5801499999999997</v>
      </c>
      <c r="G49" s="68">
        <f t="shared" si="12"/>
        <v>0.13455000000000003</v>
      </c>
      <c r="H49" s="68">
        <f t="shared" si="12"/>
        <v>4.4677500000000006</v>
      </c>
      <c r="I49" s="68">
        <f t="shared" si="12"/>
        <v>0.53647500000000015</v>
      </c>
      <c r="J49" s="68">
        <f t="shared" si="12"/>
        <v>2.5875E-3</v>
      </c>
      <c r="K49" s="68">
        <f t="shared" si="12"/>
        <v>1.0005000000000002E-2</v>
      </c>
      <c r="L49" s="68">
        <f t="shared" si="12"/>
        <v>0.48645000000000005</v>
      </c>
      <c r="M49" s="68">
        <f t="shared" si="12"/>
        <v>0.35362500000000002</v>
      </c>
      <c r="N49" s="68">
        <f t="shared" si="12"/>
        <v>50.197500000000005</v>
      </c>
      <c r="O49" s="68">
        <f t="shared" si="12"/>
        <v>7210.5000000000009</v>
      </c>
      <c r="P49" s="68">
        <f t="shared" si="12"/>
        <v>0</v>
      </c>
      <c r="Q49" s="68">
        <f t="shared" si="10"/>
        <v>196.21875</v>
      </c>
      <c r="R49" s="68">
        <f t="shared" si="11"/>
        <v>0</v>
      </c>
      <c r="S49" s="68">
        <f t="shared" si="11"/>
        <v>0.53820000000000012</v>
      </c>
      <c r="T49" s="68">
        <f t="shared" si="11"/>
        <v>0</v>
      </c>
      <c r="U49" s="68">
        <f t="shared" si="11"/>
        <v>0</v>
      </c>
    </row>
    <row r="50" spans="1:21" s="51" customFormat="1" ht="13.5" thickBot="1" x14ac:dyDescent="0.4">
      <c r="A50" s="11">
        <f>V8</f>
        <v>7058</v>
      </c>
      <c r="B50" s="12">
        <v>250</v>
      </c>
      <c r="C50" s="87">
        <f t="shared" si="6"/>
        <v>105.57000000000001</v>
      </c>
      <c r="D50" s="87">
        <f t="shared" si="7"/>
        <v>26.833910250000006</v>
      </c>
      <c r="E50" s="87">
        <f t="shared" si="8"/>
        <v>1.8499762500000003E-4</v>
      </c>
      <c r="F50" s="87">
        <f t="shared" si="9"/>
        <v>8.5801499999999997</v>
      </c>
      <c r="G50" s="87">
        <f t="shared" si="12"/>
        <v>0.13455000000000003</v>
      </c>
      <c r="H50" s="87">
        <f t="shared" si="12"/>
        <v>4.4677500000000006</v>
      </c>
      <c r="I50" s="87">
        <f t="shared" si="12"/>
        <v>0.53647500000000015</v>
      </c>
      <c r="J50" s="87">
        <f t="shared" si="12"/>
        <v>2.5875E-3</v>
      </c>
      <c r="K50" s="87">
        <f t="shared" si="12"/>
        <v>1.0005000000000002E-2</v>
      </c>
      <c r="L50" s="87">
        <f t="shared" si="12"/>
        <v>0.48645000000000005</v>
      </c>
      <c r="M50" s="87">
        <f t="shared" si="12"/>
        <v>0.35362500000000002</v>
      </c>
      <c r="N50" s="87">
        <f t="shared" si="12"/>
        <v>50.197500000000005</v>
      </c>
      <c r="O50" s="87">
        <f t="shared" si="12"/>
        <v>7210.5000000000009</v>
      </c>
      <c r="P50" s="87">
        <f t="shared" si="12"/>
        <v>0</v>
      </c>
      <c r="Q50" s="87">
        <f t="shared" si="10"/>
        <v>196.21875</v>
      </c>
      <c r="R50" s="87">
        <f t="shared" si="11"/>
        <v>0</v>
      </c>
      <c r="S50" s="87">
        <f t="shared" si="11"/>
        <v>0.53820000000000012</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21" ht="13" x14ac:dyDescent="0.35">
      <c r="A58" s="82"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str">
        <f>Q16&amp;" I "&amp;(VLOOKUP(Q14,Table245810[],6,FALSE))</f>
        <v>Medium/Clay I Grass</v>
      </c>
      <c r="Q58" s="10" t="str">
        <f>R16&amp;" I "&amp;(VLOOKUP(R14,Table245810[],6,FALSE))</f>
        <v>Medium/Clay I Grass</v>
      </c>
      <c r="R58" s="10" t="str">
        <f>S16&amp;" I "&amp;(VLOOKUP(S14,Table245810[],6,FALSE))</f>
        <v>Medium/Clay I Grass</v>
      </c>
      <c r="S58" s="10" t="str">
        <f>T16&amp;" I "&amp;(VLOOKUP(T14,Table245810[],6,FALSE))</f>
        <v>Medium/Clay I Grass</v>
      </c>
      <c r="T58" s="10" t="str">
        <f>U16&amp;" I "&amp;(VLOOKUP(U14,Table245810[],6,FALSE))</f>
        <v>Medium/Clay I Grass</v>
      </c>
      <c r="U58" s="10" t="str">
        <f>V16&amp;" I "&amp;(VLOOKUP(V14,Table245810[],6,FALSE))</f>
        <v>Medium/Clay I Grass</v>
      </c>
    </row>
    <row r="59" spans="1:21" ht="13" x14ac:dyDescent="0.3">
      <c r="A59" s="100" t="s">
        <v>132</v>
      </c>
      <c r="B59" s="67">
        <f>VLOOKUP(C$14,Table245810[],5,FALSE)</f>
        <v>6.2</v>
      </c>
      <c r="C59" s="67">
        <f>VLOOKUP(D$14,Table245810[],5,FALSE)</f>
        <v>6.2</v>
      </c>
      <c r="D59" s="67">
        <f>VLOOKUP(E$14,Table245810[],5,FALSE)</f>
        <v>6.2</v>
      </c>
      <c r="E59" s="67">
        <f>VLOOKUP(F$14,Table245810[],5,FALSE)</f>
        <v>6.2</v>
      </c>
      <c r="F59" s="67">
        <f>VLOOKUP(G$14,Table245810[],5,FALSE)</f>
        <v>6.2</v>
      </c>
      <c r="G59" s="67">
        <f>VLOOKUP(H$14,Table245810[],5,FALSE)</f>
        <v>6.2</v>
      </c>
      <c r="H59" s="67">
        <f>VLOOKUP(I$14,Table245810[],5,FALSE)</f>
        <v>6.2</v>
      </c>
      <c r="I59" s="67">
        <f>VLOOKUP(J$14,Table245810[],5,FALSE)</f>
        <v>6.2</v>
      </c>
      <c r="J59" s="67">
        <f>VLOOKUP(K$14,Table245810[],5,FALSE)</f>
        <v>6.2</v>
      </c>
      <c r="K59" s="67">
        <f>VLOOKUP(L$14,Table245810[],5,FALSE)</f>
        <v>6.2</v>
      </c>
      <c r="L59" s="67">
        <f>VLOOKUP(M$14,Table245810[],5,FALSE)</f>
        <v>6.2</v>
      </c>
      <c r="M59" s="67">
        <f>VLOOKUP(N$14,Table245810[],5,FALSE)</f>
        <v>6.2</v>
      </c>
      <c r="N59" s="67">
        <f>VLOOKUP(O$14,Table245810[],5,FALSE)</f>
        <v>6.2</v>
      </c>
      <c r="O59" s="67">
        <f>VLOOKUP(P$14,Table245810[],5,FALSE)</f>
        <v>6.2</v>
      </c>
      <c r="P59" s="67">
        <f>VLOOKUP(Q$14,Table245810[],5,FALSE)</f>
        <v>6.2</v>
      </c>
      <c r="Q59" s="67">
        <f>VLOOKUP(R$14,Table245810[],5,FALSE)</f>
        <v>6.2</v>
      </c>
      <c r="R59" s="67">
        <f>VLOOKUP(S$14,Table245810[],5,FALSE)</f>
        <v>6.2</v>
      </c>
      <c r="S59" s="67">
        <f>VLOOKUP(T$14,Table245810[],5,FALSE)</f>
        <v>6.2</v>
      </c>
      <c r="T59" s="67">
        <f>VLOOKUP(U$14,Table245810[],5,FALSE)</f>
        <v>6.2</v>
      </c>
      <c r="U59" s="67">
        <f>VLOOKUP(V$14,Table245810[],5,FALSE)</f>
        <v>6.2</v>
      </c>
    </row>
    <row r="60" spans="1:21" ht="13" x14ac:dyDescent="0.3">
      <c r="A60" s="100" t="s">
        <v>4</v>
      </c>
      <c r="B60" s="67">
        <f>C10</f>
        <v>7.1</v>
      </c>
      <c r="C60" s="67">
        <f t="shared" ref="C60:U60" si="14">D10</f>
        <v>6.9</v>
      </c>
      <c r="D60" s="67">
        <f t="shared" si="14"/>
        <v>7.7</v>
      </c>
      <c r="E60" s="67">
        <f t="shared" si="14"/>
        <v>6.9</v>
      </c>
      <c r="F60" s="67">
        <f t="shared" si="14"/>
        <v>6.9</v>
      </c>
      <c r="G60" s="67">
        <f t="shared" si="14"/>
        <v>6.3</v>
      </c>
      <c r="H60" s="67">
        <f t="shared" si="14"/>
        <v>7.9</v>
      </c>
      <c r="I60" s="67">
        <f t="shared" si="14"/>
        <v>6.8</v>
      </c>
      <c r="J60" s="67">
        <f t="shared" si="14"/>
        <v>6.7</v>
      </c>
      <c r="K60" s="67">
        <f t="shared" si="14"/>
        <v>6.8</v>
      </c>
      <c r="L60" s="67">
        <f t="shared" si="14"/>
        <v>6.9</v>
      </c>
      <c r="M60" s="67">
        <f t="shared" si="14"/>
        <v>7</v>
      </c>
      <c r="N60" s="67">
        <f t="shared" si="14"/>
        <v>7</v>
      </c>
      <c r="O60" s="67">
        <f t="shared" si="14"/>
        <v>6.8</v>
      </c>
      <c r="P60" s="67">
        <f t="shared" si="14"/>
        <v>6.9</v>
      </c>
      <c r="Q60" s="67">
        <f t="shared" si="14"/>
        <v>6.7</v>
      </c>
      <c r="R60" s="67">
        <f t="shared" si="14"/>
        <v>6.3</v>
      </c>
      <c r="S60" s="67">
        <f t="shared" si="14"/>
        <v>6</v>
      </c>
      <c r="T60" s="67">
        <f t="shared" si="14"/>
        <v>6.8</v>
      </c>
      <c r="U60" s="67">
        <f t="shared" si="14"/>
        <v>6.9</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f t="shared" si="15"/>
        <v>6</v>
      </c>
      <c r="U61" s="67">
        <f t="shared" si="15"/>
        <v>6</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250</v>
      </c>
      <c r="O62" s="68">
        <f>B44</f>
        <v>250</v>
      </c>
      <c r="P62" s="68">
        <f>B45</f>
        <v>250</v>
      </c>
      <c r="Q62" s="68">
        <f>B46</f>
        <v>250</v>
      </c>
      <c r="R62" s="68">
        <f>B47</f>
        <v>250</v>
      </c>
      <c r="S62" s="68">
        <f>B48</f>
        <v>250</v>
      </c>
      <c r="T62" s="68">
        <f>B49</f>
        <v>250</v>
      </c>
      <c r="U62" s="68">
        <f>B50</f>
        <v>250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-5.3999999999999968</v>
      </c>
      <c r="C64" s="68">
        <f t="shared" ref="C64:U64" si="17">(C59-C60)*C61</f>
        <v>-4.2000000000000011</v>
      </c>
      <c r="D64" s="68">
        <f t="shared" si="17"/>
        <v>-9</v>
      </c>
      <c r="E64" s="68">
        <f t="shared" si="17"/>
        <v>-4.2000000000000011</v>
      </c>
      <c r="F64" s="68">
        <f t="shared" si="17"/>
        <v>-4.2000000000000011</v>
      </c>
      <c r="G64" s="68">
        <f t="shared" si="17"/>
        <v>-0.59999999999999787</v>
      </c>
      <c r="H64" s="68">
        <f t="shared" si="17"/>
        <v>-10.200000000000001</v>
      </c>
      <c r="I64" s="68">
        <f t="shared" si="17"/>
        <v>-3.5999999999999979</v>
      </c>
      <c r="J64" s="68">
        <f t="shared" si="17"/>
        <v>-3</v>
      </c>
      <c r="K64" s="68">
        <f t="shared" si="17"/>
        <v>-3.5999999999999979</v>
      </c>
      <c r="L64" s="68">
        <f t="shared" si="17"/>
        <v>-4.2000000000000011</v>
      </c>
      <c r="M64" s="68">
        <f t="shared" si="17"/>
        <v>-4.7999999999999989</v>
      </c>
      <c r="N64" s="68">
        <f t="shared" si="17"/>
        <v>-4.7999999999999989</v>
      </c>
      <c r="O64" s="68">
        <f t="shared" si="17"/>
        <v>-3.5999999999999979</v>
      </c>
      <c r="P64" s="68">
        <f t="shared" si="17"/>
        <v>-4.2000000000000011</v>
      </c>
      <c r="Q64" s="68">
        <f t="shared" si="17"/>
        <v>-3</v>
      </c>
      <c r="R64" s="68">
        <f t="shared" si="17"/>
        <v>-0.59999999999999787</v>
      </c>
      <c r="S64" s="68">
        <f t="shared" si="17"/>
        <v>1.2000000000000011</v>
      </c>
      <c r="T64" s="68">
        <f t="shared" si="17"/>
        <v>-3.5999999999999979</v>
      </c>
      <c r="U64" s="68">
        <f t="shared" si="17"/>
        <v>-4.2000000000000011</v>
      </c>
    </row>
    <row r="65" spans="1:21" ht="52" x14ac:dyDescent="0.3">
      <c r="A65" s="101" t="s">
        <v>157</v>
      </c>
      <c r="B65" s="68">
        <f>B63-B64</f>
        <v>5.3999999999999968</v>
      </c>
      <c r="C65" s="68">
        <f t="shared" ref="C65:U65" si="18">C63-C64</f>
        <v>4.2000000000000011</v>
      </c>
      <c r="D65" s="68">
        <f t="shared" si="18"/>
        <v>9</v>
      </c>
      <c r="E65" s="68">
        <f t="shared" si="18"/>
        <v>4.2000000000000011</v>
      </c>
      <c r="F65" s="68">
        <f t="shared" si="18"/>
        <v>4.2000000000000011</v>
      </c>
      <c r="G65" s="68">
        <f t="shared" si="18"/>
        <v>0.59999999999999787</v>
      </c>
      <c r="H65" s="68">
        <f t="shared" si="18"/>
        <v>10.200000000000001</v>
      </c>
      <c r="I65" s="68">
        <f t="shared" si="18"/>
        <v>3.5999999999999979</v>
      </c>
      <c r="J65" s="68">
        <f t="shared" si="18"/>
        <v>3</v>
      </c>
      <c r="K65" s="68">
        <f t="shared" si="18"/>
        <v>3.5999999999999979</v>
      </c>
      <c r="L65" s="68">
        <f t="shared" si="18"/>
        <v>4.2000000000000011</v>
      </c>
      <c r="M65" s="68">
        <f t="shared" si="18"/>
        <v>4.7999999999999989</v>
      </c>
      <c r="N65" s="68">
        <f t="shared" si="18"/>
        <v>4.7999999999999989</v>
      </c>
      <c r="O65" s="68">
        <f t="shared" si="18"/>
        <v>3.5999999999999979</v>
      </c>
      <c r="P65" s="68">
        <f t="shared" si="18"/>
        <v>4.2000000000000011</v>
      </c>
      <c r="Q65" s="68">
        <f t="shared" si="18"/>
        <v>3</v>
      </c>
      <c r="R65" s="68">
        <f t="shared" si="18"/>
        <v>0.59999999999999787</v>
      </c>
      <c r="S65" s="68">
        <f t="shared" si="18"/>
        <v>-1.2000000000000011</v>
      </c>
      <c r="T65" s="68">
        <f t="shared" si="18"/>
        <v>3.5999999999999979</v>
      </c>
      <c r="U65" s="68">
        <f t="shared" si="18"/>
        <v>4.2000000000000011</v>
      </c>
    </row>
    <row r="66" spans="1:21" ht="26"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str">
        <f t="shared" si="19"/>
        <v>OVER</v>
      </c>
      <c r="N66" s="69" t="str">
        <f t="shared" si="19"/>
        <v>OVER</v>
      </c>
      <c r="O66" s="69" t="str">
        <f t="shared" si="19"/>
        <v>OVER</v>
      </c>
      <c r="P66" s="69" t="str">
        <f t="shared" si="19"/>
        <v>OVER</v>
      </c>
      <c r="Q66" s="69" t="str">
        <f t="shared" si="19"/>
        <v>OVER</v>
      </c>
      <c r="R66" s="69" t="str">
        <f t="shared" si="19"/>
        <v>OVER</v>
      </c>
      <c r="S66" s="69" t="str">
        <f t="shared" si="19"/>
        <v>UNDER</v>
      </c>
      <c r="T66" s="69" t="str">
        <f t="shared" si="19"/>
        <v>OVER</v>
      </c>
      <c r="U66" s="69" t="str">
        <f t="shared" si="19"/>
        <v>OVER</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C1" zoomScale="90" zoomScaleNormal="90" workbookViewId="0">
      <selection activeCell="L6" sqref="L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'Bryn Cowlyd'!C1:D1</f>
        <v>PAN-026782</v>
      </c>
      <c r="D1" s="128"/>
      <c r="E1" s="83" t="s">
        <v>45</v>
      </c>
      <c r="F1" s="32">
        <f>'Bryn Cowlyd'!F1</f>
        <v>49.3</v>
      </c>
      <c r="G1" s="107" t="s">
        <v>43</v>
      </c>
      <c r="H1" s="108"/>
      <c r="I1" s="86">
        <v>6.9</v>
      </c>
      <c r="J1" s="106" t="s">
        <v>153</v>
      </c>
      <c r="K1" s="106"/>
      <c r="L1" s="86">
        <v>139</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'Bryn Cowlyd'!C2:D2</f>
        <v>EPR/GP3792SK</v>
      </c>
      <c r="D2" s="130"/>
      <c r="E2" s="83" t="s">
        <v>109</v>
      </c>
      <c r="F2" s="86" t="s">
        <v>167</v>
      </c>
      <c r="G2" s="125" t="s">
        <v>110</v>
      </c>
      <c r="H2" s="126"/>
      <c r="I2" s="86"/>
      <c r="J2" s="106" t="s">
        <v>158</v>
      </c>
      <c r="K2" s="106"/>
      <c r="L2" s="86">
        <v>1.1299999999999999</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'Bryn Cowlyd'!C3:D3</f>
        <v xml:space="preserve">Byproduct recovery LTD </v>
      </c>
      <c r="D3" s="130"/>
      <c r="E3" s="83" t="s">
        <v>108</v>
      </c>
      <c r="F3" s="24" t="s">
        <v>78</v>
      </c>
      <c r="G3" s="106" t="s">
        <v>159</v>
      </c>
      <c r="H3" s="106"/>
      <c r="I3" s="86"/>
      <c r="J3" s="107" t="s">
        <v>154</v>
      </c>
      <c r="K3" s="108"/>
      <c r="L3" s="86">
        <f>(L1/(L2*10000))*100</f>
        <v>1.2300884955752216</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'Bryn Cowlyd'!C4:D4</f>
        <v xml:space="preserve">Farchwel, Talybont, Conwy, LL32 8UY </v>
      </c>
      <c r="D4" s="128"/>
      <c r="E4" s="84" t="s">
        <v>1</v>
      </c>
      <c r="F4" s="86" t="s">
        <v>174</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'Bryn Cowlyd'!C5:D5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f>'Bryn Cowlyd'!C8</f>
        <v>1</v>
      </c>
      <c r="D8" s="52">
        <f>'Bryn Cowlyd'!D8</f>
        <v>2</v>
      </c>
      <c r="E8" s="52">
        <f>'Bryn Cowlyd'!E8</f>
        <v>3</v>
      </c>
      <c r="F8" s="52">
        <f>'Bryn Cowlyd'!F8</f>
        <v>4</v>
      </c>
      <c r="G8" s="52">
        <f>'Bryn Cowlyd'!G8</f>
        <v>5</v>
      </c>
      <c r="H8" s="52">
        <f>'Bryn Cowlyd'!H8</f>
        <v>6</v>
      </c>
      <c r="I8" s="52">
        <f>'Bryn Cowlyd'!I8</f>
        <v>7</v>
      </c>
      <c r="J8" s="52">
        <f>'Bryn Cowlyd'!J8</f>
        <v>8</v>
      </c>
      <c r="K8" s="52">
        <f>'Bryn Cowlyd'!K8</f>
        <v>9</v>
      </c>
      <c r="L8" s="52">
        <f>'Bryn Cowlyd'!L8</f>
        <v>10</v>
      </c>
      <c r="M8" s="52">
        <f>'Bryn Cowlyd'!M8</f>
        <v>11</v>
      </c>
      <c r="N8" s="52">
        <f>'Bryn Cowlyd'!N8</f>
        <v>12</v>
      </c>
      <c r="O8" s="52">
        <f>'Bryn Cowlyd'!O8</f>
        <v>13</v>
      </c>
      <c r="P8" s="52">
        <f>'Bryn Cowlyd'!P8</f>
        <v>15</v>
      </c>
      <c r="Q8" s="52">
        <f>'Bryn Cowlyd'!Q8</f>
        <v>16</v>
      </c>
      <c r="R8" s="52">
        <f>'Bryn Cowlyd'!R8</f>
        <v>21</v>
      </c>
      <c r="S8" s="52">
        <f>'Bryn Cowlyd'!S8</f>
        <v>22</v>
      </c>
      <c r="T8" s="52">
        <f>'Bryn Cowlyd'!T8</f>
        <v>23</v>
      </c>
      <c r="U8" s="52">
        <f>'Bryn Cowlyd'!U8</f>
        <v>7078</v>
      </c>
      <c r="V8" s="52">
        <f>'Bryn Cowlyd'!V8</f>
        <v>7058</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'Bryn Cowlyd'!C9</f>
        <v>M</v>
      </c>
      <c r="D9" s="52" t="str">
        <f>'Bryn Cowlyd'!D9</f>
        <v>M</v>
      </c>
      <c r="E9" s="52" t="str">
        <f>'Bryn Cowlyd'!E9</f>
        <v>M</v>
      </c>
      <c r="F9" s="52" t="str">
        <f>'Bryn Cowlyd'!F9</f>
        <v>M</v>
      </c>
      <c r="G9" s="52" t="str">
        <f>'Bryn Cowlyd'!G9</f>
        <v>M</v>
      </c>
      <c r="H9" s="52" t="str">
        <f>'Bryn Cowlyd'!H9</f>
        <v>M</v>
      </c>
      <c r="I9" s="52" t="str">
        <f>'Bryn Cowlyd'!I9</f>
        <v>M</v>
      </c>
      <c r="J9" s="52" t="str">
        <f>'Bryn Cowlyd'!J9</f>
        <v>M</v>
      </c>
      <c r="K9" s="52" t="str">
        <f>'Bryn Cowlyd'!K9</f>
        <v>M</v>
      </c>
      <c r="L9" s="52" t="str">
        <f>'Bryn Cowlyd'!L9</f>
        <v>M</v>
      </c>
      <c r="M9" s="52" t="str">
        <f>'Bryn Cowlyd'!M9</f>
        <v>M</v>
      </c>
      <c r="N9" s="52" t="str">
        <f>'Bryn Cowlyd'!N9</f>
        <v>M</v>
      </c>
      <c r="O9" s="52" t="str">
        <f>'Bryn Cowlyd'!O9</f>
        <v>M</v>
      </c>
      <c r="P9" s="52" t="str">
        <f>'Bryn Cowlyd'!P9</f>
        <v>M</v>
      </c>
      <c r="Q9" s="52" t="str">
        <f>'Bryn Cowlyd'!Q9</f>
        <v>M</v>
      </c>
      <c r="R9" s="52" t="str">
        <f>'Bryn Cowlyd'!R9</f>
        <v>M</v>
      </c>
      <c r="S9" s="52" t="str">
        <f>'Bryn Cowlyd'!S9</f>
        <v>M</v>
      </c>
      <c r="T9" s="52" t="str">
        <f>'Bryn Cowlyd'!T9</f>
        <v>M</v>
      </c>
      <c r="U9" s="52" t="str">
        <f>'Bryn Cowlyd'!U9</f>
        <v>M</v>
      </c>
      <c r="V9" s="52" t="str">
        <f>'Bryn Cowlyd'!V9</f>
        <v>M</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'Bryn Cowlyd'!C10</f>
        <v>7.1</v>
      </c>
      <c r="D10" s="52">
        <f>'Bryn Cowlyd'!D10</f>
        <v>6.9</v>
      </c>
      <c r="E10" s="52">
        <f>'Bryn Cowlyd'!E10</f>
        <v>7.7</v>
      </c>
      <c r="F10" s="52">
        <f>'Bryn Cowlyd'!F10</f>
        <v>6.9</v>
      </c>
      <c r="G10" s="52">
        <f>'Bryn Cowlyd'!G10</f>
        <v>6.9</v>
      </c>
      <c r="H10" s="52">
        <f>'Bryn Cowlyd'!H10</f>
        <v>6.3</v>
      </c>
      <c r="I10" s="52">
        <f>'Bryn Cowlyd'!I10</f>
        <v>7.9</v>
      </c>
      <c r="J10" s="52">
        <f>'Bryn Cowlyd'!J10</f>
        <v>6.8</v>
      </c>
      <c r="K10" s="52">
        <f>'Bryn Cowlyd'!K10</f>
        <v>6.7</v>
      </c>
      <c r="L10" s="52">
        <f>'Bryn Cowlyd'!L10</f>
        <v>6.8</v>
      </c>
      <c r="M10" s="52">
        <f>'Bryn Cowlyd'!M10</f>
        <v>6.9</v>
      </c>
      <c r="N10" s="52">
        <f>'Bryn Cowlyd'!N10</f>
        <v>7</v>
      </c>
      <c r="O10" s="52">
        <f>'Bryn Cowlyd'!O10</f>
        <v>7</v>
      </c>
      <c r="P10" s="52">
        <f>'Bryn Cowlyd'!P10</f>
        <v>6.8</v>
      </c>
      <c r="Q10" s="52">
        <f>'Bryn Cowlyd'!Q10</f>
        <v>6.9</v>
      </c>
      <c r="R10" s="52">
        <f>'Bryn Cowlyd'!R10</f>
        <v>6.7</v>
      </c>
      <c r="S10" s="52">
        <f>'Bryn Cowlyd'!S10</f>
        <v>6.3</v>
      </c>
      <c r="T10" s="52">
        <f>'Bryn Cowlyd'!T10</f>
        <v>6</v>
      </c>
      <c r="U10" s="52">
        <f>'Bryn Cowlyd'!U10</f>
        <v>6.8</v>
      </c>
      <c r="V10" s="52">
        <f>'Bryn Cowlyd'!V10</f>
        <v>6.9</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'Bryn Cowlyd'!C11</f>
        <v>2</v>
      </c>
      <c r="D11" s="52">
        <f>'Bryn Cowlyd'!D11</f>
        <v>2</v>
      </c>
      <c r="E11" s="52">
        <f>'Bryn Cowlyd'!E11</f>
        <v>2</v>
      </c>
      <c r="F11" s="52">
        <f>'Bryn Cowlyd'!F11</f>
        <v>1</v>
      </c>
      <c r="G11" s="52">
        <f>'Bryn Cowlyd'!G11</f>
        <v>1</v>
      </c>
      <c r="H11" s="52">
        <f>'Bryn Cowlyd'!H11</f>
        <v>1</v>
      </c>
      <c r="I11" s="52">
        <f>'Bryn Cowlyd'!I11</f>
        <v>2</v>
      </c>
      <c r="J11" s="52">
        <f>'Bryn Cowlyd'!J11</f>
        <v>1</v>
      </c>
      <c r="K11" s="52">
        <f>'Bryn Cowlyd'!K11</f>
        <v>1</v>
      </c>
      <c r="L11" s="52">
        <f>'Bryn Cowlyd'!L11</f>
        <v>1</v>
      </c>
      <c r="M11" s="52">
        <f>'Bryn Cowlyd'!M11</f>
        <v>1</v>
      </c>
      <c r="N11" s="52">
        <f>'Bryn Cowlyd'!N11</f>
        <v>2</v>
      </c>
      <c r="O11" s="52">
        <f>'Bryn Cowlyd'!O11</f>
        <v>3</v>
      </c>
      <c r="P11" s="52">
        <f>'Bryn Cowlyd'!P11</f>
        <v>3</v>
      </c>
      <c r="Q11" s="52">
        <f>'Bryn Cowlyd'!Q11</f>
        <v>2</v>
      </c>
      <c r="R11" s="52">
        <f>'Bryn Cowlyd'!R11</f>
        <v>2</v>
      </c>
      <c r="S11" s="52">
        <f>'Bryn Cowlyd'!S11</f>
        <v>2</v>
      </c>
      <c r="T11" s="52">
        <f>'Bryn Cowlyd'!T11</f>
        <v>2</v>
      </c>
      <c r="U11" s="52">
        <f>'Bryn Cowlyd'!U11</f>
        <v>1</v>
      </c>
      <c r="V11" s="52">
        <f>'Bryn Cowlyd'!V11</f>
        <v>1</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'Bryn Cowlyd'!C12</f>
        <v>1</v>
      </c>
      <c r="D12" s="52">
        <f>'Bryn Cowlyd'!D12</f>
        <v>2</v>
      </c>
      <c r="E12" s="52">
        <f>'Bryn Cowlyd'!E12</f>
        <v>1</v>
      </c>
      <c r="F12" s="52">
        <f>'Bryn Cowlyd'!F12</f>
        <v>1</v>
      </c>
      <c r="G12" s="52">
        <f>'Bryn Cowlyd'!G12</f>
        <v>0</v>
      </c>
      <c r="H12" s="52">
        <f>'Bryn Cowlyd'!H12</f>
        <v>1</v>
      </c>
      <c r="I12" s="52">
        <f>'Bryn Cowlyd'!I12</f>
        <v>1</v>
      </c>
      <c r="J12" s="52">
        <f>'Bryn Cowlyd'!J12</f>
        <v>1</v>
      </c>
      <c r="K12" s="52">
        <f>'Bryn Cowlyd'!K12</f>
        <v>1</v>
      </c>
      <c r="L12" s="52">
        <f>'Bryn Cowlyd'!L12</f>
        <v>1</v>
      </c>
      <c r="M12" s="52">
        <f>'Bryn Cowlyd'!M12</f>
        <v>1</v>
      </c>
      <c r="N12" s="52">
        <f>'Bryn Cowlyd'!N12</f>
        <v>0</v>
      </c>
      <c r="O12" s="52">
        <f>'Bryn Cowlyd'!O12</f>
        <v>2</v>
      </c>
      <c r="P12" s="52">
        <f>'Bryn Cowlyd'!P12</f>
        <v>2</v>
      </c>
      <c r="Q12" s="52">
        <f>'Bryn Cowlyd'!Q12</f>
        <v>1</v>
      </c>
      <c r="R12" s="52">
        <f>'Bryn Cowlyd'!R12</f>
        <v>2</v>
      </c>
      <c r="S12" s="52">
        <f>'Bryn Cowlyd'!S12</f>
        <v>2</v>
      </c>
      <c r="T12" s="52">
        <f>'Bryn Cowlyd'!T12</f>
        <v>2</v>
      </c>
      <c r="U12" s="52">
        <f>'Bryn Cowlyd'!U12</f>
        <v>1</v>
      </c>
      <c r="V12" s="52">
        <f>'Bryn Cowlyd'!V12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'Bryn Cowlyd'!C13</f>
        <v>2</v>
      </c>
      <c r="D13" s="52">
        <f>'Bryn Cowlyd'!D13</f>
        <v>2</v>
      </c>
      <c r="E13" s="52">
        <f>'Bryn Cowlyd'!E13</f>
        <v>2</v>
      </c>
      <c r="F13" s="52">
        <f>'Bryn Cowlyd'!F13</f>
        <v>2</v>
      </c>
      <c r="G13" s="52">
        <f>'Bryn Cowlyd'!G13</f>
        <v>2</v>
      </c>
      <c r="H13" s="52">
        <f>'Bryn Cowlyd'!H13</f>
        <v>2</v>
      </c>
      <c r="I13" s="52">
        <f>'Bryn Cowlyd'!I13</f>
        <v>1</v>
      </c>
      <c r="J13" s="52">
        <f>'Bryn Cowlyd'!J13</f>
        <v>2</v>
      </c>
      <c r="K13" s="52">
        <f>'Bryn Cowlyd'!K13</f>
        <v>2</v>
      </c>
      <c r="L13" s="52">
        <f>'Bryn Cowlyd'!L13</f>
        <v>2</v>
      </c>
      <c r="M13" s="52">
        <f>'Bryn Cowlyd'!M13</f>
        <v>2</v>
      </c>
      <c r="N13" s="52">
        <f>'Bryn Cowlyd'!N13</f>
        <v>1</v>
      </c>
      <c r="O13" s="52">
        <f>'Bryn Cowlyd'!O13</f>
        <v>3</v>
      </c>
      <c r="P13" s="52">
        <f>'Bryn Cowlyd'!P13</f>
        <v>3</v>
      </c>
      <c r="Q13" s="52">
        <f>'Bryn Cowlyd'!Q13</f>
        <v>2</v>
      </c>
      <c r="R13" s="52">
        <f>'Bryn Cowlyd'!R13</f>
        <v>3</v>
      </c>
      <c r="S13" s="52">
        <f>'Bryn Cowlyd'!S13</f>
        <v>3</v>
      </c>
      <c r="T13" s="52">
        <f>'Bryn Cowlyd'!T13</f>
        <v>3</v>
      </c>
      <c r="U13" s="52">
        <f>'Bryn Cowlyd'!U13</f>
        <v>2</v>
      </c>
      <c r="V13" s="52">
        <f>'Bryn Cowlyd'!V13</f>
        <v>2</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'Bryn Cowlyd'!C14</f>
        <v xml:space="preserve">Grass Silage (25% DM) </v>
      </c>
      <c r="D14" s="91" t="str">
        <f>'Bryn Cowlyd'!D14</f>
        <v xml:space="preserve">Grass Silage (25% DM) </v>
      </c>
      <c r="E14" s="91" t="str">
        <f>'Bryn Cowlyd'!E14</f>
        <v xml:space="preserve">Grass Silage (25% DM) </v>
      </c>
      <c r="F14" s="91" t="str">
        <f>'Bryn Cowlyd'!F14</f>
        <v xml:space="preserve">Grass Silage (25% DM) </v>
      </c>
      <c r="G14" s="91" t="str">
        <f>'Bryn Cowlyd'!G14</f>
        <v xml:space="preserve">Grass Silage (25% DM) </v>
      </c>
      <c r="H14" s="91" t="str">
        <f>'Bryn Cowlyd'!H14</f>
        <v xml:space="preserve">Grass Silage (25% DM) </v>
      </c>
      <c r="I14" s="91" t="str">
        <f>'Bryn Cowlyd'!I14</f>
        <v xml:space="preserve">Grass Silage (25% DM) </v>
      </c>
      <c r="J14" s="91" t="str">
        <f>'Bryn Cowlyd'!J14</f>
        <v xml:space="preserve">Grass Silage (25% DM) </v>
      </c>
      <c r="K14" s="91" t="str">
        <f>'Bryn Cowlyd'!K14</f>
        <v xml:space="preserve">Grass Silage (25% DM) </v>
      </c>
      <c r="L14" s="91" t="str">
        <f>'Bryn Cowlyd'!L14</f>
        <v xml:space="preserve">Grass Silage (25% DM) </v>
      </c>
      <c r="M14" s="91" t="str">
        <f>'Bryn Cowlyd'!M14</f>
        <v xml:space="preserve">Grass Silage (25% DM) </v>
      </c>
      <c r="N14" s="91" t="str">
        <f>'Bryn Cowlyd'!N14</f>
        <v xml:space="preserve">Grass Silage (25% DM) </v>
      </c>
      <c r="O14" s="91" t="str">
        <f>'Bryn Cowlyd'!O14</f>
        <v xml:space="preserve">Grass Silage (25% DM) </v>
      </c>
      <c r="P14" s="91" t="str">
        <f>'Bryn Cowlyd'!P14</f>
        <v xml:space="preserve">Grass Silage (25% DM) </v>
      </c>
      <c r="Q14" s="91" t="str">
        <f>'Bryn Cowlyd'!Q14</f>
        <v xml:space="preserve">Grass Silage (25% DM) </v>
      </c>
      <c r="R14" s="91" t="str">
        <f>'Bryn Cowlyd'!R14</f>
        <v xml:space="preserve">Grass Silage (25% DM) </v>
      </c>
      <c r="S14" s="91" t="str">
        <f>'Bryn Cowlyd'!S14</f>
        <v xml:space="preserve">Grass Silage (25% DM) </v>
      </c>
      <c r="T14" s="91" t="str">
        <f>'Bryn Cowlyd'!T14</f>
        <v xml:space="preserve">Grass Silage (25% DM) </v>
      </c>
      <c r="U14" s="91" t="str">
        <f>'Bryn Cowlyd'!U14</f>
        <v xml:space="preserve">Grass Silage (25% DM) </v>
      </c>
      <c r="V14" s="91" t="str">
        <f>'Bryn Cowlyd'!V14</f>
        <v xml:space="preserve">Grass Silage (25% DM) </v>
      </c>
      <c r="AD14" s="23" t="s">
        <v>138</v>
      </c>
      <c r="AE14" s="23">
        <v>6</v>
      </c>
      <c r="AI14" s="46" t="s">
        <v>119</v>
      </c>
      <c r="AJ14" s="47">
        <v>0.8</v>
      </c>
      <c r="AK14" s="48">
        <v>1.7</v>
      </c>
      <c r="AL14" s="9">
        <v>12</v>
      </c>
      <c r="AM14" s="9">
        <v>6.7</v>
      </c>
      <c r="AN14" s="9" t="s">
        <v>135</v>
      </c>
    </row>
    <row r="15" spans="1:41" ht="13" x14ac:dyDescent="0.25">
      <c r="A15" s="117" t="s">
        <v>9</v>
      </c>
      <c r="B15" s="117"/>
      <c r="C15" s="52">
        <f>'Bryn Cowlyd'!C15</f>
        <v>38</v>
      </c>
      <c r="D15" s="52">
        <f>'Bryn Cowlyd'!D15</f>
        <v>38</v>
      </c>
      <c r="E15" s="52">
        <f>'Bryn Cowlyd'!E15</f>
        <v>38</v>
      </c>
      <c r="F15" s="52">
        <f>'Bryn Cowlyd'!F15</f>
        <v>38</v>
      </c>
      <c r="G15" s="52">
        <f>'Bryn Cowlyd'!G15</f>
        <v>38</v>
      </c>
      <c r="H15" s="52">
        <f>'Bryn Cowlyd'!H15</f>
        <v>38</v>
      </c>
      <c r="I15" s="52">
        <f>'Bryn Cowlyd'!I15</f>
        <v>38</v>
      </c>
      <c r="J15" s="52">
        <f>'Bryn Cowlyd'!J15</f>
        <v>38</v>
      </c>
      <c r="K15" s="52">
        <f>'Bryn Cowlyd'!K15</f>
        <v>38</v>
      </c>
      <c r="L15" s="52">
        <f>'Bryn Cowlyd'!L15</f>
        <v>38</v>
      </c>
      <c r="M15" s="52">
        <f>'Bryn Cowlyd'!M15</f>
        <v>38</v>
      </c>
      <c r="N15" s="52">
        <f>'Bryn Cowlyd'!N15</f>
        <v>38</v>
      </c>
      <c r="O15" s="52">
        <f>'Bryn Cowlyd'!O15</f>
        <v>38</v>
      </c>
      <c r="P15" s="52">
        <f>'Bryn Cowlyd'!P15</f>
        <v>38</v>
      </c>
      <c r="Q15" s="52">
        <f>'Bryn Cowlyd'!Q15</f>
        <v>38</v>
      </c>
      <c r="R15" s="52">
        <f>'Bryn Cowlyd'!R15</f>
        <v>38</v>
      </c>
      <c r="S15" s="52">
        <f>'Bryn Cowlyd'!S15</f>
        <v>38</v>
      </c>
      <c r="T15" s="52">
        <f>'Bryn Cowlyd'!T15</f>
        <v>38</v>
      </c>
      <c r="U15" s="52">
        <f>'Bryn Cowlyd'!U15</f>
        <v>38</v>
      </c>
      <c r="V15" s="52">
        <f>'Bryn Cowlyd'!V15</f>
        <v>38</v>
      </c>
      <c r="AD15" s="23" t="s">
        <v>144</v>
      </c>
      <c r="AE15" s="23">
        <v>7</v>
      </c>
      <c r="AI15" s="46" t="s">
        <v>101</v>
      </c>
      <c r="AJ15" s="54">
        <v>1.8</v>
      </c>
      <c r="AK15" s="48">
        <v>5.4</v>
      </c>
      <c r="AL15" s="9">
        <v>13</v>
      </c>
      <c r="AM15" s="9">
        <v>6.7</v>
      </c>
      <c r="AN15" s="9" t="s">
        <v>135</v>
      </c>
    </row>
    <row r="16" spans="1:41" ht="13.5" thickBot="1" x14ac:dyDescent="0.3">
      <c r="A16" s="119" t="s">
        <v>44</v>
      </c>
      <c r="B16" s="119"/>
      <c r="C16" s="92" t="str">
        <f>'Bryn Cowlyd'!C16</f>
        <v>Medium/Clay</v>
      </c>
      <c r="D16" s="92" t="str">
        <f>'Bryn Cowlyd'!D16</f>
        <v>Medium/Clay</v>
      </c>
      <c r="E16" s="92" t="str">
        <f>'Bryn Cowlyd'!E16</f>
        <v>Medium/Clay</v>
      </c>
      <c r="F16" s="92" t="str">
        <f>'Bryn Cowlyd'!F16</f>
        <v>Medium/Clay</v>
      </c>
      <c r="G16" s="92" t="str">
        <f>'Bryn Cowlyd'!G16</f>
        <v>Medium/Clay</v>
      </c>
      <c r="H16" s="92" t="str">
        <f>'Bryn Cowlyd'!H16</f>
        <v>Medium/Clay</v>
      </c>
      <c r="I16" s="92" t="str">
        <f>'Bryn Cowlyd'!I16</f>
        <v>Medium/Clay</v>
      </c>
      <c r="J16" s="92" t="str">
        <f>'Bryn Cowlyd'!J16</f>
        <v>Medium/Clay</v>
      </c>
      <c r="K16" s="92" t="str">
        <f>'Bryn Cowlyd'!K16</f>
        <v>Medium/Clay</v>
      </c>
      <c r="L16" s="92" t="str">
        <f>'Bryn Cowlyd'!L16</f>
        <v>Medium/Clay</v>
      </c>
      <c r="M16" s="92" t="str">
        <f>'Bryn Cowlyd'!M16</f>
        <v>Medium/Clay</v>
      </c>
      <c r="N16" s="92" t="str">
        <f>'Bryn Cowlyd'!N16</f>
        <v>Medium/Clay</v>
      </c>
      <c r="O16" s="92" t="str">
        <f>'Bryn Cowlyd'!O16</f>
        <v>Medium/Clay</v>
      </c>
      <c r="P16" s="92" t="str">
        <f>'Bryn Cowlyd'!P16</f>
        <v>Medium/Clay</v>
      </c>
      <c r="Q16" s="92" t="str">
        <f>'Bryn Cowlyd'!Q16</f>
        <v>Medium/Clay</v>
      </c>
      <c r="R16" s="92" t="str">
        <f>'Bryn Cowlyd'!R16</f>
        <v>Medium/Clay</v>
      </c>
      <c r="S16" s="92" t="str">
        <f>'Bryn Cowlyd'!S16</f>
        <v>Medium/Clay</v>
      </c>
      <c r="T16" s="92" t="str">
        <f>'Bryn Cowlyd'!T16</f>
        <v>Medium/Clay</v>
      </c>
      <c r="U16" s="92" t="str">
        <f>'Bryn Cowlyd'!U16</f>
        <v>Medium/Clay</v>
      </c>
      <c r="V16" s="92" t="str">
        <f>'Bryn Cowlyd'!V16</f>
        <v>Medium/Clay</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64.599999999999994</v>
      </c>
      <c r="D17" s="21">
        <f t="shared" ref="D17:V17" si="0">(VLOOKUP(D$14,$AI2:$AK26,2,FALSE))*D$15</f>
        <v>64.599999999999994</v>
      </c>
      <c r="E17" s="21">
        <f t="shared" si="0"/>
        <v>64.599999999999994</v>
      </c>
      <c r="F17" s="21">
        <f t="shared" si="0"/>
        <v>64.599999999999994</v>
      </c>
      <c r="G17" s="21">
        <f t="shared" si="0"/>
        <v>64.599999999999994</v>
      </c>
      <c r="H17" s="21">
        <f t="shared" si="0"/>
        <v>64.599999999999994</v>
      </c>
      <c r="I17" s="21">
        <f t="shared" si="0"/>
        <v>64.599999999999994</v>
      </c>
      <c r="J17" s="21">
        <f t="shared" si="0"/>
        <v>64.599999999999994</v>
      </c>
      <c r="K17" s="21">
        <f t="shared" si="0"/>
        <v>64.599999999999994</v>
      </c>
      <c r="L17" s="21">
        <f t="shared" si="0"/>
        <v>64.599999999999994</v>
      </c>
      <c r="M17" s="21">
        <f t="shared" si="0"/>
        <v>64.599999999999994</v>
      </c>
      <c r="N17" s="21">
        <f t="shared" si="0"/>
        <v>64.599999999999994</v>
      </c>
      <c r="O17" s="21">
        <f t="shared" si="0"/>
        <v>64.599999999999994</v>
      </c>
      <c r="P17" s="21">
        <f t="shared" si="0"/>
        <v>64.599999999999994</v>
      </c>
      <c r="Q17" s="21">
        <f t="shared" si="0"/>
        <v>64.599999999999994</v>
      </c>
      <c r="R17" s="21">
        <f t="shared" si="0"/>
        <v>64.599999999999994</v>
      </c>
      <c r="S17" s="21">
        <f t="shared" si="0"/>
        <v>64.599999999999994</v>
      </c>
      <c r="T17" s="21">
        <f t="shared" si="0"/>
        <v>64.599999999999994</v>
      </c>
      <c r="U17" s="21">
        <f t="shared" si="0"/>
        <v>64.599999999999994</v>
      </c>
      <c r="V17" s="21">
        <f t="shared" si="0"/>
        <v>64.599999999999994</v>
      </c>
      <c r="AD17" s="45" t="s">
        <v>146</v>
      </c>
      <c r="AE17" s="23">
        <v>10</v>
      </c>
      <c r="AI17" s="41" t="s">
        <v>115</v>
      </c>
      <c r="AJ17" s="42">
        <v>1.4</v>
      </c>
      <c r="AK17" s="43">
        <v>4.8</v>
      </c>
      <c r="AL17" s="44">
        <v>15</v>
      </c>
      <c r="AM17" s="9">
        <v>6.2</v>
      </c>
      <c r="AN17" s="9" t="s">
        <v>112</v>
      </c>
    </row>
    <row r="18" spans="1:40" ht="13" x14ac:dyDescent="0.25">
      <c r="A18" s="111" t="s">
        <v>23</v>
      </c>
      <c r="B18" s="112"/>
      <c r="C18" s="13">
        <f>$D31</f>
        <v>54.124874999999996</v>
      </c>
      <c r="D18" s="13">
        <f>$D32</f>
        <v>54.124874999999996</v>
      </c>
      <c r="E18" s="13">
        <f>$D33</f>
        <v>54.124874999999996</v>
      </c>
      <c r="F18" s="13">
        <f>$D34</f>
        <v>54.124874999999996</v>
      </c>
      <c r="G18" s="13">
        <f>$D35</f>
        <v>54.124874999999996</v>
      </c>
      <c r="H18" s="13">
        <f>$D36</f>
        <v>54.124874999999996</v>
      </c>
      <c r="I18" s="13">
        <f>$D37</f>
        <v>54.124874999999996</v>
      </c>
      <c r="J18" s="13">
        <f>$D38</f>
        <v>54.124874999999996</v>
      </c>
      <c r="K18" s="13">
        <f>$D39</f>
        <v>54.124874999999996</v>
      </c>
      <c r="L18" s="13">
        <f>$D40</f>
        <v>54.124874999999996</v>
      </c>
      <c r="M18" s="13">
        <f>$D41</f>
        <v>54.124874999999996</v>
      </c>
      <c r="N18" s="13">
        <f>$D42</f>
        <v>54.124874999999996</v>
      </c>
      <c r="O18" s="13">
        <f>$D43</f>
        <v>36.804915000000001</v>
      </c>
      <c r="P18" s="13">
        <f>$D44</f>
        <v>36.804915000000001</v>
      </c>
      <c r="Q18" s="13">
        <f>$D45</f>
        <v>54.124874999999996</v>
      </c>
      <c r="R18" s="13">
        <f>$D46</f>
        <v>54.124874999999996</v>
      </c>
      <c r="S18" s="13">
        <f>$D47</f>
        <v>54.124874999999996</v>
      </c>
      <c r="T18" s="13">
        <f>$D48</f>
        <v>54.124874999999996</v>
      </c>
      <c r="U18" s="13">
        <f>$D49</f>
        <v>54.124874999999996</v>
      </c>
      <c r="V18" s="18">
        <f>$D50</f>
        <v>54.124874999999996</v>
      </c>
      <c r="AD18" s="45" t="s">
        <v>147</v>
      </c>
      <c r="AE18" s="23">
        <v>16</v>
      </c>
      <c r="AI18" s="41" t="s">
        <v>106</v>
      </c>
      <c r="AJ18" s="42">
        <v>5.9</v>
      </c>
      <c r="AK18" s="43">
        <v>18</v>
      </c>
      <c r="AL18" s="44">
        <v>16</v>
      </c>
      <c r="AM18" s="9">
        <v>6.2</v>
      </c>
      <c r="AN18" s="9" t="s">
        <v>112</v>
      </c>
    </row>
    <row r="19" spans="1:40" ht="13" x14ac:dyDescent="0.25">
      <c r="A19" s="111" t="s">
        <v>90</v>
      </c>
      <c r="B19" s="112"/>
      <c r="C19" s="13">
        <f>C18-C17</f>
        <v>-10.475124999999998</v>
      </c>
      <c r="D19" s="13">
        <f t="shared" ref="D19:V19" si="1">D18-D17</f>
        <v>-10.475124999999998</v>
      </c>
      <c r="E19" s="13">
        <f t="shared" si="1"/>
        <v>-10.475124999999998</v>
      </c>
      <c r="F19" s="13">
        <f t="shared" si="1"/>
        <v>-10.475124999999998</v>
      </c>
      <c r="G19" s="13">
        <f t="shared" si="1"/>
        <v>-10.475124999999998</v>
      </c>
      <c r="H19" s="13">
        <f t="shared" si="1"/>
        <v>-10.475124999999998</v>
      </c>
      <c r="I19" s="13">
        <f t="shared" si="1"/>
        <v>-10.475124999999998</v>
      </c>
      <c r="J19" s="13">
        <f t="shared" si="1"/>
        <v>-10.475124999999998</v>
      </c>
      <c r="K19" s="13">
        <f t="shared" si="1"/>
        <v>-10.475124999999998</v>
      </c>
      <c r="L19" s="13">
        <f t="shared" si="1"/>
        <v>-10.475124999999998</v>
      </c>
      <c r="M19" s="13">
        <f t="shared" si="1"/>
        <v>-10.475124999999998</v>
      </c>
      <c r="N19" s="13">
        <f t="shared" si="1"/>
        <v>-10.475124999999998</v>
      </c>
      <c r="O19" s="13">
        <f t="shared" si="1"/>
        <v>-27.795084999999993</v>
      </c>
      <c r="P19" s="13">
        <f t="shared" si="1"/>
        <v>-27.795084999999993</v>
      </c>
      <c r="Q19" s="13">
        <f t="shared" si="1"/>
        <v>-10.475124999999998</v>
      </c>
      <c r="R19" s="13">
        <f t="shared" si="1"/>
        <v>-10.475124999999998</v>
      </c>
      <c r="S19" s="13">
        <f t="shared" si="1"/>
        <v>-10.475124999999998</v>
      </c>
      <c r="T19" s="13">
        <f t="shared" si="1"/>
        <v>-10.475124999999998</v>
      </c>
      <c r="U19" s="13">
        <f t="shared" si="1"/>
        <v>-10.475124999999998</v>
      </c>
      <c r="V19" s="18">
        <f t="shared" si="1"/>
        <v>-10.475124999999998</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DECREASE</v>
      </c>
      <c r="V20" s="20" t="str">
        <f>IF($B50="","",IF(V$19&gt;=0,"INCREASE","DECREASE"))</f>
        <v>DECREASE</v>
      </c>
      <c r="AI20" s="41" t="s">
        <v>114</v>
      </c>
      <c r="AJ20" s="42">
        <v>2.1</v>
      </c>
      <c r="AK20" s="43">
        <v>7.2</v>
      </c>
      <c r="AL20" s="44">
        <v>18</v>
      </c>
      <c r="AM20" s="9">
        <v>6.2</v>
      </c>
      <c r="AN20" s="9" t="s">
        <v>112</v>
      </c>
    </row>
    <row r="21" spans="1:40" ht="13" x14ac:dyDescent="0.25">
      <c r="A21" s="109" t="s">
        <v>88</v>
      </c>
      <c r="B21" s="110"/>
      <c r="C21" s="21">
        <f>(VLOOKUP(C$14,$AI2:$AK26,3,FALSE))*C$15</f>
        <v>228</v>
      </c>
      <c r="D21" s="21">
        <f t="shared" ref="D21:V21" si="2">(VLOOKUP(D$14,$AI2:$AK26,3,FALSE))*D$15</f>
        <v>228</v>
      </c>
      <c r="E21" s="21">
        <f t="shared" si="2"/>
        <v>228</v>
      </c>
      <c r="F21" s="21">
        <f t="shared" si="2"/>
        <v>228</v>
      </c>
      <c r="G21" s="21">
        <f t="shared" si="2"/>
        <v>228</v>
      </c>
      <c r="H21" s="21">
        <f t="shared" si="2"/>
        <v>228</v>
      </c>
      <c r="I21" s="21">
        <f t="shared" si="2"/>
        <v>228</v>
      </c>
      <c r="J21" s="21">
        <f t="shared" si="2"/>
        <v>228</v>
      </c>
      <c r="K21" s="21">
        <f t="shared" si="2"/>
        <v>228</v>
      </c>
      <c r="L21" s="21">
        <f t="shared" si="2"/>
        <v>228</v>
      </c>
      <c r="M21" s="21">
        <f t="shared" si="2"/>
        <v>228</v>
      </c>
      <c r="N21" s="21">
        <f t="shared" si="2"/>
        <v>228</v>
      </c>
      <c r="O21" s="21">
        <f t="shared" si="2"/>
        <v>228</v>
      </c>
      <c r="P21" s="21">
        <f t="shared" si="2"/>
        <v>228</v>
      </c>
      <c r="Q21" s="21">
        <f t="shared" si="2"/>
        <v>228</v>
      </c>
      <c r="R21" s="21">
        <f t="shared" si="2"/>
        <v>228</v>
      </c>
      <c r="S21" s="21">
        <f t="shared" si="2"/>
        <v>228</v>
      </c>
      <c r="T21" s="21">
        <f t="shared" si="2"/>
        <v>228</v>
      </c>
      <c r="U21" s="21">
        <f t="shared" si="2"/>
        <v>228</v>
      </c>
      <c r="V21" s="21">
        <f t="shared" si="2"/>
        <v>228</v>
      </c>
      <c r="AI21" s="55" t="s">
        <v>100</v>
      </c>
      <c r="AJ21" s="58">
        <v>11</v>
      </c>
      <c r="AK21" s="57">
        <v>12</v>
      </c>
      <c r="AL21" s="22">
        <v>19</v>
      </c>
      <c r="AM21" s="9">
        <v>6.7</v>
      </c>
      <c r="AN21" s="9" t="s">
        <v>135</v>
      </c>
    </row>
    <row r="22" spans="1:40" ht="13" x14ac:dyDescent="0.25">
      <c r="A22" s="111" t="s">
        <v>89</v>
      </c>
      <c r="B22" s="112"/>
      <c r="C22" s="13">
        <f>$E31</f>
        <v>2.8648874999999998E-4</v>
      </c>
      <c r="D22" s="13">
        <f>$E32</f>
        <v>2.8648874999999998E-4</v>
      </c>
      <c r="E22" s="13">
        <f>$E33</f>
        <v>2.8648874999999998E-4</v>
      </c>
      <c r="F22" s="13">
        <f>$E34</f>
        <v>2.8648874999999998E-4</v>
      </c>
      <c r="G22" s="13">
        <f>$E35</f>
        <v>2.8648874999999998E-4</v>
      </c>
      <c r="H22" s="13">
        <f>$E36</f>
        <v>2.8648874999999998E-4</v>
      </c>
      <c r="I22" s="13">
        <f>$E37</f>
        <v>2.8648874999999998E-4</v>
      </c>
      <c r="J22" s="13">
        <f>$E38</f>
        <v>2.8648874999999998E-4</v>
      </c>
      <c r="K22" s="13">
        <f>$E39</f>
        <v>2.8648874999999998E-4</v>
      </c>
      <c r="L22" s="13">
        <f>$E40</f>
        <v>2.8648874999999998E-4</v>
      </c>
      <c r="M22" s="13">
        <f>$E41</f>
        <v>2.8648874999999998E-4</v>
      </c>
      <c r="N22" s="13">
        <f>$E42</f>
        <v>2.8648874999999998E-4</v>
      </c>
      <c r="O22" s="13">
        <f>$E43</f>
        <v>1.9481235E-4</v>
      </c>
      <c r="P22" s="13">
        <f>$E44</f>
        <v>1.9481235E-4</v>
      </c>
      <c r="Q22" s="13">
        <f>$E45</f>
        <v>2.8648874999999998E-4</v>
      </c>
      <c r="R22" s="13">
        <f>$E46</f>
        <v>2.8648874999999998E-4</v>
      </c>
      <c r="S22" s="13">
        <f>$E47</f>
        <v>2.8648874999999998E-4</v>
      </c>
      <c r="T22" s="13">
        <f>$E48</f>
        <v>2.8648874999999998E-4</v>
      </c>
      <c r="U22" s="13">
        <f>$E49</f>
        <v>2.8648874999999998E-4</v>
      </c>
      <c r="V22" s="13">
        <f>$E50</f>
        <v>2.8648874999999998E-4</v>
      </c>
      <c r="AI22" s="55" t="s">
        <v>102</v>
      </c>
      <c r="AJ22" s="56">
        <v>1.2</v>
      </c>
      <c r="AK22" s="57">
        <v>5</v>
      </c>
      <c r="AL22" s="22">
        <v>20</v>
      </c>
      <c r="AM22" s="9">
        <v>6.7</v>
      </c>
      <c r="AN22" s="9" t="s">
        <v>135</v>
      </c>
    </row>
    <row r="23" spans="1:40" ht="13" x14ac:dyDescent="0.25">
      <c r="A23" s="111" t="s">
        <v>92</v>
      </c>
      <c r="B23" s="112"/>
      <c r="C23" s="13">
        <f>C22-C21</f>
        <v>-227.99971351125001</v>
      </c>
      <c r="D23" s="13">
        <f t="shared" ref="D23:V23" si="3">D22-D21</f>
        <v>-227.99971351125001</v>
      </c>
      <c r="E23" s="13">
        <f t="shared" si="3"/>
        <v>-227.99971351125001</v>
      </c>
      <c r="F23" s="13">
        <f t="shared" si="3"/>
        <v>-227.99971351125001</v>
      </c>
      <c r="G23" s="13">
        <f t="shared" si="3"/>
        <v>-227.99971351125001</v>
      </c>
      <c r="H23" s="13">
        <f t="shared" si="3"/>
        <v>-227.99971351125001</v>
      </c>
      <c r="I23" s="13">
        <f t="shared" si="3"/>
        <v>-227.99971351125001</v>
      </c>
      <c r="J23" s="13">
        <f t="shared" si="3"/>
        <v>-227.99971351125001</v>
      </c>
      <c r="K23" s="13">
        <f t="shared" si="3"/>
        <v>-227.99971351125001</v>
      </c>
      <c r="L23" s="13">
        <f t="shared" si="3"/>
        <v>-227.99971351125001</v>
      </c>
      <c r="M23" s="13">
        <f t="shared" si="3"/>
        <v>-227.99971351125001</v>
      </c>
      <c r="N23" s="13">
        <f t="shared" si="3"/>
        <v>-227.99971351125001</v>
      </c>
      <c r="O23" s="13">
        <f t="shared" si="3"/>
        <v>-227.99980518765</v>
      </c>
      <c r="P23" s="13">
        <f t="shared" si="3"/>
        <v>-227.99980518765</v>
      </c>
      <c r="Q23" s="13">
        <f t="shared" si="3"/>
        <v>-227.99971351125001</v>
      </c>
      <c r="R23" s="13">
        <f t="shared" si="3"/>
        <v>-227.99971351125001</v>
      </c>
      <c r="S23" s="13">
        <f t="shared" si="3"/>
        <v>-227.99971351125001</v>
      </c>
      <c r="T23" s="13">
        <f t="shared" si="3"/>
        <v>-227.99971351125001</v>
      </c>
      <c r="U23" s="13">
        <f t="shared" si="3"/>
        <v>-227.99971351125001</v>
      </c>
      <c r="V23" s="13">
        <f t="shared" si="3"/>
        <v>-227.99971351125001</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str">
        <f t="shared" si="4"/>
        <v>DECREASE</v>
      </c>
      <c r="V24" s="19" t="str">
        <f t="shared" si="4"/>
        <v>DECREASE</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3</v>
      </c>
      <c r="C28" s="12">
        <v>1.1299999999999999</v>
      </c>
      <c r="D28" s="12">
        <v>0.315</v>
      </c>
      <c r="E28" s="12">
        <v>3.1699999999999999E-2</v>
      </c>
      <c r="F28" s="12">
        <v>712</v>
      </c>
      <c r="G28" s="12">
        <v>71.2</v>
      </c>
      <c r="H28" s="12">
        <v>120</v>
      </c>
      <c r="I28" s="12">
        <v>6.2</v>
      </c>
      <c r="J28" s="12">
        <v>0.48</v>
      </c>
      <c r="K28" s="16">
        <v>1.21</v>
      </c>
      <c r="L28" s="12">
        <v>5.0999999999999996</v>
      </c>
      <c r="M28" s="12">
        <v>5.16</v>
      </c>
      <c r="N28" s="12">
        <v>158000</v>
      </c>
      <c r="O28" s="12">
        <v>5910</v>
      </c>
      <c r="P28" s="12"/>
      <c r="Q28" s="12">
        <v>5240</v>
      </c>
      <c r="R28" s="12"/>
      <c r="S28" s="12">
        <v>17.5</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250</v>
      </c>
      <c r="C31" s="68">
        <f>IF(C$27="%w/w SAR",((C$28*10)*$B31),IF(C$27="%w/w DM",(((C$28*10)*($B$28/100))*$B31),IF(C$27="kg/t SAR",(C$28*$B31),IF(C$27="kg/t DM",((C$28*($B$28/100))*$B31),IF(C$27="mg/kg SAR",((C$28*0.001)*$B31),IF(C$27="mg/kg DM",(((C$28*0.001)*($B$28/100))*$B31),0))))))</f>
        <v>84.749999999999986</v>
      </c>
      <c r="D31" s="68">
        <f>(IF(D$27="%w/w SAR",((D$28*10)*$B31),IF(D$27="%w/w DM",(((D$28*10)*($B$28/100))*$B31),IF(D$27="kg/t SAR",(D$28*$B31),IF(D$27="kg/t DM",((D$28*($B$28/100))*$B31),IF(D$27="mg/kg SAR",((D$28*0.001)*$B31),IF(D$27="mg/kg DM",(((D$28*0.001)*($B$28/100))*$B31),"0")))))))*2.291</f>
        <v>54.124874999999996</v>
      </c>
      <c r="E31" s="68">
        <f>(IF(E$27="%w/w SAR",((E$28*10)*$B31),IF(E$27="%w/w DM",(((E$28*10)*($B$28/100))*$B31),IF(E$27="kg/t SAR",(E$28*$B31),IF(E$27="kg/t DM",((E$28*($B$28/100))*$B31),IF(E$27="mg/kg SAR",((E$28*0.001)*$B31),IF(E$27="mg/kg DM",(((E$28*0.001)*($B$28/100))*$B31),"0")))))))*1.205</f>
        <v>2.8648874999999998E-4</v>
      </c>
      <c r="F31" s="68">
        <f>(IF(F$27="%w/w SAR",((F$28*10)*$B31),IF(F$27="%w/w DM",(((F$28*10)*($B$28/100))*$B31),IF(F$27="kg/t SAR",(F$28*$B31),IF(F$27="kg/t DM",((F$28*($B$28/100))*$B31),IF(F$27="mg/kg SAR",((F$28*0.001)*$B31),IF(F$27="mg/kg DM",(((F$28*0.001)*($B$28/100))*$B31),"0")))))))*1.658</f>
        <v>8.8537199999999974</v>
      </c>
      <c r="G31" s="68">
        <f t="shared" ref="G31:P46" si="5">IF(G$27="%w/w SAR",((G$28*10)*$B31),IF(G$27="%w/w DM",(((G$28*10)*($B$28/100))*$B31),IF(G$27="kg/t SAR",(G$28*$B31),IF(G$27="kg/t DM",((G$28*($B$28/100))*$B31),IF(G$27="mg/kg SAR",((G$28*0.001)*$B31),IF(G$27="mg/kg DM",(((G$28*0.001)*($B$28/100))*$B31),0))))))</f>
        <v>0.53399999999999992</v>
      </c>
      <c r="H31" s="68">
        <f t="shared" si="5"/>
        <v>0.9</v>
      </c>
      <c r="I31" s="68">
        <f t="shared" si="5"/>
        <v>4.6500000000000007E-2</v>
      </c>
      <c r="J31" s="68">
        <f t="shared" si="5"/>
        <v>3.5999999999999999E-3</v>
      </c>
      <c r="K31" s="68">
        <f t="shared" si="5"/>
        <v>9.074999999999998E-3</v>
      </c>
      <c r="L31" s="68">
        <f t="shared" si="5"/>
        <v>3.8249999999999992E-2</v>
      </c>
      <c r="M31" s="68">
        <f t="shared" si="5"/>
        <v>3.8700000000000005E-2</v>
      </c>
      <c r="N31" s="68">
        <f t="shared" si="5"/>
        <v>1185</v>
      </c>
      <c r="O31" s="68">
        <f t="shared" si="5"/>
        <v>44.324999999999996</v>
      </c>
      <c r="P31" s="68">
        <f t="shared" si="5"/>
        <v>0</v>
      </c>
      <c r="Q31" s="68">
        <f>(IF(Q$27="%w/w SAR",((Q$28*10)*$B31),IF(Q$27="%w/w DM",(((Q$28*10)*($B$28/100))*$B31),IF(Q$27="kg/t SAR",(Q$28*$B31),IF(Q$27="kg/t DM",((Q$28*($B$28/100))*$B31),IF(Q$27="mg/kg SAR",((Q$28*0.001)*$B31),IF(Q$27="mg/kg DM",(((Q$28*0.001)*($B$28/100))*$B31),0)))))))*2.5</f>
        <v>98.250000000000014</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0.13125000000000001</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250</v>
      </c>
      <c r="C32" s="68">
        <f t="shared" ref="C32:C50" si="6">IF(C$27="%w/w SAR",((C$28*10)*$B32),IF(C$27="%w/w DM",(((C$28*10)*($B$28/100))*$B32),IF(C$27="kg/t SAR",(C$28*$B32),IF(C$27="kg/t DM",((C$28*($B$28/100))*$B32),IF(C$27="mg/kg SAR",((C$28*0.001)*$B32),IF(C$27="mg/kg DM",(((C$28*0.001)*($B$28/100))*$B32),0))))))</f>
        <v>84.749999999999986</v>
      </c>
      <c r="D32" s="68">
        <f t="shared" ref="D32:D50" si="7">(IF(D$27="%w/w SAR",((D$28*10)*$B32),IF(D$27="%w/w DM",(((D$28*10)*($B$28/100))*$B32),IF(D$27="kg/t SAR",(D$28*$B32),IF(D$27="kg/t DM",((D$28*($B$28/100))*$B32),IF(D$27="mg/kg SAR",((D$28*0.001)*$B32),IF(D$27="mg/kg DM",(((D$28*0.001)*($B$28/100))*$B32),"0")))))))*2.291</f>
        <v>54.124874999999996</v>
      </c>
      <c r="E32" s="68">
        <f t="shared" ref="E32:E50" si="8">(IF(E$27="%w/w SAR",((E$28*10)*$B32),IF(E$27="%w/w DM",(((E$28*10)*($B$28/100))*$B32),IF(E$27="kg/t SAR",(E$28*$B32),IF(E$27="kg/t DM",((E$28*($B$28/100))*$B32),IF(E$27="mg/kg SAR",((E$28*0.001)*$B32),IF(E$27="mg/kg DM",(((E$28*0.001)*($B$28/100))*$B32),"0")))))))*1.205</f>
        <v>2.8648874999999998E-4</v>
      </c>
      <c r="F32" s="68">
        <f t="shared" ref="F32:F50" si="9">(IF(F$27="%w/w SAR",((F$28*10)*$B32),IF(F$27="%w/w DM",(((F$28*10)*($B$28/100))*$B32),IF(F$27="kg/t SAR",(F$28*$B32),IF(F$27="kg/t DM",((F$28*($B$28/100))*$B32),IF(F$27="mg/kg SAR",((F$28*0.001)*$B32),IF(F$27="mg/kg DM",(((F$28*0.001)*($B$28/100))*$B32),"0")))))))*1.658</f>
        <v>8.8537199999999974</v>
      </c>
      <c r="G32" s="68">
        <f t="shared" si="5"/>
        <v>0.53399999999999992</v>
      </c>
      <c r="H32" s="68">
        <f t="shared" si="5"/>
        <v>0.9</v>
      </c>
      <c r="I32" s="68">
        <f t="shared" si="5"/>
        <v>4.6500000000000007E-2</v>
      </c>
      <c r="J32" s="68">
        <f t="shared" si="5"/>
        <v>3.5999999999999999E-3</v>
      </c>
      <c r="K32" s="68">
        <f t="shared" si="5"/>
        <v>9.074999999999998E-3</v>
      </c>
      <c r="L32" s="68">
        <f t="shared" si="5"/>
        <v>3.8249999999999992E-2</v>
      </c>
      <c r="M32" s="68">
        <f t="shared" si="5"/>
        <v>3.8700000000000005E-2</v>
      </c>
      <c r="N32" s="68">
        <f t="shared" si="5"/>
        <v>1185</v>
      </c>
      <c r="O32" s="68">
        <f t="shared" si="5"/>
        <v>44.324999999999996</v>
      </c>
      <c r="P32" s="68">
        <f t="shared" si="5"/>
        <v>0</v>
      </c>
      <c r="Q32" s="68">
        <f t="shared" ref="Q32:Q50" si="10">(IF(Q$27="%w/w SAR",((Q$28*10)*$B32),IF(Q$27="%w/w DM",(((Q$28*10)*($B$28/100))*$B32),IF(Q$27="kg/t SAR",(Q$28*$B32),IF(Q$27="kg/t DM",((Q$28*($B$28/100))*$B32),IF(Q$27="mg/kg SAR",((Q$28*0.001)*$B32),IF(Q$27="mg/kg DM",(((Q$28*0.001)*($B$28/100))*$B32),0)))))))*2.5</f>
        <v>98.250000000000014</v>
      </c>
      <c r="R32" s="68">
        <f t="shared" ref="R32:U50" si="11">IF(R$27="%w/w SAR",((R$28*10)*$B32),IF(R$27="%w/w DM",(((R$28*10)*($B$28/100))*$B32),IF(R$27="kg/t SAR",(R$28*$B32),IF(R$27="kg/t DM",((R$28*($B$28/100))*$B32),IF(R$27="mg/kg SAR",((R$28*0.001)*$B32),IF(R$27="mg/kg DM",(((R$28*0.001)*($B$28/100))*$B32),0))))))</f>
        <v>0</v>
      </c>
      <c r="S32" s="68">
        <f t="shared" si="11"/>
        <v>0.13125000000000001</v>
      </c>
      <c r="T32" s="68">
        <f t="shared" si="11"/>
        <v>0</v>
      </c>
      <c r="U32" s="68">
        <f t="shared" si="11"/>
        <v>0</v>
      </c>
    </row>
    <row r="33" spans="1:21" s="51" customFormat="1" ht="13" x14ac:dyDescent="0.35">
      <c r="A33" s="10">
        <f>E8</f>
        <v>3</v>
      </c>
      <c r="B33" s="12">
        <v>250</v>
      </c>
      <c r="C33" s="68">
        <f t="shared" si="6"/>
        <v>84.749999999999986</v>
      </c>
      <c r="D33" s="68">
        <f t="shared" si="7"/>
        <v>54.124874999999996</v>
      </c>
      <c r="E33" s="68">
        <f t="shared" si="8"/>
        <v>2.8648874999999998E-4</v>
      </c>
      <c r="F33" s="68">
        <f t="shared" si="9"/>
        <v>8.8537199999999974</v>
      </c>
      <c r="G33" s="68">
        <f t="shared" si="5"/>
        <v>0.53399999999999992</v>
      </c>
      <c r="H33" s="68">
        <f t="shared" si="5"/>
        <v>0.9</v>
      </c>
      <c r="I33" s="68">
        <f t="shared" si="5"/>
        <v>4.6500000000000007E-2</v>
      </c>
      <c r="J33" s="68">
        <f t="shared" si="5"/>
        <v>3.5999999999999999E-3</v>
      </c>
      <c r="K33" s="68">
        <f t="shared" si="5"/>
        <v>9.074999999999998E-3</v>
      </c>
      <c r="L33" s="68">
        <f t="shared" si="5"/>
        <v>3.8249999999999992E-2</v>
      </c>
      <c r="M33" s="68">
        <f t="shared" si="5"/>
        <v>3.8700000000000005E-2</v>
      </c>
      <c r="N33" s="68">
        <f t="shared" si="5"/>
        <v>1185</v>
      </c>
      <c r="O33" s="68">
        <f t="shared" si="5"/>
        <v>44.324999999999996</v>
      </c>
      <c r="P33" s="68">
        <f t="shared" si="5"/>
        <v>0</v>
      </c>
      <c r="Q33" s="68">
        <f t="shared" si="10"/>
        <v>98.250000000000014</v>
      </c>
      <c r="R33" s="68">
        <f t="shared" si="11"/>
        <v>0</v>
      </c>
      <c r="S33" s="68">
        <f t="shared" si="11"/>
        <v>0.13125000000000001</v>
      </c>
      <c r="T33" s="68">
        <f t="shared" si="11"/>
        <v>0</v>
      </c>
      <c r="U33" s="68">
        <f t="shared" si="11"/>
        <v>0</v>
      </c>
    </row>
    <row r="34" spans="1:21" s="51" customFormat="1" ht="13" x14ac:dyDescent="0.35">
      <c r="A34" s="10">
        <f>F8</f>
        <v>4</v>
      </c>
      <c r="B34" s="12">
        <v>250</v>
      </c>
      <c r="C34" s="68">
        <f t="shared" si="6"/>
        <v>84.749999999999986</v>
      </c>
      <c r="D34" s="68">
        <f t="shared" si="7"/>
        <v>54.124874999999996</v>
      </c>
      <c r="E34" s="68">
        <f t="shared" si="8"/>
        <v>2.8648874999999998E-4</v>
      </c>
      <c r="F34" s="68">
        <f t="shared" si="9"/>
        <v>8.8537199999999974</v>
      </c>
      <c r="G34" s="68">
        <f t="shared" si="5"/>
        <v>0.53399999999999992</v>
      </c>
      <c r="H34" s="68">
        <f t="shared" si="5"/>
        <v>0.9</v>
      </c>
      <c r="I34" s="68">
        <f t="shared" si="5"/>
        <v>4.6500000000000007E-2</v>
      </c>
      <c r="J34" s="68">
        <f t="shared" si="5"/>
        <v>3.5999999999999999E-3</v>
      </c>
      <c r="K34" s="68">
        <f t="shared" si="5"/>
        <v>9.074999999999998E-3</v>
      </c>
      <c r="L34" s="68">
        <f t="shared" si="5"/>
        <v>3.8249999999999992E-2</v>
      </c>
      <c r="M34" s="68">
        <f t="shared" si="5"/>
        <v>3.8700000000000005E-2</v>
      </c>
      <c r="N34" s="68">
        <f t="shared" si="5"/>
        <v>1185</v>
      </c>
      <c r="O34" s="68">
        <f t="shared" si="5"/>
        <v>44.324999999999996</v>
      </c>
      <c r="P34" s="68">
        <f t="shared" si="5"/>
        <v>0</v>
      </c>
      <c r="Q34" s="68">
        <f t="shared" si="10"/>
        <v>98.250000000000014</v>
      </c>
      <c r="R34" s="68">
        <f t="shared" si="11"/>
        <v>0</v>
      </c>
      <c r="S34" s="68">
        <f t="shared" si="11"/>
        <v>0.13125000000000001</v>
      </c>
      <c r="T34" s="68">
        <f t="shared" si="11"/>
        <v>0</v>
      </c>
      <c r="U34" s="68">
        <f t="shared" si="11"/>
        <v>0</v>
      </c>
    </row>
    <row r="35" spans="1:21" s="51" customFormat="1" ht="13" x14ac:dyDescent="0.35">
      <c r="A35" s="10">
        <f>G8</f>
        <v>5</v>
      </c>
      <c r="B35" s="12">
        <v>250</v>
      </c>
      <c r="C35" s="68">
        <f t="shared" si="6"/>
        <v>84.749999999999986</v>
      </c>
      <c r="D35" s="68">
        <f t="shared" si="7"/>
        <v>54.124874999999996</v>
      </c>
      <c r="E35" s="68">
        <f t="shared" si="8"/>
        <v>2.8648874999999998E-4</v>
      </c>
      <c r="F35" s="68">
        <f t="shared" si="9"/>
        <v>8.8537199999999974</v>
      </c>
      <c r="G35" s="68">
        <f t="shared" si="5"/>
        <v>0.53399999999999992</v>
      </c>
      <c r="H35" s="68">
        <f t="shared" si="5"/>
        <v>0.9</v>
      </c>
      <c r="I35" s="68">
        <f t="shared" si="5"/>
        <v>4.6500000000000007E-2</v>
      </c>
      <c r="J35" s="68">
        <f t="shared" si="5"/>
        <v>3.5999999999999999E-3</v>
      </c>
      <c r="K35" s="68">
        <f t="shared" si="5"/>
        <v>9.074999999999998E-3</v>
      </c>
      <c r="L35" s="68">
        <f t="shared" si="5"/>
        <v>3.8249999999999992E-2</v>
      </c>
      <c r="M35" s="68">
        <f t="shared" si="5"/>
        <v>3.8700000000000005E-2</v>
      </c>
      <c r="N35" s="68">
        <f t="shared" si="5"/>
        <v>1185</v>
      </c>
      <c r="O35" s="68">
        <f t="shared" si="5"/>
        <v>44.324999999999996</v>
      </c>
      <c r="P35" s="68">
        <f t="shared" si="5"/>
        <v>0</v>
      </c>
      <c r="Q35" s="68">
        <f t="shared" si="10"/>
        <v>98.250000000000014</v>
      </c>
      <c r="R35" s="68">
        <f t="shared" si="11"/>
        <v>0</v>
      </c>
      <c r="S35" s="68">
        <f t="shared" si="11"/>
        <v>0.13125000000000001</v>
      </c>
      <c r="T35" s="68">
        <f t="shared" si="11"/>
        <v>0</v>
      </c>
      <c r="U35" s="68">
        <f t="shared" si="11"/>
        <v>0</v>
      </c>
    </row>
    <row r="36" spans="1:21" s="51" customFormat="1" ht="13" x14ac:dyDescent="0.35">
      <c r="A36" s="10">
        <f>H8</f>
        <v>6</v>
      </c>
      <c r="B36" s="12">
        <v>250</v>
      </c>
      <c r="C36" s="68">
        <f t="shared" si="6"/>
        <v>84.749999999999986</v>
      </c>
      <c r="D36" s="68">
        <f t="shared" si="7"/>
        <v>54.124874999999996</v>
      </c>
      <c r="E36" s="68">
        <f t="shared" si="8"/>
        <v>2.8648874999999998E-4</v>
      </c>
      <c r="F36" s="68">
        <f t="shared" si="9"/>
        <v>8.8537199999999974</v>
      </c>
      <c r="G36" s="68">
        <f t="shared" si="5"/>
        <v>0.53399999999999992</v>
      </c>
      <c r="H36" s="68">
        <f t="shared" si="5"/>
        <v>0.9</v>
      </c>
      <c r="I36" s="68">
        <f t="shared" si="5"/>
        <v>4.6500000000000007E-2</v>
      </c>
      <c r="J36" s="68">
        <f t="shared" si="5"/>
        <v>3.5999999999999999E-3</v>
      </c>
      <c r="K36" s="68">
        <f t="shared" si="5"/>
        <v>9.074999999999998E-3</v>
      </c>
      <c r="L36" s="68">
        <f t="shared" si="5"/>
        <v>3.8249999999999992E-2</v>
      </c>
      <c r="M36" s="68">
        <f t="shared" si="5"/>
        <v>3.8700000000000005E-2</v>
      </c>
      <c r="N36" s="68">
        <f t="shared" si="5"/>
        <v>1185</v>
      </c>
      <c r="O36" s="68">
        <f t="shared" si="5"/>
        <v>44.324999999999996</v>
      </c>
      <c r="P36" s="68">
        <f t="shared" si="5"/>
        <v>0</v>
      </c>
      <c r="Q36" s="68">
        <f t="shared" si="10"/>
        <v>98.250000000000014</v>
      </c>
      <c r="R36" s="68">
        <f t="shared" si="11"/>
        <v>0</v>
      </c>
      <c r="S36" s="68">
        <f t="shared" si="11"/>
        <v>0.13125000000000001</v>
      </c>
      <c r="T36" s="68">
        <f t="shared" si="11"/>
        <v>0</v>
      </c>
      <c r="U36" s="68">
        <f t="shared" si="11"/>
        <v>0</v>
      </c>
    </row>
    <row r="37" spans="1:21" s="51" customFormat="1" ht="13" x14ac:dyDescent="0.35">
      <c r="A37" s="10">
        <f>I8</f>
        <v>7</v>
      </c>
      <c r="B37" s="12">
        <v>250</v>
      </c>
      <c r="C37" s="68">
        <f t="shared" si="6"/>
        <v>84.749999999999986</v>
      </c>
      <c r="D37" s="68">
        <f t="shared" si="7"/>
        <v>54.124874999999996</v>
      </c>
      <c r="E37" s="68">
        <f t="shared" si="8"/>
        <v>2.8648874999999998E-4</v>
      </c>
      <c r="F37" s="68">
        <f t="shared" si="9"/>
        <v>8.8537199999999974</v>
      </c>
      <c r="G37" s="68">
        <f t="shared" si="5"/>
        <v>0.53399999999999992</v>
      </c>
      <c r="H37" s="68">
        <f t="shared" si="5"/>
        <v>0.9</v>
      </c>
      <c r="I37" s="68">
        <f t="shared" si="5"/>
        <v>4.6500000000000007E-2</v>
      </c>
      <c r="J37" s="68">
        <f t="shared" si="5"/>
        <v>3.5999999999999999E-3</v>
      </c>
      <c r="K37" s="68">
        <f t="shared" si="5"/>
        <v>9.074999999999998E-3</v>
      </c>
      <c r="L37" s="68">
        <f t="shared" si="5"/>
        <v>3.8249999999999992E-2</v>
      </c>
      <c r="M37" s="68">
        <f t="shared" si="5"/>
        <v>3.8700000000000005E-2</v>
      </c>
      <c r="N37" s="68">
        <f t="shared" si="5"/>
        <v>1185</v>
      </c>
      <c r="O37" s="68">
        <f t="shared" si="5"/>
        <v>44.324999999999996</v>
      </c>
      <c r="P37" s="68">
        <f t="shared" si="5"/>
        <v>0</v>
      </c>
      <c r="Q37" s="68">
        <f t="shared" si="10"/>
        <v>98.250000000000014</v>
      </c>
      <c r="R37" s="68">
        <f t="shared" si="11"/>
        <v>0</v>
      </c>
      <c r="S37" s="68">
        <f t="shared" si="11"/>
        <v>0.13125000000000001</v>
      </c>
      <c r="T37" s="68">
        <f t="shared" si="11"/>
        <v>0</v>
      </c>
      <c r="U37" s="68">
        <f t="shared" si="11"/>
        <v>0</v>
      </c>
    </row>
    <row r="38" spans="1:21" s="51" customFormat="1" ht="13" x14ac:dyDescent="0.35">
      <c r="A38" s="10">
        <f>J8</f>
        <v>8</v>
      </c>
      <c r="B38" s="12">
        <v>250</v>
      </c>
      <c r="C38" s="68">
        <f t="shared" si="6"/>
        <v>84.749999999999986</v>
      </c>
      <c r="D38" s="68">
        <f t="shared" si="7"/>
        <v>54.124874999999996</v>
      </c>
      <c r="E38" s="68">
        <f t="shared" si="8"/>
        <v>2.8648874999999998E-4</v>
      </c>
      <c r="F38" s="68">
        <f t="shared" si="9"/>
        <v>8.8537199999999974</v>
      </c>
      <c r="G38" s="68">
        <f t="shared" si="5"/>
        <v>0.53399999999999992</v>
      </c>
      <c r="H38" s="68">
        <f t="shared" si="5"/>
        <v>0.9</v>
      </c>
      <c r="I38" s="68">
        <f t="shared" si="5"/>
        <v>4.6500000000000007E-2</v>
      </c>
      <c r="J38" s="68">
        <f t="shared" si="5"/>
        <v>3.5999999999999999E-3</v>
      </c>
      <c r="K38" s="68">
        <f t="shared" si="5"/>
        <v>9.074999999999998E-3</v>
      </c>
      <c r="L38" s="68">
        <f t="shared" si="5"/>
        <v>3.8249999999999992E-2</v>
      </c>
      <c r="M38" s="68">
        <f t="shared" si="5"/>
        <v>3.8700000000000005E-2</v>
      </c>
      <c r="N38" s="68">
        <f t="shared" si="5"/>
        <v>1185</v>
      </c>
      <c r="O38" s="68">
        <f t="shared" si="5"/>
        <v>44.324999999999996</v>
      </c>
      <c r="P38" s="68">
        <f t="shared" si="5"/>
        <v>0</v>
      </c>
      <c r="Q38" s="68">
        <f t="shared" si="10"/>
        <v>98.250000000000014</v>
      </c>
      <c r="R38" s="68">
        <f t="shared" si="11"/>
        <v>0</v>
      </c>
      <c r="S38" s="68">
        <f t="shared" si="11"/>
        <v>0.13125000000000001</v>
      </c>
      <c r="T38" s="68">
        <f t="shared" si="11"/>
        <v>0</v>
      </c>
      <c r="U38" s="68">
        <f t="shared" si="11"/>
        <v>0</v>
      </c>
    </row>
    <row r="39" spans="1:21" s="51" customFormat="1" ht="13" x14ac:dyDescent="0.35">
      <c r="A39" s="10">
        <f>K8</f>
        <v>9</v>
      </c>
      <c r="B39" s="12">
        <v>250</v>
      </c>
      <c r="C39" s="68">
        <f t="shared" si="6"/>
        <v>84.749999999999986</v>
      </c>
      <c r="D39" s="68">
        <f t="shared" si="7"/>
        <v>54.124874999999996</v>
      </c>
      <c r="E39" s="68">
        <f t="shared" si="8"/>
        <v>2.8648874999999998E-4</v>
      </c>
      <c r="F39" s="68">
        <f t="shared" si="9"/>
        <v>8.8537199999999974</v>
      </c>
      <c r="G39" s="68">
        <f t="shared" si="5"/>
        <v>0.53399999999999992</v>
      </c>
      <c r="H39" s="68">
        <f t="shared" si="5"/>
        <v>0.9</v>
      </c>
      <c r="I39" s="68">
        <f t="shared" si="5"/>
        <v>4.6500000000000007E-2</v>
      </c>
      <c r="J39" s="68">
        <f t="shared" si="5"/>
        <v>3.5999999999999999E-3</v>
      </c>
      <c r="K39" s="68">
        <f t="shared" si="5"/>
        <v>9.074999999999998E-3</v>
      </c>
      <c r="L39" s="68">
        <f t="shared" si="5"/>
        <v>3.8249999999999992E-2</v>
      </c>
      <c r="M39" s="68">
        <f t="shared" si="5"/>
        <v>3.8700000000000005E-2</v>
      </c>
      <c r="N39" s="68">
        <f t="shared" si="5"/>
        <v>1185</v>
      </c>
      <c r="O39" s="68">
        <f t="shared" si="5"/>
        <v>44.324999999999996</v>
      </c>
      <c r="P39" s="68">
        <f t="shared" si="5"/>
        <v>0</v>
      </c>
      <c r="Q39" s="68">
        <f t="shared" si="10"/>
        <v>98.250000000000014</v>
      </c>
      <c r="R39" s="68">
        <f t="shared" si="11"/>
        <v>0</v>
      </c>
      <c r="S39" s="68">
        <f t="shared" si="11"/>
        <v>0.13125000000000001</v>
      </c>
      <c r="T39" s="68">
        <f t="shared" si="11"/>
        <v>0</v>
      </c>
      <c r="U39" s="68">
        <f t="shared" si="11"/>
        <v>0</v>
      </c>
    </row>
    <row r="40" spans="1:21" s="51" customFormat="1" ht="13" x14ac:dyDescent="0.35">
      <c r="A40" s="10">
        <f>L8</f>
        <v>10</v>
      </c>
      <c r="B40" s="12">
        <v>250</v>
      </c>
      <c r="C40" s="68">
        <f t="shared" si="6"/>
        <v>84.749999999999986</v>
      </c>
      <c r="D40" s="68">
        <f t="shared" si="7"/>
        <v>54.124874999999996</v>
      </c>
      <c r="E40" s="68">
        <f t="shared" si="8"/>
        <v>2.8648874999999998E-4</v>
      </c>
      <c r="F40" s="68">
        <f t="shared" si="9"/>
        <v>8.8537199999999974</v>
      </c>
      <c r="G40" s="68">
        <f t="shared" si="5"/>
        <v>0.53399999999999992</v>
      </c>
      <c r="H40" s="68">
        <f t="shared" si="5"/>
        <v>0.9</v>
      </c>
      <c r="I40" s="68">
        <f t="shared" si="5"/>
        <v>4.6500000000000007E-2</v>
      </c>
      <c r="J40" s="68">
        <f t="shared" si="5"/>
        <v>3.5999999999999999E-3</v>
      </c>
      <c r="K40" s="68">
        <f t="shared" si="5"/>
        <v>9.074999999999998E-3</v>
      </c>
      <c r="L40" s="68">
        <f t="shared" si="5"/>
        <v>3.8249999999999992E-2</v>
      </c>
      <c r="M40" s="68">
        <f t="shared" si="5"/>
        <v>3.8700000000000005E-2</v>
      </c>
      <c r="N40" s="68">
        <f t="shared" si="5"/>
        <v>1185</v>
      </c>
      <c r="O40" s="68">
        <f t="shared" si="5"/>
        <v>44.324999999999996</v>
      </c>
      <c r="P40" s="68">
        <f t="shared" si="5"/>
        <v>0</v>
      </c>
      <c r="Q40" s="68">
        <f t="shared" si="10"/>
        <v>98.250000000000014</v>
      </c>
      <c r="R40" s="68">
        <f t="shared" si="11"/>
        <v>0</v>
      </c>
      <c r="S40" s="68">
        <f t="shared" si="11"/>
        <v>0.13125000000000001</v>
      </c>
      <c r="T40" s="68">
        <f t="shared" si="11"/>
        <v>0</v>
      </c>
      <c r="U40" s="68">
        <f t="shared" si="11"/>
        <v>0</v>
      </c>
    </row>
    <row r="41" spans="1:21" s="51" customFormat="1" ht="13" x14ac:dyDescent="0.35">
      <c r="A41" s="10">
        <f>M8</f>
        <v>11</v>
      </c>
      <c r="B41" s="12">
        <v>250</v>
      </c>
      <c r="C41" s="68">
        <f t="shared" si="6"/>
        <v>84.749999999999986</v>
      </c>
      <c r="D41" s="68">
        <f t="shared" si="7"/>
        <v>54.124874999999996</v>
      </c>
      <c r="E41" s="68">
        <f t="shared" si="8"/>
        <v>2.8648874999999998E-4</v>
      </c>
      <c r="F41" s="68">
        <f t="shared" si="9"/>
        <v>8.8537199999999974</v>
      </c>
      <c r="G41" s="68">
        <f t="shared" si="5"/>
        <v>0.53399999999999992</v>
      </c>
      <c r="H41" s="68">
        <f t="shared" si="5"/>
        <v>0.9</v>
      </c>
      <c r="I41" s="68">
        <f t="shared" si="5"/>
        <v>4.6500000000000007E-2</v>
      </c>
      <c r="J41" s="68">
        <f t="shared" si="5"/>
        <v>3.5999999999999999E-3</v>
      </c>
      <c r="K41" s="68">
        <f t="shared" si="5"/>
        <v>9.074999999999998E-3</v>
      </c>
      <c r="L41" s="68">
        <f t="shared" si="5"/>
        <v>3.8249999999999992E-2</v>
      </c>
      <c r="M41" s="68">
        <f t="shared" si="5"/>
        <v>3.8700000000000005E-2</v>
      </c>
      <c r="N41" s="68">
        <f t="shared" si="5"/>
        <v>1185</v>
      </c>
      <c r="O41" s="68">
        <f t="shared" si="5"/>
        <v>44.324999999999996</v>
      </c>
      <c r="P41" s="68">
        <f t="shared" si="5"/>
        <v>0</v>
      </c>
      <c r="Q41" s="68">
        <f t="shared" si="10"/>
        <v>98.250000000000014</v>
      </c>
      <c r="R41" s="68">
        <f t="shared" si="11"/>
        <v>0</v>
      </c>
      <c r="S41" s="68">
        <f t="shared" si="11"/>
        <v>0.13125000000000001</v>
      </c>
      <c r="T41" s="68">
        <f t="shared" si="11"/>
        <v>0</v>
      </c>
      <c r="U41" s="68">
        <f t="shared" si="11"/>
        <v>0</v>
      </c>
    </row>
    <row r="42" spans="1:21" s="51" customFormat="1" ht="13" x14ac:dyDescent="0.35">
      <c r="A42" s="10">
        <f>N8</f>
        <v>12</v>
      </c>
      <c r="B42" s="12">
        <v>250</v>
      </c>
      <c r="C42" s="68">
        <f t="shared" si="6"/>
        <v>84.749999999999986</v>
      </c>
      <c r="D42" s="68">
        <f t="shared" si="7"/>
        <v>54.124874999999996</v>
      </c>
      <c r="E42" s="68">
        <f t="shared" si="8"/>
        <v>2.8648874999999998E-4</v>
      </c>
      <c r="F42" s="68">
        <f t="shared" si="9"/>
        <v>8.8537199999999974</v>
      </c>
      <c r="G42" s="68">
        <f t="shared" si="5"/>
        <v>0.53399999999999992</v>
      </c>
      <c r="H42" s="68">
        <f t="shared" si="5"/>
        <v>0.9</v>
      </c>
      <c r="I42" s="68">
        <f t="shared" si="5"/>
        <v>4.6500000000000007E-2</v>
      </c>
      <c r="J42" s="68">
        <f t="shared" si="5"/>
        <v>3.5999999999999999E-3</v>
      </c>
      <c r="K42" s="68">
        <f t="shared" si="5"/>
        <v>9.074999999999998E-3</v>
      </c>
      <c r="L42" s="68">
        <f t="shared" si="5"/>
        <v>3.8249999999999992E-2</v>
      </c>
      <c r="M42" s="68">
        <f t="shared" si="5"/>
        <v>3.8700000000000005E-2</v>
      </c>
      <c r="N42" s="68">
        <f t="shared" si="5"/>
        <v>1185</v>
      </c>
      <c r="O42" s="68">
        <f t="shared" si="5"/>
        <v>44.324999999999996</v>
      </c>
      <c r="P42" s="68">
        <f t="shared" si="5"/>
        <v>0</v>
      </c>
      <c r="Q42" s="68">
        <f t="shared" si="10"/>
        <v>98.250000000000014</v>
      </c>
      <c r="R42" s="68">
        <f t="shared" si="11"/>
        <v>0</v>
      </c>
      <c r="S42" s="68">
        <f t="shared" si="11"/>
        <v>0.13125000000000001</v>
      </c>
      <c r="T42" s="68">
        <f t="shared" si="11"/>
        <v>0</v>
      </c>
      <c r="U42" s="68">
        <f t="shared" si="11"/>
        <v>0</v>
      </c>
    </row>
    <row r="43" spans="1:21" s="51" customFormat="1" ht="13" x14ac:dyDescent="0.35">
      <c r="A43" s="10">
        <f>O8</f>
        <v>13</v>
      </c>
      <c r="B43" s="12">
        <v>170</v>
      </c>
      <c r="C43" s="68">
        <f t="shared" si="6"/>
        <v>57.629999999999995</v>
      </c>
      <c r="D43" s="68">
        <f t="shared" si="7"/>
        <v>36.804915000000001</v>
      </c>
      <c r="E43" s="68">
        <f t="shared" si="8"/>
        <v>1.9481235E-4</v>
      </c>
      <c r="F43" s="68">
        <f t="shared" si="9"/>
        <v>6.0205295999999988</v>
      </c>
      <c r="G43" s="68">
        <f t="shared" si="5"/>
        <v>0.36312</v>
      </c>
      <c r="H43" s="68">
        <f t="shared" si="5"/>
        <v>0.61199999999999999</v>
      </c>
      <c r="I43" s="68">
        <f t="shared" si="5"/>
        <v>3.1620000000000002E-2</v>
      </c>
      <c r="J43" s="68">
        <f t="shared" si="5"/>
        <v>2.4480000000000001E-3</v>
      </c>
      <c r="K43" s="68">
        <f t="shared" si="5"/>
        <v>6.1709999999999994E-3</v>
      </c>
      <c r="L43" s="68">
        <f t="shared" si="5"/>
        <v>2.6009999999999995E-2</v>
      </c>
      <c r="M43" s="68">
        <f t="shared" si="5"/>
        <v>2.6316000000000003E-2</v>
      </c>
      <c r="N43" s="68">
        <f t="shared" si="5"/>
        <v>805.80000000000007</v>
      </c>
      <c r="O43" s="68">
        <f t="shared" si="5"/>
        <v>30.140999999999998</v>
      </c>
      <c r="P43" s="68">
        <f t="shared" si="5"/>
        <v>0</v>
      </c>
      <c r="Q43" s="68">
        <f t="shared" si="10"/>
        <v>66.81</v>
      </c>
      <c r="R43" s="68">
        <f t="shared" si="11"/>
        <v>0</v>
      </c>
      <c r="S43" s="68">
        <f t="shared" si="11"/>
        <v>8.925000000000001E-2</v>
      </c>
      <c r="T43" s="68">
        <f t="shared" si="11"/>
        <v>0</v>
      </c>
      <c r="U43" s="68">
        <f t="shared" si="11"/>
        <v>0</v>
      </c>
    </row>
    <row r="44" spans="1:21" s="51" customFormat="1" ht="13" x14ac:dyDescent="0.35">
      <c r="A44" s="10">
        <f>P8</f>
        <v>15</v>
      </c>
      <c r="B44" s="12">
        <v>170</v>
      </c>
      <c r="C44" s="68">
        <f t="shared" si="6"/>
        <v>57.629999999999995</v>
      </c>
      <c r="D44" s="68">
        <f t="shared" si="7"/>
        <v>36.804915000000001</v>
      </c>
      <c r="E44" s="68">
        <f t="shared" si="8"/>
        <v>1.9481235E-4</v>
      </c>
      <c r="F44" s="68">
        <f t="shared" si="9"/>
        <v>6.0205295999999988</v>
      </c>
      <c r="G44" s="68">
        <f t="shared" si="5"/>
        <v>0.36312</v>
      </c>
      <c r="H44" s="68">
        <f t="shared" si="5"/>
        <v>0.61199999999999999</v>
      </c>
      <c r="I44" s="68">
        <f t="shared" si="5"/>
        <v>3.1620000000000002E-2</v>
      </c>
      <c r="J44" s="68">
        <f t="shared" si="5"/>
        <v>2.4480000000000001E-3</v>
      </c>
      <c r="K44" s="68">
        <f t="shared" si="5"/>
        <v>6.1709999999999994E-3</v>
      </c>
      <c r="L44" s="68">
        <f t="shared" si="5"/>
        <v>2.6009999999999995E-2</v>
      </c>
      <c r="M44" s="68">
        <f t="shared" si="5"/>
        <v>2.6316000000000003E-2</v>
      </c>
      <c r="N44" s="68">
        <f t="shared" si="5"/>
        <v>805.80000000000007</v>
      </c>
      <c r="O44" s="68">
        <f t="shared" si="5"/>
        <v>30.140999999999998</v>
      </c>
      <c r="P44" s="68">
        <f t="shared" si="5"/>
        <v>0</v>
      </c>
      <c r="Q44" s="68">
        <f t="shared" si="10"/>
        <v>66.81</v>
      </c>
      <c r="R44" s="68">
        <f t="shared" si="11"/>
        <v>0</v>
      </c>
      <c r="S44" s="68">
        <f t="shared" si="11"/>
        <v>8.925000000000001E-2</v>
      </c>
      <c r="T44" s="68">
        <f t="shared" si="11"/>
        <v>0</v>
      </c>
      <c r="U44" s="68">
        <f t="shared" si="11"/>
        <v>0</v>
      </c>
    </row>
    <row r="45" spans="1:21" s="51" customFormat="1" ht="13" x14ac:dyDescent="0.35">
      <c r="A45" s="10">
        <f>Q8</f>
        <v>16</v>
      </c>
      <c r="B45" s="12">
        <v>250</v>
      </c>
      <c r="C45" s="68">
        <f t="shared" si="6"/>
        <v>84.749999999999986</v>
      </c>
      <c r="D45" s="68">
        <f t="shared" si="7"/>
        <v>54.124874999999996</v>
      </c>
      <c r="E45" s="68">
        <f t="shared" si="8"/>
        <v>2.8648874999999998E-4</v>
      </c>
      <c r="F45" s="68">
        <f t="shared" si="9"/>
        <v>8.8537199999999974</v>
      </c>
      <c r="G45" s="68">
        <f t="shared" si="5"/>
        <v>0.53399999999999992</v>
      </c>
      <c r="H45" s="68">
        <f t="shared" si="5"/>
        <v>0.9</v>
      </c>
      <c r="I45" s="68">
        <f t="shared" si="5"/>
        <v>4.6500000000000007E-2</v>
      </c>
      <c r="J45" s="68">
        <f t="shared" si="5"/>
        <v>3.5999999999999999E-3</v>
      </c>
      <c r="K45" s="68">
        <f t="shared" si="5"/>
        <v>9.074999999999998E-3</v>
      </c>
      <c r="L45" s="68">
        <f t="shared" si="5"/>
        <v>3.8249999999999992E-2</v>
      </c>
      <c r="M45" s="68">
        <f t="shared" si="5"/>
        <v>3.8700000000000005E-2</v>
      </c>
      <c r="N45" s="68">
        <f t="shared" si="5"/>
        <v>1185</v>
      </c>
      <c r="O45" s="68">
        <f t="shared" si="5"/>
        <v>44.324999999999996</v>
      </c>
      <c r="P45" s="68">
        <f t="shared" si="5"/>
        <v>0</v>
      </c>
      <c r="Q45" s="68">
        <f t="shared" si="10"/>
        <v>98.250000000000014</v>
      </c>
      <c r="R45" s="68">
        <f t="shared" si="11"/>
        <v>0</v>
      </c>
      <c r="S45" s="68">
        <f t="shared" si="11"/>
        <v>0.13125000000000001</v>
      </c>
      <c r="T45" s="68">
        <f t="shared" si="11"/>
        <v>0</v>
      </c>
      <c r="U45" s="68">
        <f t="shared" si="11"/>
        <v>0</v>
      </c>
    </row>
    <row r="46" spans="1:21" s="51" customFormat="1" ht="13" x14ac:dyDescent="0.35">
      <c r="A46" s="10">
        <f>R8</f>
        <v>21</v>
      </c>
      <c r="B46" s="12">
        <v>250</v>
      </c>
      <c r="C46" s="68">
        <f t="shared" si="6"/>
        <v>84.749999999999986</v>
      </c>
      <c r="D46" s="68">
        <f t="shared" si="7"/>
        <v>54.124874999999996</v>
      </c>
      <c r="E46" s="68">
        <f t="shared" si="8"/>
        <v>2.8648874999999998E-4</v>
      </c>
      <c r="F46" s="68">
        <f t="shared" si="9"/>
        <v>8.8537199999999974</v>
      </c>
      <c r="G46" s="68">
        <f t="shared" si="5"/>
        <v>0.53399999999999992</v>
      </c>
      <c r="H46" s="68">
        <f t="shared" si="5"/>
        <v>0.9</v>
      </c>
      <c r="I46" s="68">
        <f t="shared" si="5"/>
        <v>4.6500000000000007E-2</v>
      </c>
      <c r="J46" s="68">
        <f t="shared" si="5"/>
        <v>3.5999999999999999E-3</v>
      </c>
      <c r="K46" s="68">
        <f t="shared" si="5"/>
        <v>9.074999999999998E-3</v>
      </c>
      <c r="L46" s="68">
        <f t="shared" si="5"/>
        <v>3.8249999999999992E-2</v>
      </c>
      <c r="M46" s="68">
        <f t="shared" si="5"/>
        <v>3.8700000000000005E-2</v>
      </c>
      <c r="N46" s="68">
        <f t="shared" si="5"/>
        <v>1185</v>
      </c>
      <c r="O46" s="68">
        <f t="shared" si="5"/>
        <v>44.324999999999996</v>
      </c>
      <c r="P46" s="68">
        <f t="shared" si="5"/>
        <v>0</v>
      </c>
      <c r="Q46" s="68">
        <f t="shared" si="10"/>
        <v>98.250000000000014</v>
      </c>
      <c r="R46" s="68">
        <f t="shared" si="11"/>
        <v>0</v>
      </c>
      <c r="S46" s="68">
        <f t="shared" si="11"/>
        <v>0.13125000000000001</v>
      </c>
      <c r="T46" s="68">
        <f t="shared" si="11"/>
        <v>0</v>
      </c>
      <c r="U46" s="68">
        <f t="shared" si="11"/>
        <v>0</v>
      </c>
    </row>
    <row r="47" spans="1:21" s="51" customFormat="1" ht="13" x14ac:dyDescent="0.35">
      <c r="A47" s="10">
        <f>S8</f>
        <v>22</v>
      </c>
      <c r="B47" s="12">
        <v>250</v>
      </c>
      <c r="C47" s="68">
        <f t="shared" si="6"/>
        <v>84.749999999999986</v>
      </c>
      <c r="D47" s="68">
        <f t="shared" si="7"/>
        <v>54.124874999999996</v>
      </c>
      <c r="E47" s="68">
        <f t="shared" si="8"/>
        <v>2.8648874999999998E-4</v>
      </c>
      <c r="F47" s="68">
        <f t="shared" si="9"/>
        <v>8.8537199999999974</v>
      </c>
      <c r="G47" s="68">
        <f t="shared" ref="G47:P50" si="12">IF(G$27="%w/w SAR",((G$28*10)*$B47),IF(G$27="%w/w DM",(((G$28*10)*($B$28/100))*$B47),IF(G$27="kg/t SAR",(G$28*$B47),IF(G$27="kg/t DM",((G$28*($B$28/100))*$B47),IF(G$27="mg/kg SAR",((G$28*0.001)*$B47),IF(G$27="mg/kg DM",(((G$28*0.001)*($B$28/100))*$B47),0))))))</f>
        <v>0.53399999999999992</v>
      </c>
      <c r="H47" s="68">
        <f t="shared" si="12"/>
        <v>0.9</v>
      </c>
      <c r="I47" s="68">
        <f t="shared" si="12"/>
        <v>4.6500000000000007E-2</v>
      </c>
      <c r="J47" s="68">
        <f t="shared" si="12"/>
        <v>3.5999999999999999E-3</v>
      </c>
      <c r="K47" s="68">
        <f t="shared" si="12"/>
        <v>9.074999999999998E-3</v>
      </c>
      <c r="L47" s="68">
        <f t="shared" si="12"/>
        <v>3.8249999999999992E-2</v>
      </c>
      <c r="M47" s="68">
        <f t="shared" si="12"/>
        <v>3.8700000000000005E-2</v>
      </c>
      <c r="N47" s="68">
        <f t="shared" si="12"/>
        <v>1185</v>
      </c>
      <c r="O47" s="68">
        <f t="shared" si="12"/>
        <v>44.324999999999996</v>
      </c>
      <c r="P47" s="68">
        <f t="shared" si="12"/>
        <v>0</v>
      </c>
      <c r="Q47" s="68">
        <f t="shared" si="10"/>
        <v>98.250000000000014</v>
      </c>
      <c r="R47" s="68">
        <f t="shared" si="11"/>
        <v>0</v>
      </c>
      <c r="S47" s="68">
        <f t="shared" si="11"/>
        <v>0.13125000000000001</v>
      </c>
      <c r="T47" s="68">
        <f t="shared" si="11"/>
        <v>0</v>
      </c>
      <c r="U47" s="68">
        <f t="shared" si="11"/>
        <v>0</v>
      </c>
    </row>
    <row r="48" spans="1:21" s="51" customFormat="1" ht="13" x14ac:dyDescent="0.35">
      <c r="A48" s="10">
        <f>T8</f>
        <v>23</v>
      </c>
      <c r="B48" s="12">
        <v>250</v>
      </c>
      <c r="C48" s="68">
        <f t="shared" si="6"/>
        <v>84.749999999999986</v>
      </c>
      <c r="D48" s="68">
        <f t="shared" si="7"/>
        <v>54.124874999999996</v>
      </c>
      <c r="E48" s="68">
        <f t="shared" si="8"/>
        <v>2.8648874999999998E-4</v>
      </c>
      <c r="F48" s="68">
        <f t="shared" si="9"/>
        <v>8.8537199999999974</v>
      </c>
      <c r="G48" s="68">
        <f t="shared" si="12"/>
        <v>0.53399999999999992</v>
      </c>
      <c r="H48" s="68">
        <f t="shared" si="12"/>
        <v>0.9</v>
      </c>
      <c r="I48" s="68">
        <f t="shared" si="12"/>
        <v>4.6500000000000007E-2</v>
      </c>
      <c r="J48" s="68">
        <f t="shared" si="12"/>
        <v>3.5999999999999999E-3</v>
      </c>
      <c r="K48" s="68">
        <f t="shared" si="12"/>
        <v>9.074999999999998E-3</v>
      </c>
      <c r="L48" s="68">
        <f t="shared" si="12"/>
        <v>3.8249999999999992E-2</v>
      </c>
      <c r="M48" s="68">
        <f t="shared" si="12"/>
        <v>3.8700000000000005E-2</v>
      </c>
      <c r="N48" s="68">
        <f t="shared" si="12"/>
        <v>1185</v>
      </c>
      <c r="O48" s="68">
        <f t="shared" si="12"/>
        <v>44.324999999999996</v>
      </c>
      <c r="P48" s="68">
        <f t="shared" si="12"/>
        <v>0</v>
      </c>
      <c r="Q48" s="68">
        <f t="shared" si="10"/>
        <v>98.250000000000014</v>
      </c>
      <c r="R48" s="68">
        <f t="shared" si="11"/>
        <v>0</v>
      </c>
      <c r="S48" s="68">
        <f t="shared" si="11"/>
        <v>0.13125000000000001</v>
      </c>
      <c r="T48" s="68">
        <f t="shared" si="11"/>
        <v>0</v>
      </c>
      <c r="U48" s="68">
        <f t="shared" si="11"/>
        <v>0</v>
      </c>
    </row>
    <row r="49" spans="1:21" s="51" customFormat="1" ht="13" x14ac:dyDescent="0.35">
      <c r="A49" s="10">
        <f>U8</f>
        <v>7078</v>
      </c>
      <c r="B49" s="12">
        <v>250</v>
      </c>
      <c r="C49" s="68">
        <f t="shared" si="6"/>
        <v>84.749999999999986</v>
      </c>
      <c r="D49" s="68">
        <f t="shared" si="7"/>
        <v>54.124874999999996</v>
      </c>
      <c r="E49" s="68">
        <f t="shared" si="8"/>
        <v>2.8648874999999998E-4</v>
      </c>
      <c r="F49" s="68">
        <f t="shared" si="9"/>
        <v>8.8537199999999974</v>
      </c>
      <c r="G49" s="68">
        <f t="shared" si="12"/>
        <v>0.53399999999999992</v>
      </c>
      <c r="H49" s="68">
        <f t="shared" si="12"/>
        <v>0.9</v>
      </c>
      <c r="I49" s="68">
        <f t="shared" si="12"/>
        <v>4.6500000000000007E-2</v>
      </c>
      <c r="J49" s="68">
        <f t="shared" si="12"/>
        <v>3.5999999999999999E-3</v>
      </c>
      <c r="K49" s="68">
        <f t="shared" si="12"/>
        <v>9.074999999999998E-3</v>
      </c>
      <c r="L49" s="68">
        <f t="shared" si="12"/>
        <v>3.8249999999999992E-2</v>
      </c>
      <c r="M49" s="68">
        <f t="shared" si="12"/>
        <v>3.8700000000000005E-2</v>
      </c>
      <c r="N49" s="68">
        <f t="shared" si="12"/>
        <v>1185</v>
      </c>
      <c r="O49" s="68">
        <f t="shared" si="12"/>
        <v>44.324999999999996</v>
      </c>
      <c r="P49" s="68">
        <f t="shared" si="12"/>
        <v>0</v>
      </c>
      <c r="Q49" s="68">
        <f t="shared" si="10"/>
        <v>98.250000000000014</v>
      </c>
      <c r="R49" s="68">
        <f t="shared" si="11"/>
        <v>0</v>
      </c>
      <c r="S49" s="68">
        <f t="shared" si="11"/>
        <v>0.13125000000000001</v>
      </c>
      <c r="T49" s="68">
        <f t="shared" si="11"/>
        <v>0</v>
      </c>
      <c r="U49" s="68">
        <f t="shared" si="11"/>
        <v>0</v>
      </c>
    </row>
    <row r="50" spans="1:21" s="51" customFormat="1" ht="13.5" thickBot="1" x14ac:dyDescent="0.4">
      <c r="A50" s="11">
        <f>V8</f>
        <v>7058</v>
      </c>
      <c r="B50" s="12">
        <v>250</v>
      </c>
      <c r="C50" s="87">
        <f t="shared" si="6"/>
        <v>84.749999999999986</v>
      </c>
      <c r="D50" s="87">
        <f t="shared" si="7"/>
        <v>54.124874999999996</v>
      </c>
      <c r="E50" s="87">
        <f t="shared" si="8"/>
        <v>2.8648874999999998E-4</v>
      </c>
      <c r="F50" s="87">
        <f t="shared" si="9"/>
        <v>8.8537199999999974</v>
      </c>
      <c r="G50" s="87">
        <f t="shared" si="12"/>
        <v>0.53399999999999992</v>
      </c>
      <c r="H50" s="87">
        <f t="shared" si="12"/>
        <v>0.9</v>
      </c>
      <c r="I50" s="87">
        <f t="shared" si="12"/>
        <v>4.6500000000000007E-2</v>
      </c>
      <c r="J50" s="87">
        <f t="shared" si="12"/>
        <v>3.5999999999999999E-3</v>
      </c>
      <c r="K50" s="87">
        <f t="shared" si="12"/>
        <v>9.074999999999998E-3</v>
      </c>
      <c r="L50" s="87">
        <f t="shared" si="12"/>
        <v>3.8249999999999992E-2</v>
      </c>
      <c r="M50" s="87">
        <f t="shared" si="12"/>
        <v>3.8700000000000005E-2</v>
      </c>
      <c r="N50" s="87">
        <f t="shared" si="12"/>
        <v>1185</v>
      </c>
      <c r="O50" s="87">
        <f t="shared" si="12"/>
        <v>44.324999999999996</v>
      </c>
      <c r="P50" s="87">
        <f t="shared" si="12"/>
        <v>0</v>
      </c>
      <c r="Q50" s="87">
        <f t="shared" si="10"/>
        <v>98.250000000000014</v>
      </c>
      <c r="R50" s="87">
        <f t="shared" si="11"/>
        <v>0</v>
      </c>
      <c r="S50" s="87">
        <f t="shared" si="11"/>
        <v>0.13125000000000001</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21" ht="13" x14ac:dyDescent="0.35">
      <c r="A58" s="82"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str">
        <f>Q16&amp;" I "&amp;(VLOOKUP(Q14,Table2458[],6,FALSE))</f>
        <v>Medium/Clay I Grass</v>
      </c>
      <c r="Q58" s="10" t="str">
        <f>R16&amp;" I "&amp;(VLOOKUP(R14,Table2458[],6,FALSE))</f>
        <v>Medium/Clay I Grass</v>
      </c>
      <c r="R58" s="10" t="str">
        <f>S16&amp;" I "&amp;(VLOOKUP(S14,Table2458[],6,FALSE))</f>
        <v>Medium/Clay I Grass</v>
      </c>
      <c r="S58" s="10" t="str">
        <f>T16&amp;" I "&amp;(VLOOKUP(T14,Table2458[],6,FALSE))</f>
        <v>Medium/Clay I Grass</v>
      </c>
      <c r="T58" s="10" t="str">
        <f>U16&amp;" I "&amp;(VLOOKUP(U14,Table2458[],6,FALSE))</f>
        <v>Medium/Clay I Grass</v>
      </c>
      <c r="U58" s="10" t="str">
        <f>V16&amp;" I "&amp;(VLOOKUP(V14,Table2458[],6,FALSE))</f>
        <v>Medium/Clay I Grass</v>
      </c>
    </row>
    <row r="59" spans="1:21" ht="13" x14ac:dyDescent="0.3">
      <c r="A59" s="100" t="s">
        <v>132</v>
      </c>
      <c r="B59" s="67">
        <f>VLOOKUP(C$14,Table2458[],5,FALSE)</f>
        <v>6.2</v>
      </c>
      <c r="C59" s="67">
        <f>VLOOKUP(D$14,Table2458[],5,FALSE)</f>
        <v>6.2</v>
      </c>
      <c r="D59" s="67">
        <f>VLOOKUP(E$14,Table2458[],5,FALSE)</f>
        <v>6.2</v>
      </c>
      <c r="E59" s="67">
        <f>VLOOKUP(F$14,Table2458[],5,FALSE)</f>
        <v>6.2</v>
      </c>
      <c r="F59" s="67">
        <f>VLOOKUP(G$14,Table2458[],5,FALSE)</f>
        <v>6.2</v>
      </c>
      <c r="G59" s="67">
        <f>VLOOKUP(H$14,Table2458[],5,FALSE)</f>
        <v>6.2</v>
      </c>
      <c r="H59" s="67">
        <f>VLOOKUP(I$14,Table2458[],5,FALSE)</f>
        <v>6.2</v>
      </c>
      <c r="I59" s="67">
        <f>VLOOKUP(J$14,Table2458[],5,FALSE)</f>
        <v>6.2</v>
      </c>
      <c r="J59" s="67">
        <f>VLOOKUP(K$14,Table2458[],5,FALSE)</f>
        <v>6.2</v>
      </c>
      <c r="K59" s="67">
        <f>VLOOKUP(L$14,Table2458[],5,FALSE)</f>
        <v>6.2</v>
      </c>
      <c r="L59" s="67">
        <f>VLOOKUP(M$14,Table2458[],5,FALSE)</f>
        <v>6.2</v>
      </c>
      <c r="M59" s="67">
        <f>VLOOKUP(N$14,Table2458[],5,FALSE)</f>
        <v>6.2</v>
      </c>
      <c r="N59" s="67">
        <f>VLOOKUP(O$14,Table2458[],5,FALSE)</f>
        <v>6.2</v>
      </c>
      <c r="O59" s="67">
        <f>VLOOKUP(P$14,Table2458[],5,FALSE)</f>
        <v>6.2</v>
      </c>
      <c r="P59" s="67">
        <f>VLOOKUP(Q$14,Table2458[],5,FALSE)</f>
        <v>6.2</v>
      </c>
      <c r="Q59" s="67">
        <f>VLOOKUP(R$14,Table2458[],5,FALSE)</f>
        <v>6.2</v>
      </c>
      <c r="R59" s="67">
        <f>VLOOKUP(S$14,Table2458[],5,FALSE)</f>
        <v>6.2</v>
      </c>
      <c r="S59" s="67">
        <f>VLOOKUP(T$14,Table2458[],5,FALSE)</f>
        <v>6.2</v>
      </c>
      <c r="T59" s="67">
        <f>VLOOKUP(U$14,Table2458[],5,FALSE)</f>
        <v>6.2</v>
      </c>
      <c r="U59" s="67">
        <f>VLOOKUP(V$14,Table2458[],5,FALSE)</f>
        <v>6.2</v>
      </c>
    </row>
    <row r="60" spans="1:21" ht="13" x14ac:dyDescent="0.3">
      <c r="A60" s="100" t="s">
        <v>4</v>
      </c>
      <c r="B60" s="67">
        <f>C10</f>
        <v>7.1</v>
      </c>
      <c r="C60" s="67">
        <f t="shared" ref="C60:U60" si="14">D10</f>
        <v>6.9</v>
      </c>
      <c r="D60" s="67">
        <f t="shared" si="14"/>
        <v>7.7</v>
      </c>
      <c r="E60" s="67">
        <f t="shared" si="14"/>
        <v>6.9</v>
      </c>
      <c r="F60" s="67">
        <f t="shared" si="14"/>
        <v>6.9</v>
      </c>
      <c r="G60" s="67">
        <f t="shared" si="14"/>
        <v>6.3</v>
      </c>
      <c r="H60" s="67">
        <f t="shared" si="14"/>
        <v>7.9</v>
      </c>
      <c r="I60" s="67">
        <f t="shared" si="14"/>
        <v>6.8</v>
      </c>
      <c r="J60" s="67">
        <f t="shared" si="14"/>
        <v>6.7</v>
      </c>
      <c r="K60" s="67">
        <f t="shared" si="14"/>
        <v>6.8</v>
      </c>
      <c r="L60" s="67">
        <f t="shared" si="14"/>
        <v>6.9</v>
      </c>
      <c r="M60" s="67">
        <f t="shared" si="14"/>
        <v>7</v>
      </c>
      <c r="N60" s="67">
        <f t="shared" si="14"/>
        <v>7</v>
      </c>
      <c r="O60" s="67">
        <f t="shared" si="14"/>
        <v>6.8</v>
      </c>
      <c r="P60" s="67">
        <f t="shared" si="14"/>
        <v>6.9</v>
      </c>
      <c r="Q60" s="67">
        <f t="shared" si="14"/>
        <v>6.7</v>
      </c>
      <c r="R60" s="67">
        <f t="shared" si="14"/>
        <v>6.3</v>
      </c>
      <c r="S60" s="67">
        <f t="shared" si="14"/>
        <v>6</v>
      </c>
      <c r="T60" s="67">
        <f t="shared" si="14"/>
        <v>6.8</v>
      </c>
      <c r="U60" s="67">
        <f t="shared" si="14"/>
        <v>6.9</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f t="shared" si="15"/>
        <v>6</v>
      </c>
      <c r="U61" s="67">
        <f t="shared" si="15"/>
        <v>6</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170</v>
      </c>
      <c r="O62" s="68">
        <f>B44</f>
        <v>170</v>
      </c>
      <c r="P62" s="68">
        <f>B45</f>
        <v>250</v>
      </c>
      <c r="Q62" s="68">
        <f>B46</f>
        <v>250</v>
      </c>
      <c r="R62" s="68">
        <f>B47</f>
        <v>250</v>
      </c>
      <c r="S62" s="68">
        <f>B48</f>
        <v>250</v>
      </c>
      <c r="T62" s="68">
        <f>B49</f>
        <v>250</v>
      </c>
      <c r="U62" s="68">
        <f>B50</f>
        <v>250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-5.3999999999999968</v>
      </c>
      <c r="C64" s="68">
        <f t="shared" ref="C64:U64" si="17">(C59-C60)*C61</f>
        <v>-4.2000000000000011</v>
      </c>
      <c r="D64" s="68">
        <f t="shared" si="17"/>
        <v>-9</v>
      </c>
      <c r="E64" s="68">
        <f t="shared" si="17"/>
        <v>-4.2000000000000011</v>
      </c>
      <c r="F64" s="68">
        <f t="shared" si="17"/>
        <v>-4.2000000000000011</v>
      </c>
      <c r="G64" s="68">
        <f t="shared" si="17"/>
        <v>-0.59999999999999787</v>
      </c>
      <c r="H64" s="68">
        <f t="shared" si="17"/>
        <v>-10.200000000000001</v>
      </c>
      <c r="I64" s="68">
        <f t="shared" si="17"/>
        <v>-3.5999999999999979</v>
      </c>
      <c r="J64" s="68">
        <f t="shared" si="17"/>
        <v>-3</v>
      </c>
      <c r="K64" s="68">
        <f t="shared" si="17"/>
        <v>-3.5999999999999979</v>
      </c>
      <c r="L64" s="68">
        <f t="shared" si="17"/>
        <v>-4.2000000000000011</v>
      </c>
      <c r="M64" s="68">
        <f t="shared" si="17"/>
        <v>-4.7999999999999989</v>
      </c>
      <c r="N64" s="68">
        <f t="shared" si="17"/>
        <v>-4.7999999999999989</v>
      </c>
      <c r="O64" s="68">
        <f t="shared" si="17"/>
        <v>-3.5999999999999979</v>
      </c>
      <c r="P64" s="68">
        <f t="shared" si="17"/>
        <v>-4.2000000000000011</v>
      </c>
      <c r="Q64" s="68">
        <f t="shared" si="17"/>
        <v>-3</v>
      </c>
      <c r="R64" s="68">
        <f t="shared" si="17"/>
        <v>-0.59999999999999787</v>
      </c>
      <c r="S64" s="68">
        <f t="shared" si="17"/>
        <v>1.2000000000000011</v>
      </c>
      <c r="T64" s="68">
        <f t="shared" si="17"/>
        <v>-3.5999999999999979</v>
      </c>
      <c r="U64" s="68">
        <f t="shared" si="17"/>
        <v>-4.2000000000000011</v>
      </c>
    </row>
    <row r="65" spans="1:21" ht="52" x14ac:dyDescent="0.3">
      <c r="A65" s="101" t="s">
        <v>157</v>
      </c>
      <c r="B65" s="68">
        <f>B63-B64</f>
        <v>5.3999999999999968</v>
      </c>
      <c r="C65" s="68">
        <f t="shared" ref="C65:U65" si="18">C63-C64</f>
        <v>4.2000000000000011</v>
      </c>
      <c r="D65" s="68">
        <f t="shared" si="18"/>
        <v>9</v>
      </c>
      <c r="E65" s="68">
        <f t="shared" si="18"/>
        <v>4.2000000000000011</v>
      </c>
      <c r="F65" s="68">
        <f t="shared" si="18"/>
        <v>4.2000000000000011</v>
      </c>
      <c r="G65" s="68">
        <f t="shared" si="18"/>
        <v>0.59999999999999787</v>
      </c>
      <c r="H65" s="68">
        <f t="shared" si="18"/>
        <v>10.200000000000001</v>
      </c>
      <c r="I65" s="68">
        <f t="shared" si="18"/>
        <v>3.5999999999999979</v>
      </c>
      <c r="J65" s="68">
        <f t="shared" si="18"/>
        <v>3</v>
      </c>
      <c r="K65" s="68">
        <f t="shared" si="18"/>
        <v>3.5999999999999979</v>
      </c>
      <c r="L65" s="68">
        <f t="shared" si="18"/>
        <v>4.2000000000000011</v>
      </c>
      <c r="M65" s="68">
        <f t="shared" si="18"/>
        <v>4.7999999999999989</v>
      </c>
      <c r="N65" s="68">
        <f t="shared" si="18"/>
        <v>4.7999999999999989</v>
      </c>
      <c r="O65" s="68">
        <f t="shared" si="18"/>
        <v>3.5999999999999979</v>
      </c>
      <c r="P65" s="68">
        <f t="shared" si="18"/>
        <v>4.2000000000000011</v>
      </c>
      <c r="Q65" s="68">
        <f t="shared" si="18"/>
        <v>3</v>
      </c>
      <c r="R65" s="68">
        <f t="shared" si="18"/>
        <v>0.59999999999999787</v>
      </c>
      <c r="S65" s="68">
        <f t="shared" si="18"/>
        <v>-1.2000000000000011</v>
      </c>
      <c r="T65" s="68">
        <f t="shared" si="18"/>
        <v>3.5999999999999979</v>
      </c>
      <c r="U65" s="68">
        <f t="shared" si="18"/>
        <v>4.2000000000000011</v>
      </c>
    </row>
    <row r="66" spans="1:21" ht="26"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str">
        <f t="shared" si="19"/>
        <v>OVER</v>
      </c>
      <c r="N66" s="69" t="str">
        <f t="shared" si="19"/>
        <v>OVER</v>
      </c>
      <c r="O66" s="69" t="str">
        <f t="shared" si="19"/>
        <v>OVER</v>
      </c>
      <c r="P66" s="69" t="str">
        <f t="shared" si="19"/>
        <v>OVER</v>
      </c>
      <c r="Q66" s="69" t="str">
        <f t="shared" si="19"/>
        <v>OVER</v>
      </c>
      <c r="R66" s="69" t="str">
        <f t="shared" si="19"/>
        <v>OVER</v>
      </c>
      <c r="S66" s="69" t="str">
        <f t="shared" si="19"/>
        <v>UNDER</v>
      </c>
      <c r="T66" s="69" t="str">
        <f t="shared" si="19"/>
        <v>OVER</v>
      </c>
      <c r="U66" s="69" t="str">
        <f t="shared" si="19"/>
        <v>OVER</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7265625" style="14" bestFit="1" customWidth="1"/>
    <col min="15" max="19" width="9.1796875" style="14"/>
    <col min="20" max="20" width="10" style="14" bestFit="1" customWidth="1"/>
    <col min="21" max="16384" width="9.1796875" style="14"/>
  </cols>
  <sheetData>
    <row r="1" spans="1:21" ht="37.5" x14ac:dyDescent="0.25">
      <c r="A1" s="131" t="s">
        <v>84</v>
      </c>
      <c r="B1" s="31" t="str">
        <f>'Bryn Cowlyd'!B29</f>
        <v>Application Rate</v>
      </c>
      <c r="C1" s="31" t="str">
        <f>'Bryn Cowlyd'!C29</f>
        <v>Nitrogen Addition</v>
      </c>
      <c r="D1" s="31" t="str">
        <f>'Bryn Cowlyd'!D29</f>
        <v>Phosphate Addition</v>
      </c>
      <c r="E1" s="31" t="str">
        <f>'Bryn Cowlyd'!E29</f>
        <v>Potash  Addition</v>
      </c>
      <c r="F1" s="31" t="str">
        <f>'Bryn Cowlyd'!F29</f>
        <v>Mg Oxide Addition</v>
      </c>
      <c r="G1" s="31" t="str">
        <f>'Bryn Cowlyd'!G29</f>
        <v>Copper Addition</v>
      </c>
      <c r="H1" s="31" t="str">
        <f>'Bryn Cowlyd'!H29</f>
        <v>Zinc Addition</v>
      </c>
      <c r="I1" s="31" t="str">
        <f>'Bryn Cowlyd'!I29</f>
        <v>Lead Addition</v>
      </c>
      <c r="J1" s="31" t="str">
        <f>'Bryn Cowlyd'!J29</f>
        <v>Cadmium Addition</v>
      </c>
      <c r="K1" s="31" t="str">
        <f>'Bryn Cowlyd'!K29</f>
        <v>Mercury Addition</v>
      </c>
      <c r="L1" s="31" t="str">
        <f>'Bryn Cowlyd'!L29</f>
        <v>Nickel Addition</v>
      </c>
      <c r="M1" s="31" t="str">
        <f>'Bryn Cowlyd'!M29</f>
        <v>Chromium Addition</v>
      </c>
      <c r="N1" s="31" t="str">
        <f>'Bryn Cowlyd'!N29</f>
        <v>Aluminium Addition</v>
      </c>
      <c r="O1" s="31" t="str">
        <f>'Bryn Cowlyd'!O29</f>
        <v>Iron Addition</v>
      </c>
      <c r="P1" s="31" t="str">
        <f>'Bryn Cowlyd'!P29</f>
        <v xml:space="preserve">Sodium Addition                 </v>
      </c>
      <c r="Q1" s="31" t="str">
        <f>'Bryn Cowlyd'!Q29</f>
        <v>SO3  Addition                             kg/ha</v>
      </c>
      <c r="R1" s="31" t="str">
        <f>'Bryn Cowlyd'!R29</f>
        <v xml:space="preserve">Selenium Addition </v>
      </c>
      <c r="S1" s="31" t="str">
        <f>'Bryn Cowlyd'!S29</f>
        <v xml:space="preserve">Arsenic  Addition  </v>
      </c>
      <c r="T1" s="31" t="str">
        <f>'Bryn Cowlyd'!T29</f>
        <v xml:space="preserve">Molybdenum Addition  </v>
      </c>
      <c r="U1" s="31" t="str">
        <f>'Bryn Cowlyd'!U29</f>
        <v xml:space="preserve">Fluoride Addition </v>
      </c>
    </row>
    <row r="2" spans="1:21" ht="25" x14ac:dyDescent="0.25">
      <c r="A2" s="131"/>
      <c r="B2" s="31" t="str">
        <f>'Bryn Cowlyd'!B30</f>
        <v>tonnes/ha</v>
      </c>
      <c r="C2" s="31" t="str">
        <f>'Bryn Cowlyd'!C30</f>
        <v>kg/ha</v>
      </c>
      <c r="D2" s="31" t="str">
        <f>'Bryn Cowlyd'!D30</f>
        <v>P2O5 
kg/ha</v>
      </c>
      <c r="E2" s="31" t="str">
        <f>'Bryn Cowlyd'!E30</f>
        <v>K2O 
kg/ha</v>
      </c>
      <c r="F2" s="31" t="str">
        <f>'Bryn Cowlyd'!F30</f>
        <v>MgO 
kg/ha</v>
      </c>
      <c r="G2" s="31" t="str">
        <f>'Bryn Cowlyd'!G30</f>
        <v>kg/ha</v>
      </c>
      <c r="H2" s="31" t="str">
        <f>'Bryn Cowlyd'!H30</f>
        <v>kg/ha</v>
      </c>
      <c r="I2" s="31" t="str">
        <f>'Bryn Cowlyd'!I30</f>
        <v>kg/ha</v>
      </c>
      <c r="J2" s="31" t="str">
        <f>'Bryn Cowlyd'!J30</f>
        <v>kg/ha</v>
      </c>
      <c r="K2" s="31" t="str">
        <f>'Bryn Cowlyd'!K30</f>
        <v>kg/ha</v>
      </c>
      <c r="L2" s="31" t="str">
        <f>'Bryn Cowlyd'!L30</f>
        <v>kg/ha</v>
      </c>
      <c r="M2" s="31" t="str">
        <f>'Bryn Cowlyd'!M30</f>
        <v>kg/ha</v>
      </c>
      <c r="N2" s="31" t="str">
        <f>'Bryn Cowlyd'!N30</f>
        <v>kg/ha</v>
      </c>
      <c r="O2" s="31" t="str">
        <f>'Bryn Cowlyd'!O30</f>
        <v>kg/ha</v>
      </c>
      <c r="P2" s="31" t="str">
        <f>'Bryn Cowlyd'!P30</f>
        <v>kg/ha</v>
      </c>
      <c r="Q2" s="31" t="str">
        <f>'Bryn Cowlyd'!Q30</f>
        <v>kg/ha</v>
      </c>
      <c r="R2" s="31" t="str">
        <f>'Bryn Cowlyd'!R30</f>
        <v>kg/ha</v>
      </c>
      <c r="S2" s="31" t="str">
        <f>'Bryn Cowlyd'!S30</f>
        <v>kg/ha</v>
      </c>
      <c r="T2" s="31" t="str">
        <f>'Bryn Cowlyd'!T30</f>
        <v>kg/ha</v>
      </c>
      <c r="U2" s="31" t="str">
        <f>'Bryn Cowlyd'!U30</f>
        <v>kg/ha</v>
      </c>
    </row>
    <row r="3" spans="1:21" x14ac:dyDescent="0.25">
      <c r="A3" s="29">
        <v>1</v>
      </c>
      <c r="B3" s="26">
        <f>'Bryn Cowlyd'!B31</f>
        <v>250</v>
      </c>
      <c r="C3" s="26">
        <f>'Bryn Cowlyd'!C31</f>
        <v>58.424999999999997</v>
      </c>
      <c r="D3" s="26">
        <f>'Bryn Cowlyd'!D31</f>
        <v>14.708219999999999</v>
      </c>
      <c r="E3" s="26">
        <f>'Bryn Cowlyd'!E31</f>
        <v>2.4853125</v>
      </c>
      <c r="F3" s="26">
        <f>'Bryn Cowlyd'!F31</f>
        <v>8.1200549999999989</v>
      </c>
      <c r="G3" s="26">
        <f>'Bryn Cowlyd'!G31</f>
        <v>0.13799999999999998</v>
      </c>
      <c r="H3" s="26">
        <f>'Bryn Cowlyd'!H31</f>
        <v>0.79499999999999993</v>
      </c>
      <c r="I3" s="26">
        <f>'Bryn Cowlyd'!I31</f>
        <v>4.6500000000000007E-2</v>
      </c>
      <c r="J3" s="26">
        <f>'Bryn Cowlyd'!J31</f>
        <v>8.25E-4</v>
      </c>
      <c r="K3" s="26">
        <f>'Bryn Cowlyd'!K31</f>
        <v>9.4500000000000001E-3</v>
      </c>
      <c r="L3" s="26">
        <f>'Bryn Cowlyd'!L31</f>
        <v>8.9249999999999996E-2</v>
      </c>
      <c r="M3" s="26">
        <f>'Bryn Cowlyd'!M31</f>
        <v>7.5749999999999998E-2</v>
      </c>
      <c r="N3" s="26">
        <f>'Bryn Cowlyd'!N31</f>
        <v>16.574999999999999</v>
      </c>
      <c r="O3" s="26">
        <f>'Bryn Cowlyd'!O31</f>
        <v>2842.5</v>
      </c>
      <c r="P3" s="26">
        <f>'Bryn Cowlyd'!P31</f>
        <v>0</v>
      </c>
      <c r="Q3" s="26">
        <f>'Bryn Cowlyd'!Q31</f>
        <v>83.062499999999986</v>
      </c>
      <c r="R3" s="26">
        <f>'Bryn Cowlyd'!R31</f>
        <v>0</v>
      </c>
      <c r="S3" s="26">
        <f>'Bryn Cowlyd'!S31</f>
        <v>8.5500000000000007E-2</v>
      </c>
      <c r="T3" s="26">
        <f>'Bryn Cowlyd'!T31</f>
        <v>0</v>
      </c>
      <c r="U3" s="26">
        <f>'Bryn Cowlyd'!U31</f>
        <v>0</v>
      </c>
    </row>
    <row r="4" spans="1:21" x14ac:dyDescent="0.25">
      <c r="A4" s="29">
        <v>2</v>
      </c>
      <c r="B4" s="26">
        <f>'DCWW Cefni'!B31</f>
        <v>250</v>
      </c>
      <c r="C4" s="26">
        <f>'DCWW Cefni'!C31</f>
        <v>80.600000000000009</v>
      </c>
      <c r="D4" s="26">
        <f>'DCWW Cefni'!D31</f>
        <v>25.762295000000002</v>
      </c>
      <c r="E4" s="26">
        <f>'DCWW Cefni'!E31</f>
        <v>3.2504875000000008E-4</v>
      </c>
      <c r="F4" s="26">
        <f>'DCWW Cefni'!F31</f>
        <v>7.8133249999999999</v>
      </c>
      <c r="G4" s="26">
        <f>'DCWW Cefni'!G31</f>
        <v>0.29575000000000001</v>
      </c>
      <c r="H4" s="26">
        <f>'DCWW Cefni'!H31</f>
        <v>0.20085000000000003</v>
      </c>
      <c r="I4" s="26">
        <f>'DCWW Cefni'!I31</f>
        <v>4.0300000000000009E-2</v>
      </c>
      <c r="J4" s="26">
        <f>'DCWW Cefni'!J31</f>
        <v>3.2500000000000003E-3</v>
      </c>
      <c r="K4" s="26">
        <f>'DCWW Cefni'!K31</f>
        <v>8.7100000000000007E-3</v>
      </c>
      <c r="L4" s="26">
        <f>'DCWW Cefni'!L31</f>
        <v>5.0050000000000004E-2</v>
      </c>
      <c r="M4" s="26">
        <f>'DCWW Cefni'!M31</f>
        <v>2.7950000000000003E-2</v>
      </c>
      <c r="N4" s="26">
        <f>'DCWW Cefni'!N31</f>
        <v>1430.0000000000002</v>
      </c>
      <c r="O4" s="26">
        <f>'DCWW Cefni'!O31</f>
        <v>45.760000000000005</v>
      </c>
      <c r="P4" s="26">
        <f>'DCWW Cefni'!P31</f>
        <v>0</v>
      </c>
      <c r="Q4" s="26">
        <f>'DCWW Cefni'!Q31</f>
        <v>134.87500000000003</v>
      </c>
      <c r="R4" s="26">
        <f>'DCWW Cefni'!R31</f>
        <v>0</v>
      </c>
      <c r="S4" s="26">
        <f>'DCWW Cefni'!S31</f>
        <v>7.9300000000000009E-2</v>
      </c>
      <c r="T4" s="26">
        <f>'DCWW Cefni'!T31</f>
        <v>0</v>
      </c>
      <c r="U4" s="26">
        <f>'DCWW Cefni'!U31</f>
        <v>0</v>
      </c>
    </row>
    <row r="5" spans="1:21" x14ac:dyDescent="0.25">
      <c r="A5" s="29">
        <v>3</v>
      </c>
      <c r="B5" s="26">
        <f>'Cwellyn '!B31</f>
        <v>250</v>
      </c>
      <c r="C5" s="26">
        <f>'Cwellyn '!C31</f>
        <v>115.2</v>
      </c>
      <c r="D5" s="26">
        <f>'Cwellyn '!D31</f>
        <v>53.517759999999996</v>
      </c>
      <c r="E5" s="26">
        <f>'Cwellyn '!E31</f>
        <v>3.2294000000000002E-4</v>
      </c>
      <c r="F5" s="26">
        <f>'Cwellyn '!F31</f>
        <v>6.76464</v>
      </c>
      <c r="G5" s="26">
        <f>'Cwellyn '!G31</f>
        <v>0.59279999999999999</v>
      </c>
      <c r="H5" s="26">
        <f>'Cwellyn '!H31</f>
        <v>1.952</v>
      </c>
      <c r="I5" s="26">
        <f>'Cwellyn '!I31</f>
        <v>4.9600000000000005E-2</v>
      </c>
      <c r="J5" s="26">
        <f>'Cwellyn '!J31</f>
        <v>4.7999999999999996E-3</v>
      </c>
      <c r="K5" s="26">
        <f>'Cwellyn '!K31</f>
        <v>8.7200000000000021E-3</v>
      </c>
      <c r="L5" s="26">
        <f>'Cwellyn '!L31</f>
        <v>0.1168</v>
      </c>
      <c r="M5" s="26">
        <f>'Cwellyn '!M31</f>
        <v>0.04</v>
      </c>
      <c r="N5" s="26">
        <f>'Cwellyn '!N31</f>
        <v>1408</v>
      </c>
      <c r="O5" s="26">
        <f>'Cwellyn '!O31</f>
        <v>55.6</v>
      </c>
      <c r="P5" s="26">
        <f>'Cwellyn '!P31</f>
        <v>0</v>
      </c>
      <c r="Q5" s="26">
        <f>'Cwellyn '!Q31</f>
        <v>123.80000000000001</v>
      </c>
      <c r="R5" s="26">
        <f>'Cwellyn '!R31</f>
        <v>0</v>
      </c>
      <c r="S5" s="26">
        <f>'Cwellyn '!S31</f>
        <v>0.18480000000000002</v>
      </c>
      <c r="T5" s="26">
        <f>'Cwellyn '!T31</f>
        <v>0</v>
      </c>
      <c r="U5" s="26">
        <f>'Cwellyn '!U31</f>
        <v>0</v>
      </c>
    </row>
    <row r="6" spans="1:21" x14ac:dyDescent="0.25">
      <c r="A6" s="29">
        <v>4</v>
      </c>
      <c r="B6" s="26">
        <f>Dolbenmaen!B31</f>
        <v>250</v>
      </c>
      <c r="C6" s="26">
        <f>Dolbenmaen!C31</f>
        <v>76.3</v>
      </c>
      <c r="D6" s="26">
        <f>Dolbenmaen!D31</f>
        <v>21.649949999999997</v>
      </c>
      <c r="E6" s="26">
        <f>Dolbenmaen!E31</f>
        <v>2.56424E-4</v>
      </c>
      <c r="F6" s="26">
        <f>Dolbenmaen!F31</f>
        <v>4.770065999999999</v>
      </c>
      <c r="G6" s="26">
        <f>Dolbenmaen!G31</f>
        <v>0.29189999999999999</v>
      </c>
      <c r="H6" s="26">
        <f>Dolbenmaen!H31</f>
        <v>2.0579999999999994</v>
      </c>
      <c r="I6" s="26">
        <f>Dolbenmaen!I31</f>
        <v>4.3400000000000001E-2</v>
      </c>
      <c r="J6" s="26">
        <f>Dolbenmaen!J31</f>
        <v>1.3719999999999998E-2</v>
      </c>
      <c r="K6" s="26">
        <f>Dolbenmaen!K31</f>
        <v>0</v>
      </c>
      <c r="L6" s="26">
        <f>Dolbenmaen!L31</f>
        <v>7.9799999999999982E-2</v>
      </c>
      <c r="M6" s="26">
        <f>Dolbenmaen!M31</f>
        <v>3.2409999999999994E-2</v>
      </c>
      <c r="N6" s="26">
        <f>Dolbenmaen!N31</f>
        <v>1812.9999999999998</v>
      </c>
      <c r="O6" s="26">
        <f>Dolbenmaen!O31</f>
        <v>50.189999999999991</v>
      </c>
      <c r="P6" s="26">
        <f>Dolbenmaen!P31</f>
        <v>0</v>
      </c>
      <c r="Q6" s="26">
        <f>Dolbenmaen!Q31</f>
        <v>180.25</v>
      </c>
      <c r="R6" s="26">
        <f>Dolbenmaen!R31</f>
        <v>0</v>
      </c>
      <c r="S6" s="26">
        <f>Dolbenmaen!S31</f>
        <v>0.16939999999999997</v>
      </c>
      <c r="T6" s="26">
        <f>Dolbenmaen!T31</f>
        <v>0</v>
      </c>
      <c r="U6" s="26">
        <f>Dolbenmaen!U31</f>
        <v>0</v>
      </c>
    </row>
    <row r="7" spans="1:21" x14ac:dyDescent="0.25">
      <c r="A7" s="29">
        <v>5</v>
      </c>
      <c r="B7" s="26">
        <f>Gwastadgoed!B31</f>
        <v>250</v>
      </c>
      <c r="C7" s="26">
        <f>Gwastadgoed!C31</f>
        <v>120.31500000000001</v>
      </c>
      <c r="D7" s="26">
        <f>Gwastadgoed!D31</f>
        <v>20.728967999999995</v>
      </c>
      <c r="E7" s="26">
        <f>Gwastadgoed!E31</f>
        <v>2.0442824999999999E-4</v>
      </c>
      <c r="F7" s="26">
        <f>Gwastadgoed!F31</f>
        <v>13.643682</v>
      </c>
      <c r="G7" s="26">
        <f>Gwastadgoed!G31</f>
        <v>0.19149000000000002</v>
      </c>
      <c r="H7" s="26">
        <f>Gwastadgoed!H31</f>
        <v>2.4375</v>
      </c>
      <c r="I7" s="26">
        <f>Gwastadgoed!I31</f>
        <v>0.44265000000000004</v>
      </c>
      <c r="J7" s="26">
        <f>Gwastadgoed!J31</f>
        <v>2.1450000000000002E-3</v>
      </c>
      <c r="K7" s="26">
        <f>Gwastadgoed!K31</f>
        <v>9.9450000000000007E-3</v>
      </c>
      <c r="L7" s="26">
        <f>Gwastadgoed!L31</f>
        <v>0.69615000000000005</v>
      </c>
      <c r="M7" s="26">
        <f>Gwastadgoed!M31</f>
        <v>0.23985000000000001</v>
      </c>
      <c r="N7" s="26">
        <f>Gwastadgoed!N31</f>
        <v>62.010000000000005</v>
      </c>
      <c r="O7" s="26">
        <f>Gwastadgoed!O31</f>
        <v>7663.5</v>
      </c>
      <c r="P7" s="26">
        <f>Gwastadgoed!P31</f>
        <v>0</v>
      </c>
      <c r="Q7" s="26">
        <f>Gwastadgoed!Q31</f>
        <v>8875.0000000000018</v>
      </c>
      <c r="R7" s="26">
        <f>Gwastadgoed!R31</f>
        <v>0</v>
      </c>
      <c r="S7" s="26">
        <f>Gwastadgoed!S31</f>
        <v>0.30614999999999998</v>
      </c>
      <c r="T7" s="26">
        <f>Gwastadgoed!T31</f>
        <v>0</v>
      </c>
      <c r="U7" s="26">
        <f>Gwastadgoed!U31</f>
        <v>0</v>
      </c>
    </row>
    <row r="8" spans="1:21" x14ac:dyDescent="0.25">
      <c r="A8" s="29">
        <v>6</v>
      </c>
      <c r="B8" s="26">
        <f>'Llyn Conwy'!B31</f>
        <v>250</v>
      </c>
      <c r="C8" s="26">
        <f>'Llyn Conwy'!C31</f>
        <v>105.57000000000001</v>
      </c>
      <c r="D8" s="26">
        <f>'Llyn Conwy'!D31</f>
        <v>26.833910250000006</v>
      </c>
      <c r="E8" s="26">
        <f>'Llyn Conwy'!E31</f>
        <v>1.8499762500000003E-4</v>
      </c>
      <c r="F8" s="26">
        <f>'Llyn Conwy'!F31</f>
        <v>8.5801499999999997</v>
      </c>
      <c r="G8" s="26">
        <f>'Llyn Conwy'!G31</f>
        <v>0.13455000000000003</v>
      </c>
      <c r="H8" s="26">
        <f>'Llyn Conwy'!H31</f>
        <v>4.4677500000000006</v>
      </c>
      <c r="I8" s="26">
        <f>'Llyn Conwy'!I31</f>
        <v>0.53647500000000015</v>
      </c>
      <c r="J8" s="26">
        <f>'Llyn Conwy'!J31</f>
        <v>2.5875E-3</v>
      </c>
      <c r="K8" s="26">
        <f>'Llyn Conwy'!K31</f>
        <v>1.0005000000000002E-2</v>
      </c>
      <c r="L8" s="26">
        <f>'Llyn Conwy'!L31</f>
        <v>0.48645000000000005</v>
      </c>
      <c r="M8" s="26">
        <f>'Llyn Conwy'!M31</f>
        <v>0.35362500000000002</v>
      </c>
      <c r="N8" s="26">
        <f>'Llyn Conwy'!N31</f>
        <v>50.197500000000005</v>
      </c>
      <c r="O8" s="26">
        <f>'Llyn Conwy'!O31</f>
        <v>7210.5000000000009</v>
      </c>
      <c r="P8" s="26">
        <f>'Llyn Conwy'!P31</f>
        <v>0</v>
      </c>
      <c r="Q8" s="26">
        <f>'Llyn Conwy'!Q31</f>
        <v>196.21875</v>
      </c>
      <c r="R8" s="26">
        <f>'Llyn Conwy'!R31</f>
        <v>0</v>
      </c>
      <c r="S8" s="26">
        <f>'Llyn Conwy'!S31</f>
        <v>0.53820000000000012</v>
      </c>
      <c r="T8" s="26">
        <f>'Llyn Conwy'!T31</f>
        <v>0</v>
      </c>
      <c r="U8" s="26">
        <f>'Llyn Conwy'!U31</f>
        <v>0</v>
      </c>
    </row>
    <row r="9" spans="1:21" x14ac:dyDescent="0.25">
      <c r="A9" s="29">
        <v>7</v>
      </c>
      <c r="B9" s="26">
        <f>'Mynydd Llandegai'!B31</f>
        <v>250</v>
      </c>
      <c r="C9" s="26">
        <f>'Mynydd Llandegai'!C31</f>
        <v>84.749999999999986</v>
      </c>
      <c r="D9" s="26">
        <f>'Mynydd Llandegai'!D31</f>
        <v>54.124874999999996</v>
      </c>
      <c r="E9" s="26">
        <f>'Mynydd Llandegai'!E31</f>
        <v>2.8648874999999998E-4</v>
      </c>
      <c r="F9" s="26">
        <f>'Mynydd Llandegai'!F31</f>
        <v>8.8537199999999974</v>
      </c>
      <c r="G9" s="26">
        <f>'Mynydd Llandegai'!G31</f>
        <v>0.53399999999999992</v>
      </c>
      <c r="H9" s="26">
        <f>'Mynydd Llandegai'!H31</f>
        <v>0.9</v>
      </c>
      <c r="I9" s="26">
        <f>'Mynydd Llandegai'!I31</f>
        <v>4.6500000000000007E-2</v>
      </c>
      <c r="J9" s="26">
        <f>'Mynydd Llandegai'!J31</f>
        <v>3.5999999999999999E-3</v>
      </c>
      <c r="K9" s="26">
        <f>'Mynydd Llandegai'!K31</f>
        <v>9.074999999999998E-3</v>
      </c>
      <c r="L9" s="26">
        <f>'Mynydd Llandegai'!L31</f>
        <v>3.8249999999999992E-2</v>
      </c>
      <c r="M9" s="26">
        <f>'Mynydd Llandegai'!M31</f>
        <v>3.8700000000000005E-2</v>
      </c>
      <c r="N9" s="26">
        <f>'Mynydd Llandegai'!N31</f>
        <v>1185</v>
      </c>
      <c r="O9" s="26">
        <f>'Mynydd Llandegai'!O31</f>
        <v>44.324999999999996</v>
      </c>
      <c r="P9" s="26">
        <f>'Mynydd Llandegai'!P31</f>
        <v>0</v>
      </c>
      <c r="Q9" s="26">
        <f>'Mynydd Llandegai'!Q31</f>
        <v>98.250000000000014</v>
      </c>
      <c r="R9" s="26">
        <f>'Mynydd Llandegai'!R31</f>
        <v>0</v>
      </c>
      <c r="S9" s="26">
        <f>'Mynydd Llandegai'!S31</f>
        <v>0.13125000000000001</v>
      </c>
      <c r="T9" s="26">
        <f>'Mynydd Llandegai'!T31</f>
        <v>0</v>
      </c>
      <c r="U9" s="26">
        <f>'Mynydd Llandegai'!U31</f>
        <v>0</v>
      </c>
    </row>
    <row r="10" spans="1:21" x14ac:dyDescent="0.25">
      <c r="A10" s="29">
        <v>8</v>
      </c>
      <c r="B10" s="26" t="e">
        <f>#REF!</f>
        <v>#REF!</v>
      </c>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row>
    <row r="11" spans="1:21" x14ac:dyDescent="0.25">
      <c r="A11" s="29">
        <v>9</v>
      </c>
      <c r="B11" s="26" t="e">
        <f>#REF!</f>
        <v>#REF!</v>
      </c>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row>
    <row r="12" spans="1:21" x14ac:dyDescent="0.25">
      <c r="A12" s="29">
        <v>10</v>
      </c>
      <c r="B12" s="26" t="e">
        <f>#REF!</f>
        <v>#REF!</v>
      </c>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row>
    <row r="13" spans="1:21" s="72" customFormat="1" ht="15.5" x14ac:dyDescent="0.35">
      <c r="A13" s="70" t="s">
        <v>85</v>
      </c>
      <c r="B13" s="71" t="e">
        <f>SUM(B3:B12)</f>
        <v>#REF!</v>
      </c>
      <c r="C13" s="71" t="e">
        <f t="shared" ref="C13:U13" si="0">SUM(C3:C12)</f>
        <v>#REF!</v>
      </c>
      <c r="D13" s="71" t="e">
        <f t="shared" si="0"/>
        <v>#REF!</v>
      </c>
      <c r="E13" s="71" t="e">
        <f t="shared" si="0"/>
        <v>#REF!</v>
      </c>
      <c r="F13" s="71" t="e">
        <f t="shared" si="0"/>
        <v>#REF!</v>
      </c>
      <c r="G13" s="71" t="e">
        <f t="shared" si="0"/>
        <v>#REF!</v>
      </c>
      <c r="H13" s="71" t="e">
        <f t="shared" si="0"/>
        <v>#REF!</v>
      </c>
      <c r="I13" s="71" t="e">
        <f t="shared" si="0"/>
        <v>#REF!</v>
      </c>
      <c r="J13" s="71" t="e">
        <f t="shared" si="0"/>
        <v>#REF!</v>
      </c>
      <c r="K13" s="71" t="e">
        <f t="shared" si="0"/>
        <v>#REF!</v>
      </c>
      <c r="L13" s="71" t="e">
        <f t="shared" si="0"/>
        <v>#REF!</v>
      </c>
      <c r="M13" s="71" t="e">
        <f t="shared" si="0"/>
        <v>#REF!</v>
      </c>
      <c r="N13" s="71" t="e">
        <f t="shared" si="0"/>
        <v>#REF!</v>
      </c>
      <c r="O13" s="71" t="e">
        <f t="shared" si="0"/>
        <v>#REF!</v>
      </c>
      <c r="P13" s="71" t="e">
        <f t="shared" si="0"/>
        <v>#REF!</v>
      </c>
      <c r="Q13" s="71" t="e">
        <f t="shared" si="0"/>
        <v>#REF!</v>
      </c>
      <c r="R13" s="71" t="e">
        <f t="shared" si="0"/>
        <v>#REF!</v>
      </c>
      <c r="S13" s="71" t="e">
        <f t="shared" si="0"/>
        <v>#REF!</v>
      </c>
      <c r="T13" s="71" t="e">
        <f t="shared" si="0"/>
        <v>#REF!</v>
      </c>
      <c r="U13" s="71" t="e">
        <f t="shared" si="0"/>
        <v>#REF!</v>
      </c>
    </row>
  </sheetData>
  <mergeCells count="1">
    <mergeCell ref="A1:A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7265625" style="14" customWidth="1"/>
    <col min="6" max="14" width="9.1796875" style="14"/>
    <col min="15" max="15" width="9.7265625" style="14" bestFit="1" customWidth="1"/>
    <col min="16" max="20" width="9.1796875" style="14"/>
    <col min="21" max="21" width="10" style="14" bestFit="1" customWidth="1"/>
    <col min="22" max="16384" width="9.1796875" style="14"/>
  </cols>
  <sheetData>
    <row r="1" spans="1:22" s="73" customFormat="1" ht="37.5" x14ac:dyDescent="0.35">
      <c r="A1" s="132" t="s">
        <v>84</v>
      </c>
      <c r="B1" s="27" t="s">
        <v>152</v>
      </c>
      <c r="C1" s="28" t="str">
        <f>'Bryn Cowlyd'!B29</f>
        <v>Application Rate</v>
      </c>
      <c r="D1" s="28" t="str">
        <f>'Bryn Cowlyd'!C29</f>
        <v>Nitrogen Addition</v>
      </c>
      <c r="E1" s="28" t="str">
        <f>'Bryn Cowlyd'!D29</f>
        <v>Phosphate Addition</v>
      </c>
      <c r="F1" s="28" t="str">
        <f>'Bryn Cowlyd'!E29</f>
        <v>Potash  Addition</v>
      </c>
      <c r="G1" s="28" t="str">
        <f>'Bryn Cowlyd'!F29</f>
        <v>Mg Oxide Addition</v>
      </c>
      <c r="H1" s="28" t="str">
        <f>'Bryn Cowlyd'!G29</f>
        <v>Copper Addition</v>
      </c>
      <c r="I1" s="28" t="str">
        <f>'Bryn Cowlyd'!H29</f>
        <v>Zinc Addition</v>
      </c>
      <c r="J1" s="28" t="str">
        <f>'Bryn Cowlyd'!I29</f>
        <v>Lead Addition</v>
      </c>
      <c r="K1" s="28" t="str">
        <f>'Bryn Cowlyd'!J29</f>
        <v>Cadmium Addition</v>
      </c>
      <c r="L1" s="28" t="str">
        <f>'Bryn Cowlyd'!K29</f>
        <v>Mercury Addition</v>
      </c>
      <c r="M1" s="28" t="str">
        <f>'Bryn Cowlyd'!L29</f>
        <v>Nickel Addition</v>
      </c>
      <c r="N1" s="28" t="str">
        <f>'Bryn Cowlyd'!M29</f>
        <v>Chromium Addition</v>
      </c>
      <c r="O1" s="28" t="str">
        <f>'Bryn Cowlyd'!N29</f>
        <v>Aluminium Addition</v>
      </c>
      <c r="P1" s="28" t="str">
        <f>'Bryn Cowlyd'!O29</f>
        <v>Iron Addition</v>
      </c>
      <c r="Q1" s="28" t="str">
        <f>'Bryn Cowlyd'!P29</f>
        <v xml:space="preserve">Sodium Addition                 </v>
      </c>
      <c r="R1" s="28" t="str">
        <f>'Bryn Cowlyd'!Q29</f>
        <v>SO3  Addition                             kg/ha</v>
      </c>
      <c r="S1" s="28" t="str">
        <f>'Bryn Cowlyd'!R29</f>
        <v xml:space="preserve">Selenium Addition </v>
      </c>
      <c r="T1" s="28" t="str">
        <f>'Bryn Cowlyd'!S29</f>
        <v xml:space="preserve">Arsenic  Addition  </v>
      </c>
      <c r="U1" s="28" t="str">
        <f>'Bryn Cowlyd'!T29</f>
        <v xml:space="preserve">Molybdenum Addition  </v>
      </c>
      <c r="V1" s="28" t="str">
        <f>'Bryn Cowlyd'!U29</f>
        <v xml:space="preserve">Fluoride Addition </v>
      </c>
    </row>
    <row r="2" spans="1:22" s="73" customFormat="1" ht="25" x14ac:dyDescent="0.35">
      <c r="A2" s="132"/>
      <c r="B2" s="25" t="s">
        <v>46</v>
      </c>
      <c r="C2" s="28" t="str">
        <f>'Bryn Cowlyd'!B30</f>
        <v>tonnes/ha</v>
      </c>
      <c r="D2" s="28" t="str">
        <f>'Bryn Cowlyd'!C30</f>
        <v>kg/ha</v>
      </c>
      <c r="E2" s="28" t="str">
        <f>'Bryn Cowlyd'!D30</f>
        <v>P2O5 
kg/ha</v>
      </c>
      <c r="F2" s="28" t="str">
        <f>'Bryn Cowlyd'!E30</f>
        <v>K2O 
kg/ha</v>
      </c>
      <c r="G2" s="28" t="str">
        <f>'Bryn Cowlyd'!F30</f>
        <v>MgO 
kg/ha</v>
      </c>
      <c r="H2" s="28" t="str">
        <f>'Bryn Cowlyd'!G30</f>
        <v>kg/ha</v>
      </c>
      <c r="I2" s="28" t="str">
        <f>'Bryn Cowlyd'!H30</f>
        <v>kg/ha</v>
      </c>
      <c r="J2" s="28" t="str">
        <f>'Bryn Cowlyd'!I30</f>
        <v>kg/ha</v>
      </c>
      <c r="K2" s="28" t="str">
        <f>'Bryn Cowlyd'!J30</f>
        <v>kg/ha</v>
      </c>
      <c r="L2" s="28" t="str">
        <f>'Bryn Cowlyd'!K30</f>
        <v>kg/ha</v>
      </c>
      <c r="M2" s="28" t="str">
        <f>'Bryn Cowlyd'!L30</f>
        <v>kg/ha</v>
      </c>
      <c r="N2" s="28" t="str">
        <f>'Bryn Cowlyd'!M30</f>
        <v>kg/ha</v>
      </c>
      <c r="O2" s="28" t="str">
        <f>'Bryn Cowlyd'!N30</f>
        <v>kg/ha</v>
      </c>
      <c r="P2" s="28" t="str">
        <f>'Bryn Cowlyd'!O30</f>
        <v>kg/ha</v>
      </c>
      <c r="Q2" s="28" t="str">
        <f>'Bryn Cowlyd'!P30</f>
        <v>kg/ha</v>
      </c>
      <c r="R2" s="28" t="str">
        <f>'Bryn Cowlyd'!Q30</f>
        <v>kg/ha</v>
      </c>
      <c r="S2" s="28" t="str">
        <f>'Bryn Cowlyd'!R30</f>
        <v>kg/ha</v>
      </c>
      <c r="T2" s="28" t="str">
        <f>'Bryn Cowlyd'!S30</f>
        <v>kg/ha</v>
      </c>
      <c r="U2" s="28" t="str">
        <f>'Bryn Cowlyd'!T30</f>
        <v>kg/ha</v>
      </c>
      <c r="V2" s="28" t="str">
        <f>'Bryn Cowlyd'!U30</f>
        <v>kg/ha</v>
      </c>
    </row>
    <row r="3" spans="1:22" x14ac:dyDescent="0.25">
      <c r="A3" s="29">
        <v>1</v>
      </c>
      <c r="B3" s="81"/>
      <c r="C3" s="26">
        <f>'Bryn Cowlyd'!B31</f>
        <v>250</v>
      </c>
      <c r="D3" s="26">
        <f>'Bryn Cowlyd'!C31</f>
        <v>58.424999999999997</v>
      </c>
      <c r="E3" s="26">
        <f>'Bryn Cowlyd'!D31</f>
        <v>14.708219999999999</v>
      </c>
      <c r="F3" s="26">
        <f>'Bryn Cowlyd'!E31</f>
        <v>2.4853125</v>
      </c>
      <c r="G3" s="26">
        <f>'Bryn Cowlyd'!F31</f>
        <v>8.1200549999999989</v>
      </c>
      <c r="H3" s="26">
        <f>'Bryn Cowlyd'!G31</f>
        <v>0.13799999999999998</v>
      </c>
      <c r="I3" s="26">
        <f>'Bryn Cowlyd'!H31</f>
        <v>0.79499999999999993</v>
      </c>
      <c r="J3" s="26">
        <f>'Bryn Cowlyd'!I31</f>
        <v>4.6500000000000007E-2</v>
      </c>
      <c r="K3" s="26">
        <f>'Bryn Cowlyd'!J31</f>
        <v>8.25E-4</v>
      </c>
      <c r="L3" s="26">
        <f>'Bryn Cowlyd'!K31</f>
        <v>9.4500000000000001E-3</v>
      </c>
      <c r="M3" s="26">
        <f>'Bryn Cowlyd'!L31</f>
        <v>8.9249999999999996E-2</v>
      </c>
      <c r="N3" s="26">
        <f>'Bryn Cowlyd'!M31</f>
        <v>7.5749999999999998E-2</v>
      </c>
      <c r="O3" s="26">
        <f>'Bryn Cowlyd'!N31</f>
        <v>16.574999999999999</v>
      </c>
      <c r="P3" s="26">
        <f>'Bryn Cowlyd'!O31</f>
        <v>2842.5</v>
      </c>
      <c r="Q3" s="26">
        <f>'Bryn Cowlyd'!P31</f>
        <v>0</v>
      </c>
      <c r="R3" s="26">
        <f>'Bryn Cowlyd'!Q31</f>
        <v>83.062499999999986</v>
      </c>
      <c r="S3" s="26">
        <f>'Bryn Cowlyd'!R31</f>
        <v>0</v>
      </c>
      <c r="T3" s="26">
        <f>'Bryn Cowlyd'!S31</f>
        <v>8.5500000000000007E-2</v>
      </c>
      <c r="U3" s="26">
        <f>'Bryn Cowlyd'!T31</f>
        <v>0</v>
      </c>
      <c r="V3" s="26">
        <f>'Bryn Cowlyd'!U31</f>
        <v>0</v>
      </c>
    </row>
    <row r="4" spans="1:22" x14ac:dyDescent="0.25">
      <c r="A4" s="29">
        <v>2</v>
      </c>
      <c r="B4" s="81"/>
      <c r="C4" s="26">
        <f>'DCWW Cefni'!B31</f>
        <v>250</v>
      </c>
      <c r="D4" s="26">
        <f>'DCWW Cefni'!C31</f>
        <v>80.600000000000009</v>
      </c>
      <c r="E4" s="26">
        <f>'DCWW Cefni'!D31</f>
        <v>25.762295000000002</v>
      </c>
      <c r="F4" s="26">
        <f>'DCWW Cefni'!E31</f>
        <v>3.2504875000000008E-4</v>
      </c>
      <c r="G4" s="26">
        <f>'DCWW Cefni'!F31</f>
        <v>7.8133249999999999</v>
      </c>
      <c r="H4" s="26">
        <f>'DCWW Cefni'!G31</f>
        <v>0.29575000000000001</v>
      </c>
      <c r="I4" s="26">
        <f>'DCWW Cefni'!H31</f>
        <v>0.20085000000000003</v>
      </c>
      <c r="J4" s="26">
        <f>'DCWW Cefni'!I31</f>
        <v>4.0300000000000009E-2</v>
      </c>
      <c r="K4" s="26">
        <f>'DCWW Cefni'!J31</f>
        <v>3.2500000000000003E-3</v>
      </c>
      <c r="L4" s="26">
        <f>'DCWW Cefni'!K31</f>
        <v>8.7100000000000007E-3</v>
      </c>
      <c r="M4" s="26">
        <f>'DCWW Cefni'!L31</f>
        <v>5.0050000000000004E-2</v>
      </c>
      <c r="N4" s="26">
        <f>'DCWW Cefni'!M31</f>
        <v>2.7950000000000003E-2</v>
      </c>
      <c r="O4" s="26">
        <f>'DCWW Cefni'!N31</f>
        <v>1430.0000000000002</v>
      </c>
      <c r="P4" s="26">
        <f>'DCWW Cefni'!O31</f>
        <v>45.760000000000005</v>
      </c>
      <c r="Q4" s="26">
        <f>'DCWW Cefni'!P31</f>
        <v>0</v>
      </c>
      <c r="R4" s="26">
        <f>'DCWW Cefni'!Q31</f>
        <v>134.87500000000003</v>
      </c>
      <c r="S4" s="26">
        <f>'DCWW Cefni'!R31</f>
        <v>0</v>
      </c>
      <c r="T4" s="26">
        <f>'DCWW Cefni'!S31</f>
        <v>7.9300000000000009E-2</v>
      </c>
      <c r="U4" s="26">
        <f>'DCWW Cefni'!T31</f>
        <v>0</v>
      </c>
      <c r="V4" s="26">
        <f>'DCWW Cefni'!U31</f>
        <v>0</v>
      </c>
    </row>
    <row r="5" spans="1:22" x14ac:dyDescent="0.25">
      <c r="A5" s="29">
        <v>3</v>
      </c>
      <c r="B5" s="81"/>
      <c r="C5" s="26">
        <f>'Cwellyn '!B31</f>
        <v>250</v>
      </c>
      <c r="D5" s="26">
        <f>'Cwellyn '!C31</f>
        <v>115.2</v>
      </c>
      <c r="E5" s="26">
        <f>'Cwellyn '!D31</f>
        <v>53.517759999999996</v>
      </c>
      <c r="F5" s="26">
        <f>'Cwellyn '!E31</f>
        <v>3.2294000000000002E-4</v>
      </c>
      <c r="G5" s="26">
        <f>'Cwellyn '!F31</f>
        <v>6.76464</v>
      </c>
      <c r="H5" s="26">
        <f>'Cwellyn '!G31</f>
        <v>0.59279999999999999</v>
      </c>
      <c r="I5" s="26">
        <f>'Cwellyn '!H31</f>
        <v>1.952</v>
      </c>
      <c r="J5" s="26">
        <f>'Cwellyn '!I31</f>
        <v>4.9600000000000005E-2</v>
      </c>
      <c r="K5" s="26">
        <f>'Cwellyn '!J31</f>
        <v>4.7999999999999996E-3</v>
      </c>
      <c r="L5" s="26">
        <f>'Cwellyn '!K31</f>
        <v>8.7200000000000021E-3</v>
      </c>
      <c r="M5" s="26">
        <f>'Cwellyn '!L31</f>
        <v>0.1168</v>
      </c>
      <c r="N5" s="26">
        <f>'Cwellyn '!M31</f>
        <v>0.04</v>
      </c>
      <c r="O5" s="26">
        <f>'Cwellyn '!N31</f>
        <v>1408</v>
      </c>
      <c r="P5" s="26">
        <f>'Cwellyn '!O31</f>
        <v>55.6</v>
      </c>
      <c r="Q5" s="26">
        <f>'Cwellyn '!P31</f>
        <v>0</v>
      </c>
      <c r="R5" s="26">
        <f>'Cwellyn '!Q31</f>
        <v>123.80000000000001</v>
      </c>
      <c r="S5" s="26">
        <f>'Cwellyn '!R31</f>
        <v>0</v>
      </c>
      <c r="T5" s="26">
        <f>'Cwellyn '!S31</f>
        <v>0.18480000000000002</v>
      </c>
      <c r="U5" s="26">
        <f>'Cwellyn '!T31</f>
        <v>0</v>
      </c>
      <c r="V5" s="26">
        <f>'Cwellyn '!U31</f>
        <v>0</v>
      </c>
    </row>
    <row r="6" spans="1:22" x14ac:dyDescent="0.25">
      <c r="A6" s="29">
        <v>4</v>
      </c>
      <c r="B6" s="81"/>
      <c r="C6" s="26">
        <f>Dolbenmaen!B31</f>
        <v>250</v>
      </c>
      <c r="D6" s="26">
        <f>Dolbenmaen!C31</f>
        <v>76.3</v>
      </c>
      <c r="E6" s="26">
        <f>Dolbenmaen!D31</f>
        <v>21.649949999999997</v>
      </c>
      <c r="F6" s="26">
        <f>Dolbenmaen!E31</f>
        <v>2.56424E-4</v>
      </c>
      <c r="G6" s="26">
        <f>Dolbenmaen!F31</f>
        <v>4.770065999999999</v>
      </c>
      <c r="H6" s="26">
        <f>Dolbenmaen!G31</f>
        <v>0.29189999999999999</v>
      </c>
      <c r="I6" s="26">
        <f>Dolbenmaen!H31</f>
        <v>2.0579999999999994</v>
      </c>
      <c r="J6" s="26">
        <f>Dolbenmaen!I31</f>
        <v>4.3400000000000001E-2</v>
      </c>
      <c r="K6" s="26">
        <f>Dolbenmaen!J31</f>
        <v>1.3719999999999998E-2</v>
      </c>
      <c r="L6" s="26">
        <f>Dolbenmaen!K31</f>
        <v>0</v>
      </c>
      <c r="M6" s="26">
        <f>Dolbenmaen!L31</f>
        <v>7.9799999999999982E-2</v>
      </c>
      <c r="N6" s="26">
        <f>Dolbenmaen!M31</f>
        <v>3.2409999999999994E-2</v>
      </c>
      <c r="O6" s="26">
        <f>Dolbenmaen!N31</f>
        <v>1812.9999999999998</v>
      </c>
      <c r="P6" s="26">
        <f>Dolbenmaen!O31</f>
        <v>50.189999999999991</v>
      </c>
      <c r="Q6" s="26">
        <f>Dolbenmaen!P31</f>
        <v>0</v>
      </c>
      <c r="R6" s="26">
        <f>Dolbenmaen!Q31</f>
        <v>180.25</v>
      </c>
      <c r="S6" s="26">
        <f>Dolbenmaen!R31</f>
        <v>0</v>
      </c>
      <c r="T6" s="26">
        <f>Dolbenmaen!S31</f>
        <v>0.16939999999999997</v>
      </c>
      <c r="U6" s="26">
        <f>Dolbenmaen!T31</f>
        <v>0</v>
      </c>
      <c r="V6" s="26">
        <f>Dolbenmaen!U31</f>
        <v>0</v>
      </c>
    </row>
    <row r="7" spans="1:22" x14ac:dyDescent="0.25">
      <c r="A7" s="29">
        <v>5</v>
      </c>
      <c r="B7" s="81"/>
      <c r="C7" s="26">
        <f>Gwastadgoed!B31</f>
        <v>250</v>
      </c>
      <c r="D7" s="26">
        <f>Gwastadgoed!C31</f>
        <v>120.31500000000001</v>
      </c>
      <c r="E7" s="26">
        <f>Gwastadgoed!D31</f>
        <v>20.728967999999995</v>
      </c>
      <c r="F7" s="26">
        <f>Gwastadgoed!E31</f>
        <v>2.0442824999999999E-4</v>
      </c>
      <c r="G7" s="26">
        <f>Gwastadgoed!F31</f>
        <v>13.643682</v>
      </c>
      <c r="H7" s="26">
        <f>Gwastadgoed!G31</f>
        <v>0.19149000000000002</v>
      </c>
      <c r="I7" s="26">
        <f>Gwastadgoed!H31</f>
        <v>2.4375</v>
      </c>
      <c r="J7" s="26">
        <f>Gwastadgoed!I31</f>
        <v>0.44265000000000004</v>
      </c>
      <c r="K7" s="26">
        <f>Gwastadgoed!J31</f>
        <v>2.1450000000000002E-3</v>
      </c>
      <c r="L7" s="26">
        <f>Gwastadgoed!K31</f>
        <v>9.9450000000000007E-3</v>
      </c>
      <c r="M7" s="26">
        <f>Gwastadgoed!L31</f>
        <v>0.69615000000000005</v>
      </c>
      <c r="N7" s="26">
        <f>Gwastadgoed!M31</f>
        <v>0.23985000000000001</v>
      </c>
      <c r="O7" s="26">
        <f>Gwastadgoed!N31</f>
        <v>62.010000000000005</v>
      </c>
      <c r="P7" s="26">
        <f>Gwastadgoed!O31</f>
        <v>7663.5</v>
      </c>
      <c r="Q7" s="26">
        <f>Gwastadgoed!P31</f>
        <v>0</v>
      </c>
      <c r="R7" s="26">
        <f>Gwastadgoed!Q31</f>
        <v>8875.0000000000018</v>
      </c>
      <c r="S7" s="26">
        <f>Gwastadgoed!R31</f>
        <v>0</v>
      </c>
      <c r="T7" s="26">
        <f>Gwastadgoed!S31</f>
        <v>0.30614999999999998</v>
      </c>
      <c r="U7" s="26">
        <f>Gwastadgoed!T31</f>
        <v>0</v>
      </c>
      <c r="V7" s="26">
        <f>Gwastadgoed!U31</f>
        <v>0</v>
      </c>
    </row>
    <row r="8" spans="1:22" x14ac:dyDescent="0.25">
      <c r="A8" s="29">
        <v>6</v>
      </c>
      <c r="B8" s="81"/>
      <c r="C8" s="26">
        <f>'Llyn Conwy'!B31</f>
        <v>250</v>
      </c>
      <c r="D8" s="26">
        <f>'Llyn Conwy'!C31</f>
        <v>105.57000000000001</v>
      </c>
      <c r="E8" s="26">
        <f>'Llyn Conwy'!D31</f>
        <v>26.833910250000006</v>
      </c>
      <c r="F8" s="26">
        <f>'Llyn Conwy'!E31</f>
        <v>1.8499762500000003E-4</v>
      </c>
      <c r="G8" s="26">
        <f>'Llyn Conwy'!F31</f>
        <v>8.5801499999999997</v>
      </c>
      <c r="H8" s="26">
        <f>'Llyn Conwy'!G31</f>
        <v>0.13455000000000003</v>
      </c>
      <c r="I8" s="26">
        <f>'Llyn Conwy'!H31</f>
        <v>4.4677500000000006</v>
      </c>
      <c r="J8" s="26">
        <f>'Llyn Conwy'!I31</f>
        <v>0.53647500000000015</v>
      </c>
      <c r="K8" s="26">
        <f>'Llyn Conwy'!J31</f>
        <v>2.5875E-3</v>
      </c>
      <c r="L8" s="26">
        <f>'Llyn Conwy'!K31</f>
        <v>1.0005000000000002E-2</v>
      </c>
      <c r="M8" s="26">
        <f>'Llyn Conwy'!L31</f>
        <v>0.48645000000000005</v>
      </c>
      <c r="N8" s="26">
        <f>'Llyn Conwy'!M31</f>
        <v>0.35362500000000002</v>
      </c>
      <c r="O8" s="26">
        <f>'Llyn Conwy'!N31</f>
        <v>50.197500000000005</v>
      </c>
      <c r="P8" s="26">
        <f>'Llyn Conwy'!O31</f>
        <v>7210.5000000000009</v>
      </c>
      <c r="Q8" s="26">
        <f>'Llyn Conwy'!P31</f>
        <v>0</v>
      </c>
      <c r="R8" s="26">
        <f>'Llyn Conwy'!Q31</f>
        <v>196.21875</v>
      </c>
      <c r="S8" s="26">
        <f>'Llyn Conwy'!R31</f>
        <v>0</v>
      </c>
      <c r="T8" s="26">
        <f>'Llyn Conwy'!S31</f>
        <v>0.53820000000000012</v>
      </c>
      <c r="U8" s="26">
        <f>'Llyn Conwy'!T31</f>
        <v>0</v>
      </c>
      <c r="V8" s="26">
        <f>'Llyn Conwy'!U31</f>
        <v>0</v>
      </c>
    </row>
    <row r="9" spans="1:22" x14ac:dyDescent="0.25">
      <c r="A9" s="29">
        <v>7</v>
      </c>
      <c r="B9" s="81"/>
      <c r="C9" s="26">
        <f>'Mynydd Llandegai'!B31</f>
        <v>250</v>
      </c>
      <c r="D9" s="26">
        <f>'Mynydd Llandegai'!C31</f>
        <v>84.749999999999986</v>
      </c>
      <c r="E9" s="26">
        <f>'Mynydd Llandegai'!D31</f>
        <v>54.124874999999996</v>
      </c>
      <c r="F9" s="26">
        <f>'Mynydd Llandegai'!E31</f>
        <v>2.8648874999999998E-4</v>
      </c>
      <c r="G9" s="26">
        <f>'Mynydd Llandegai'!F31</f>
        <v>8.8537199999999974</v>
      </c>
      <c r="H9" s="26">
        <f>'Mynydd Llandegai'!G31</f>
        <v>0.53399999999999992</v>
      </c>
      <c r="I9" s="26">
        <f>'Mynydd Llandegai'!H31</f>
        <v>0.9</v>
      </c>
      <c r="J9" s="26">
        <f>'Mynydd Llandegai'!I31</f>
        <v>4.6500000000000007E-2</v>
      </c>
      <c r="K9" s="26">
        <f>'Mynydd Llandegai'!J31</f>
        <v>3.5999999999999999E-3</v>
      </c>
      <c r="L9" s="26">
        <f>'Mynydd Llandegai'!K31</f>
        <v>9.074999999999998E-3</v>
      </c>
      <c r="M9" s="26">
        <f>'Mynydd Llandegai'!L31</f>
        <v>3.8249999999999992E-2</v>
      </c>
      <c r="N9" s="26">
        <f>'Mynydd Llandegai'!M31</f>
        <v>3.8700000000000005E-2</v>
      </c>
      <c r="O9" s="26">
        <f>'Mynydd Llandegai'!N31</f>
        <v>1185</v>
      </c>
      <c r="P9" s="26">
        <f>'Mynydd Llandegai'!O31</f>
        <v>44.324999999999996</v>
      </c>
      <c r="Q9" s="26">
        <f>'Mynydd Llandegai'!P31</f>
        <v>0</v>
      </c>
      <c r="R9" s="26">
        <f>'Mynydd Llandegai'!Q31</f>
        <v>98.250000000000014</v>
      </c>
      <c r="S9" s="26">
        <f>'Mynydd Llandegai'!R31</f>
        <v>0</v>
      </c>
      <c r="T9" s="26">
        <f>'Mynydd Llandegai'!S31</f>
        <v>0.13125000000000001</v>
      </c>
      <c r="U9" s="26">
        <f>'Mynydd Llandegai'!T31</f>
        <v>0</v>
      </c>
      <c r="V9" s="26">
        <f>'Mynydd Llandegai'!U31</f>
        <v>0</v>
      </c>
    </row>
    <row r="10" spans="1:22" x14ac:dyDescent="0.25">
      <c r="A10" s="29">
        <v>8</v>
      </c>
      <c r="B10" s="81"/>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c r="V10" s="26" t="e">
        <f>#REF!</f>
        <v>#REF!</v>
      </c>
    </row>
    <row r="11" spans="1:22" x14ac:dyDescent="0.25">
      <c r="A11" s="29">
        <v>9</v>
      </c>
      <c r="B11" s="81"/>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c r="V11" s="26" t="e">
        <f>#REF!</f>
        <v>#REF!</v>
      </c>
    </row>
    <row r="12" spans="1:22" x14ac:dyDescent="0.25">
      <c r="A12" s="29">
        <v>10</v>
      </c>
      <c r="B12" s="81"/>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c r="V12" s="26" t="e">
        <f>#REF!</f>
        <v>#REF!</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1" t="s">
        <v>84</v>
      </c>
      <c r="B15" s="28" t="s">
        <v>152</v>
      </c>
      <c r="C15" s="28">
        <f>'Bryn Cowlyd'!B43</f>
        <v>250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1"/>
      <c r="B16" s="25" t="s">
        <v>46</v>
      </c>
      <c r="C16" s="28">
        <f>'Bryn Cowlyd'!B44</f>
        <v>250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250</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250</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f t="shared" si="5"/>
        <v>250</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5">
      <c r="A20" s="75">
        <v>4</v>
      </c>
      <c r="B20" s="76">
        <f t="shared" ref="B20:C20" si="7">B6</f>
        <v>0</v>
      </c>
      <c r="C20" s="77">
        <f t="shared" si="7"/>
        <v>250</v>
      </c>
      <c r="D20" s="78">
        <f>D6*$B$6</f>
        <v>0</v>
      </c>
      <c r="E20" s="78">
        <f t="shared" ref="E20:V20" si="8">E6*$B$6</f>
        <v>0</v>
      </c>
      <c r="F20" s="78">
        <f t="shared" si="8"/>
        <v>0</v>
      </c>
      <c r="G20" s="78">
        <f t="shared" si="8"/>
        <v>0</v>
      </c>
      <c r="H20" s="78">
        <f t="shared" si="8"/>
        <v>0</v>
      </c>
      <c r="I20" s="78">
        <f t="shared" si="8"/>
        <v>0</v>
      </c>
      <c r="J20" s="78">
        <f t="shared" si="8"/>
        <v>0</v>
      </c>
      <c r="K20" s="78">
        <f t="shared" si="8"/>
        <v>0</v>
      </c>
      <c r="L20" s="78">
        <f t="shared" si="8"/>
        <v>0</v>
      </c>
      <c r="M20" s="78">
        <f t="shared" si="8"/>
        <v>0</v>
      </c>
      <c r="N20" s="78">
        <f t="shared" si="8"/>
        <v>0</v>
      </c>
      <c r="O20" s="78">
        <f t="shared" si="8"/>
        <v>0</v>
      </c>
      <c r="P20" s="78">
        <f t="shared" si="8"/>
        <v>0</v>
      </c>
      <c r="Q20" s="78">
        <f t="shared" si="8"/>
        <v>0</v>
      </c>
      <c r="R20" s="78">
        <f t="shared" si="8"/>
        <v>0</v>
      </c>
      <c r="S20" s="78">
        <f t="shared" si="8"/>
        <v>0</v>
      </c>
      <c r="T20" s="78">
        <f t="shared" si="8"/>
        <v>0</v>
      </c>
      <c r="U20" s="78">
        <f t="shared" si="8"/>
        <v>0</v>
      </c>
      <c r="V20" s="78">
        <f t="shared" si="8"/>
        <v>0</v>
      </c>
    </row>
    <row r="21" spans="1:22" x14ac:dyDescent="0.25">
      <c r="A21" s="75">
        <v>5</v>
      </c>
      <c r="B21" s="76">
        <f t="shared" ref="B21:C21" si="9">B7</f>
        <v>0</v>
      </c>
      <c r="C21" s="77">
        <f t="shared" si="9"/>
        <v>250</v>
      </c>
      <c r="D21" s="78">
        <f>D7*$B$7</f>
        <v>0</v>
      </c>
      <c r="E21" s="78">
        <f t="shared" ref="E21:V21" si="10">E7*$B$7</f>
        <v>0</v>
      </c>
      <c r="F21" s="78">
        <f t="shared" si="10"/>
        <v>0</v>
      </c>
      <c r="G21" s="78">
        <f t="shared" si="10"/>
        <v>0</v>
      </c>
      <c r="H21" s="78">
        <f t="shared" si="10"/>
        <v>0</v>
      </c>
      <c r="I21" s="78">
        <f t="shared" si="10"/>
        <v>0</v>
      </c>
      <c r="J21" s="78">
        <f t="shared" si="10"/>
        <v>0</v>
      </c>
      <c r="K21" s="78">
        <f t="shared" si="10"/>
        <v>0</v>
      </c>
      <c r="L21" s="78">
        <f t="shared" si="10"/>
        <v>0</v>
      </c>
      <c r="M21" s="78">
        <f t="shared" si="10"/>
        <v>0</v>
      </c>
      <c r="N21" s="78">
        <f t="shared" si="10"/>
        <v>0</v>
      </c>
      <c r="O21" s="78">
        <f t="shared" si="10"/>
        <v>0</v>
      </c>
      <c r="P21" s="78">
        <f t="shared" si="10"/>
        <v>0</v>
      </c>
      <c r="Q21" s="78">
        <f t="shared" si="10"/>
        <v>0</v>
      </c>
      <c r="R21" s="78">
        <f t="shared" si="10"/>
        <v>0</v>
      </c>
      <c r="S21" s="78">
        <f t="shared" si="10"/>
        <v>0</v>
      </c>
      <c r="T21" s="78">
        <f t="shared" si="10"/>
        <v>0</v>
      </c>
      <c r="U21" s="78">
        <f t="shared" si="10"/>
        <v>0</v>
      </c>
      <c r="V21" s="78">
        <f t="shared" si="10"/>
        <v>0</v>
      </c>
    </row>
    <row r="22" spans="1:22" x14ac:dyDescent="0.25">
      <c r="A22" s="75">
        <v>6</v>
      </c>
      <c r="B22" s="76">
        <f t="shared" ref="B22:C22" si="11">B8</f>
        <v>0</v>
      </c>
      <c r="C22" s="77">
        <f t="shared" si="11"/>
        <v>250</v>
      </c>
      <c r="D22" s="78">
        <f>D8*$B$8</f>
        <v>0</v>
      </c>
      <c r="E22" s="78">
        <f t="shared" ref="E22:V22" si="12">E8*$B$8</f>
        <v>0</v>
      </c>
      <c r="F22" s="78">
        <f t="shared" si="12"/>
        <v>0</v>
      </c>
      <c r="G22" s="78">
        <f t="shared" si="12"/>
        <v>0</v>
      </c>
      <c r="H22" s="78">
        <f t="shared" si="12"/>
        <v>0</v>
      </c>
      <c r="I22" s="78">
        <f t="shared" si="12"/>
        <v>0</v>
      </c>
      <c r="J22" s="78">
        <f t="shared" si="12"/>
        <v>0</v>
      </c>
      <c r="K22" s="78">
        <f t="shared" si="12"/>
        <v>0</v>
      </c>
      <c r="L22" s="78">
        <f t="shared" si="12"/>
        <v>0</v>
      </c>
      <c r="M22" s="78">
        <f t="shared" si="12"/>
        <v>0</v>
      </c>
      <c r="N22" s="78">
        <f t="shared" si="12"/>
        <v>0</v>
      </c>
      <c r="O22" s="78">
        <f t="shared" si="12"/>
        <v>0</v>
      </c>
      <c r="P22" s="78">
        <f t="shared" si="12"/>
        <v>0</v>
      </c>
      <c r="Q22" s="78">
        <f t="shared" si="12"/>
        <v>0</v>
      </c>
      <c r="R22" s="78">
        <f t="shared" si="12"/>
        <v>0</v>
      </c>
      <c r="S22" s="78">
        <f t="shared" si="12"/>
        <v>0</v>
      </c>
      <c r="T22" s="78">
        <f t="shared" si="12"/>
        <v>0</v>
      </c>
      <c r="U22" s="78">
        <f t="shared" si="12"/>
        <v>0</v>
      </c>
      <c r="V22" s="78">
        <f t="shared" si="12"/>
        <v>0</v>
      </c>
    </row>
    <row r="23" spans="1:22" x14ac:dyDescent="0.25">
      <c r="A23" s="75">
        <v>7</v>
      </c>
      <c r="B23" s="76">
        <f t="shared" ref="B23:C23" si="13">B9</f>
        <v>0</v>
      </c>
      <c r="C23" s="77">
        <f t="shared" si="13"/>
        <v>250</v>
      </c>
      <c r="D23" s="78">
        <f>D9*$B$9</f>
        <v>0</v>
      </c>
      <c r="E23" s="78">
        <f t="shared" ref="E23:V23" si="14">E9*$B$9</f>
        <v>0</v>
      </c>
      <c r="F23" s="78">
        <f t="shared" si="14"/>
        <v>0</v>
      </c>
      <c r="G23" s="78">
        <f t="shared" si="14"/>
        <v>0</v>
      </c>
      <c r="H23" s="78">
        <f t="shared" si="14"/>
        <v>0</v>
      </c>
      <c r="I23" s="78">
        <f t="shared" si="14"/>
        <v>0</v>
      </c>
      <c r="J23" s="78">
        <f t="shared" si="14"/>
        <v>0</v>
      </c>
      <c r="K23" s="78">
        <f t="shared" si="14"/>
        <v>0</v>
      </c>
      <c r="L23" s="78">
        <f t="shared" si="14"/>
        <v>0</v>
      </c>
      <c r="M23" s="78">
        <f t="shared" si="14"/>
        <v>0</v>
      </c>
      <c r="N23" s="78">
        <f t="shared" si="14"/>
        <v>0</v>
      </c>
      <c r="O23" s="78">
        <f t="shared" si="14"/>
        <v>0</v>
      </c>
      <c r="P23" s="78">
        <f t="shared" si="14"/>
        <v>0</v>
      </c>
      <c r="Q23" s="78">
        <f t="shared" si="14"/>
        <v>0</v>
      </c>
      <c r="R23" s="78">
        <f t="shared" si="14"/>
        <v>0</v>
      </c>
      <c r="S23" s="78">
        <f t="shared" si="14"/>
        <v>0</v>
      </c>
      <c r="T23" s="78">
        <f t="shared" si="14"/>
        <v>0</v>
      </c>
      <c r="U23" s="78">
        <f t="shared" si="14"/>
        <v>0</v>
      </c>
      <c r="V23" s="78">
        <f t="shared" si="14"/>
        <v>0</v>
      </c>
    </row>
    <row r="24" spans="1:22" x14ac:dyDescent="0.25">
      <c r="A24" s="75">
        <v>8</v>
      </c>
      <c r="B24" s="76">
        <f t="shared" ref="B24:C24" si="15">B10</f>
        <v>0</v>
      </c>
      <c r="C24" s="77" t="e">
        <f t="shared" si="15"/>
        <v>#REF!</v>
      </c>
      <c r="D24" s="78" t="e">
        <f>D10*$B$10</f>
        <v>#REF!</v>
      </c>
      <c r="E24" s="78" t="e">
        <f t="shared" ref="E24:V24" si="16">E10*$B$10</f>
        <v>#REF!</v>
      </c>
      <c r="F24" s="78" t="e">
        <f t="shared" si="16"/>
        <v>#REF!</v>
      </c>
      <c r="G24" s="78" t="e">
        <f t="shared" si="16"/>
        <v>#REF!</v>
      </c>
      <c r="H24" s="78" t="e">
        <f t="shared" si="16"/>
        <v>#REF!</v>
      </c>
      <c r="I24" s="78" t="e">
        <f t="shared" si="16"/>
        <v>#REF!</v>
      </c>
      <c r="J24" s="78" t="e">
        <f t="shared" si="16"/>
        <v>#REF!</v>
      </c>
      <c r="K24" s="78" t="e">
        <f t="shared" si="16"/>
        <v>#REF!</v>
      </c>
      <c r="L24" s="78" t="e">
        <f t="shared" si="16"/>
        <v>#REF!</v>
      </c>
      <c r="M24" s="78" t="e">
        <f t="shared" si="16"/>
        <v>#REF!</v>
      </c>
      <c r="N24" s="78" t="e">
        <f t="shared" si="16"/>
        <v>#REF!</v>
      </c>
      <c r="O24" s="78" t="e">
        <f t="shared" si="16"/>
        <v>#REF!</v>
      </c>
      <c r="P24" s="78" t="e">
        <f t="shared" si="16"/>
        <v>#REF!</v>
      </c>
      <c r="Q24" s="78" t="e">
        <f t="shared" si="16"/>
        <v>#REF!</v>
      </c>
      <c r="R24" s="78" t="e">
        <f t="shared" si="16"/>
        <v>#REF!</v>
      </c>
      <c r="S24" s="78" t="e">
        <f t="shared" si="16"/>
        <v>#REF!</v>
      </c>
      <c r="T24" s="78" t="e">
        <f t="shared" si="16"/>
        <v>#REF!</v>
      </c>
      <c r="U24" s="78" t="e">
        <f t="shared" si="16"/>
        <v>#REF!</v>
      </c>
      <c r="V24" s="78" t="e">
        <f t="shared" si="16"/>
        <v>#REF!</v>
      </c>
    </row>
    <row r="25" spans="1:22" x14ac:dyDescent="0.25">
      <c r="A25" s="75">
        <v>9</v>
      </c>
      <c r="B25" s="76">
        <f t="shared" ref="B25:C25" si="17">B11</f>
        <v>0</v>
      </c>
      <c r="C25" s="77" t="e">
        <f t="shared" si="17"/>
        <v>#REF!</v>
      </c>
      <c r="D25" s="78" t="e">
        <f>D11*$B$11</f>
        <v>#REF!</v>
      </c>
      <c r="E25" s="78" t="e">
        <f t="shared" ref="E25:V25" si="18">E11*$B$11</f>
        <v>#REF!</v>
      </c>
      <c r="F25" s="78" t="e">
        <f t="shared" si="18"/>
        <v>#REF!</v>
      </c>
      <c r="G25" s="78" t="e">
        <f t="shared" si="18"/>
        <v>#REF!</v>
      </c>
      <c r="H25" s="78" t="e">
        <f t="shared" si="18"/>
        <v>#REF!</v>
      </c>
      <c r="I25" s="78" t="e">
        <f t="shared" si="18"/>
        <v>#REF!</v>
      </c>
      <c r="J25" s="78" t="e">
        <f t="shared" si="18"/>
        <v>#REF!</v>
      </c>
      <c r="K25" s="78" t="e">
        <f t="shared" si="18"/>
        <v>#REF!</v>
      </c>
      <c r="L25" s="78" t="e">
        <f t="shared" si="18"/>
        <v>#REF!</v>
      </c>
      <c r="M25" s="78" t="e">
        <f t="shared" si="18"/>
        <v>#REF!</v>
      </c>
      <c r="N25" s="78" t="e">
        <f t="shared" si="18"/>
        <v>#REF!</v>
      </c>
      <c r="O25" s="78" t="e">
        <f t="shared" si="18"/>
        <v>#REF!</v>
      </c>
      <c r="P25" s="78" t="e">
        <f t="shared" si="18"/>
        <v>#REF!</v>
      </c>
      <c r="Q25" s="78" t="e">
        <f t="shared" si="18"/>
        <v>#REF!</v>
      </c>
      <c r="R25" s="78" t="e">
        <f t="shared" si="18"/>
        <v>#REF!</v>
      </c>
      <c r="S25" s="78" t="e">
        <f t="shared" si="18"/>
        <v>#REF!</v>
      </c>
      <c r="T25" s="78" t="e">
        <f t="shared" si="18"/>
        <v>#REF!</v>
      </c>
      <c r="U25" s="78" t="e">
        <f t="shared" si="18"/>
        <v>#REF!</v>
      </c>
      <c r="V25" s="78" t="e">
        <f t="shared" si="18"/>
        <v>#REF!</v>
      </c>
    </row>
    <row r="26" spans="1:22" x14ac:dyDescent="0.25">
      <c r="A26" s="75">
        <v>10</v>
      </c>
      <c r="B26" s="76">
        <f t="shared" ref="B26:C26" si="19">B12</f>
        <v>0</v>
      </c>
      <c r="C26" s="77" t="e">
        <f t="shared" si="19"/>
        <v>#REF!</v>
      </c>
      <c r="D26" s="78" t="e">
        <f>D12*$B$12</f>
        <v>#REF!</v>
      </c>
      <c r="E26" s="78" t="e">
        <f t="shared" ref="E26:V26" si="20">E12*$B$12</f>
        <v>#REF!</v>
      </c>
      <c r="F26" s="78" t="e">
        <f t="shared" si="20"/>
        <v>#REF!</v>
      </c>
      <c r="G26" s="78" t="e">
        <f t="shared" si="20"/>
        <v>#REF!</v>
      </c>
      <c r="H26" s="78" t="e">
        <f t="shared" si="20"/>
        <v>#REF!</v>
      </c>
      <c r="I26" s="78" t="e">
        <f t="shared" si="20"/>
        <v>#REF!</v>
      </c>
      <c r="J26" s="78" t="e">
        <f t="shared" si="20"/>
        <v>#REF!</v>
      </c>
      <c r="K26" s="78" t="e">
        <f t="shared" si="20"/>
        <v>#REF!</v>
      </c>
      <c r="L26" s="78" t="e">
        <f t="shared" si="20"/>
        <v>#REF!</v>
      </c>
      <c r="M26" s="78" t="e">
        <f t="shared" si="20"/>
        <v>#REF!</v>
      </c>
      <c r="N26" s="78" t="e">
        <f t="shared" si="20"/>
        <v>#REF!</v>
      </c>
      <c r="O26" s="78" t="e">
        <f t="shared" si="20"/>
        <v>#REF!</v>
      </c>
      <c r="P26" s="78" t="e">
        <f t="shared" si="20"/>
        <v>#REF!</v>
      </c>
      <c r="Q26" s="78" t="e">
        <f t="shared" si="20"/>
        <v>#REF!</v>
      </c>
      <c r="R26" s="78" t="e">
        <f t="shared" si="20"/>
        <v>#REF!</v>
      </c>
      <c r="S26" s="78" t="e">
        <f t="shared" si="20"/>
        <v>#REF!</v>
      </c>
      <c r="T26" s="78" t="e">
        <f t="shared" si="20"/>
        <v>#REF!</v>
      </c>
      <c r="U26" s="78" t="e">
        <f t="shared" si="20"/>
        <v>#REF!</v>
      </c>
      <c r="V26" s="78" t="e">
        <f t="shared" si="20"/>
        <v>#REF!</v>
      </c>
    </row>
    <row r="27" spans="1:22" s="80" customFormat="1" ht="15.5" x14ac:dyDescent="0.35">
      <c r="A27" s="133" t="s">
        <v>85</v>
      </c>
      <c r="B27" s="133"/>
      <c r="C27" s="133"/>
      <c r="D27" s="79" t="e">
        <f>SUM(D17:D26)</f>
        <v>#REF!</v>
      </c>
      <c r="E27" s="79" t="e">
        <f t="shared" ref="E27:V27" si="21">SUM(E17:E26)</f>
        <v>#REF!</v>
      </c>
      <c r="F27" s="79" t="e">
        <f t="shared" si="21"/>
        <v>#REF!</v>
      </c>
      <c r="G27" s="79" t="e">
        <f t="shared" si="21"/>
        <v>#REF!</v>
      </c>
      <c r="H27" s="79" t="e">
        <f t="shared" si="21"/>
        <v>#REF!</v>
      </c>
      <c r="I27" s="79" t="e">
        <f t="shared" si="21"/>
        <v>#REF!</v>
      </c>
      <c r="J27" s="79" t="e">
        <f t="shared" si="21"/>
        <v>#REF!</v>
      </c>
      <c r="K27" s="79" t="e">
        <f t="shared" si="21"/>
        <v>#REF!</v>
      </c>
      <c r="L27" s="79" t="e">
        <f t="shared" si="21"/>
        <v>#REF!</v>
      </c>
      <c r="M27" s="79" t="e">
        <f t="shared" si="21"/>
        <v>#REF!</v>
      </c>
      <c r="N27" s="79" t="e">
        <f t="shared" si="21"/>
        <v>#REF!</v>
      </c>
      <c r="O27" s="79" t="e">
        <f t="shared" si="21"/>
        <v>#REF!</v>
      </c>
      <c r="P27" s="79" t="e">
        <f t="shared" si="21"/>
        <v>#REF!</v>
      </c>
      <c r="Q27" s="79" t="e">
        <f t="shared" si="21"/>
        <v>#REF!</v>
      </c>
      <c r="R27" s="79" t="e">
        <f t="shared" si="21"/>
        <v>#REF!</v>
      </c>
      <c r="S27" s="79" t="e">
        <f t="shared" si="21"/>
        <v>#REF!</v>
      </c>
      <c r="T27" s="79" t="e">
        <f t="shared" si="21"/>
        <v>#REF!</v>
      </c>
      <c r="U27" s="79" t="e">
        <f t="shared" si="21"/>
        <v>#REF!</v>
      </c>
      <c r="V27" s="7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1" ma:contentTypeDescription="Permitting &amp; Compliance Excel Document" ma:contentTypeScope="" ma:versionID="ba3d3f646c51d9da4950b9a6e7b784ce">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6de5245ddb57d651dd1da83624696544"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REGU-415-1632095</_dlc_DocId>
    <_dlc_DocIdUrl xmlns="9be56660-2c31-41ef-bc00-23e72f632f2a">
      <Url>https://cyfoethnaturiolcymru.sharepoint.com/teams/Regulatory/Permitting/_layouts/15/DocIdRedir.aspx?ID=REGU-415-1632095</Url>
      <Description>REGU-415-1632095</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England</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2024-10-30T00:00:00+00:00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lcf76f155ced4ddcb4097134ff3c332f xmlns="dfa7b5af-bd1f-4e1a-a117-ad96be72b59f" xsi:nil="true"/>
  </documentManagement>
</p:properties>
</file>

<file path=customXml/itemProps1.xml><?xml version="1.0" encoding="utf-8"?>
<ds:datastoreItem xmlns:ds="http://schemas.openxmlformats.org/officeDocument/2006/customXml" ds:itemID="{24D1E6B4-534A-42F9-AB26-FCF51E80D277}"/>
</file>

<file path=customXml/itemProps2.xml><?xml version="1.0" encoding="utf-8"?>
<ds:datastoreItem xmlns:ds="http://schemas.openxmlformats.org/officeDocument/2006/customXml" ds:itemID="{CF01928D-F855-49AA-94BF-3D23ECD358C3}"/>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www.w3.org/XML/1998/namespace"/>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http://schemas.microsoft.com/office/2006/metadata/properties"/>
    <ds:schemaRef ds:uri="http://purl.org/dc/elements/1.1/"/>
    <ds:schemaRef ds:uri="9be56660-2c31-41ef-bc00-23e72f632f2a"/>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Bryn Cowlyd</vt:lpstr>
      <vt:lpstr>DCWW Cefni</vt:lpstr>
      <vt:lpstr>Cwellyn </vt:lpstr>
      <vt:lpstr>Dolbenmaen</vt:lpstr>
      <vt:lpstr>Gwastadgoed</vt:lpstr>
      <vt:lpstr>Llyn Conwy</vt:lpstr>
      <vt:lpstr>Mynydd Llandegai</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2024-10-21T11:39:00Z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00a13d61-75c0-4177-9ac0-24235190f715</vt:lpwstr>
  </property>
  <property fmtid="{D5CDD505-2E9C-101B-9397-08002B2CF9AE}" pid="4" name="Order">
    <vt:r8>163209500</vt:r8>
  </property>
  <property fmtid="{D5CDD505-2E9C-101B-9397-08002B2CF9AE}" pid="5" name="MediaServiceImageTags">
    <vt:lpwstr/>
  </property>
</Properties>
</file>